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объектов'!$AI$39</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объектов'!$AH$28:$AH$39</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<sst xmlns="http://schemas.openxmlformats.org/spreadsheetml/2006/main" count="17255" uniqueCount="4775">
  <si>
    <t xml:space="preserve"> (требуется обновление)</t>
  </si>
  <si>
    <t>Код отчёта: EXPERT.TE.2026.EIAS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</si>
  <si>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</si>
  <si>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</si>
  <si>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</si>
  <si>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</si>
  <si>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</si>
  <si>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</si>
  <si>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</si>
  <si>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</si>
  <si>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</si>
  <si>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</si>
  <si>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</si>
  <si>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</si>
  <si>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</si>
  <si>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</si>
  <si>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</si>
  <si>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</si>
  <si>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</si>
  <si>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</si>
  <si>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</si>
  <si>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</si>
  <si>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</si>
  <si>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</si>
  <si>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</si>
  <si>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</si>
  <si>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</si>
  <si>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</si>
  <si>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</si>
  <si>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</si>
  <si>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</si>
  <si>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</si>
  <si>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</si>
  <si>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</si>
  <si>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</si>
  <si>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</si>
  <si>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</si>
  <si>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</si>
  <si>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</si>
  <si>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</si>
  <si>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</si>
  <si>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</si>
  <si>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</si>
  <si>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</si>
  <si>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</si>
  <si>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</si>
  <si>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</si>
  <si>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</si>
  <si>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</si>
  <si>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</si>
  <si>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</si>
  <si>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</si>
  <si>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</si>
  <si>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</si>
  <si>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</si>
  <si>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</si>
  <si>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</si>
  <si>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</si>
  <si>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</si>
  <si>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</si>
  <si>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</si>
  <si>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</si>
  <si>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</si>
  <si>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</si>
  <si>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</si>
  <si>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</si>
  <si>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</si>
  <si>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</si>
  <si>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</si>
  <si>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</si>
  <si>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</si>
  <si>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</si>
  <si>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</si>
  <si>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</si>
  <si>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</si>
  <si>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</si>
  <si>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</si>
  <si>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</si>
  <si>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</si>
  <si>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</si>
  <si>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</si>
  <si>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</si>
  <si>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</si>
  <si>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</si>
  <si>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</si>
  <si>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</si>
  <si>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</si>
  <si>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</si>
  <si>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</si>
  <si>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</si>
  <si>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</si>
  <si>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</si>
  <si>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</si>
  <si>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</si>
  <si>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</si>
  <si>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</si>
  <si>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</si>
  <si>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</si>
  <si>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</si>
  <si>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</si>
  <si>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</si>
  <si>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</si>
  <si>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</si>
  <si>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</si>
  <si>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</si>
  <si>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</si>
  <si>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</si>
  <si>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</si>
  <si>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</si>
  <si>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</si>
  <si>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</si>
  <si>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</si>
  <si>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</si>
  <si>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</si>
  <si>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</si>
  <si>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</si>
  <si>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</si>
  <si>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</si>
  <si>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</si>
  <si>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</si>
  <si>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</si>
  <si>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</si>
  <si>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</si>
  <si>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</si>
  <si>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</si>
  <si>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</si>
  <si>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</si>
  <si>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</si>
  <si>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</si>
  <si>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</si>
  <si>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</si>
  <si>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</si>
  <si>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</si>
  <si>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"ВЕЛЕС"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</si>
  <si>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</si>
  <si>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</si>
  <si>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"ВЕЛЕС"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</si>
  <si>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</si>
  <si>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</si>
  <si>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</si>
  <si>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</si>
  <si>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</si>
  <si>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</si>
  <si>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1144212000547</t>
  </si>
  <si>
    <t>19.27.0.</t>
  </si>
  <si>
    <t>Идентификационный номер налогоплательщика (ИНН)</t>
  </si>
  <si>
    <t>4212036655</t>
  </si>
  <si>
    <t>19.2.0.</t>
  </si>
  <si>
    <t>Код причины постановки на учет (КПП)</t>
  </si>
  <si>
    <t>421201001</t>
  </si>
  <si>
    <t>19.3.0.</t>
  </si>
  <si>
    <t>Код по общероссийскому классификатору предприятию и организаций (ОКПО)</t>
  </si>
  <si>
    <t>22928323</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</si>
  <si>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</si>
  <si>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</si>
  <si>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</si>
  <si>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</si>
  <si>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</si>
  <si>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</si>
  <si>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</si>
  <si>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652523, Кемеровская область, г. Ленинск-Кузнецкий, ул. Телефонная, д. 13, оф. 227</t>
  </si>
  <si>
    <t>L2_9</t>
  </si>
  <si>
    <t>19.60.0.</t>
  </si>
  <si>
    <t>Фактический адрес</t>
  </si>
  <si>
    <t>L2_10</t>
  </si>
  <si>
    <t>19.75.0.</t>
  </si>
  <si>
    <t>Телефон организации</t>
  </si>
  <si>
    <t>8(38456) 494-14</t>
  </si>
  <si>
    <t>L2_11</t>
  </si>
  <si>
    <t>19.63.0.</t>
  </si>
  <si>
    <t>Адрес электронной почты юридического лица (индивидуального предпринимателя)</t>
  </si>
  <si>
    <t>oooveles.2014@mail.ru</t>
  </si>
  <si>
    <t>L2_12</t>
  </si>
  <si>
    <t>19.65.0.</t>
  </si>
  <si>
    <t>Фамилия, имя, отчество руководителя</t>
  </si>
  <si>
    <t>Соколова Оксана Николаевна</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</si>
  <si>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</si>
  <si>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</si>
  <si>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</si>
  <si>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</si>
  <si>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</si>
  <si>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</si>
  <si>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</si>
  <si>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ooo-veles.hol.es</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</si>
  <si>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</si>
  <si>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</si>
  <si>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</si>
  <si>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</si>
  <si>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</si>
  <si>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</si>
  <si>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</si>
  <si>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</si>
  <si>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</si>
  <si>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</si>
  <si>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</si>
  <si>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</si>
  <si>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</si>
  <si>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</si>
  <si>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</si>
  <si>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</si>
  <si>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</si>
  <si>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</si>
  <si>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</si>
  <si>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</si>
  <si>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</si>
  <si>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</si>
  <si>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</si>
  <si>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</si>
  <si>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</si>
  <si>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</si>
  <si>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</si>
  <si>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</si>
  <si>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</si>
  <si>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</si>
  <si>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</si>
  <si>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</si>
  <si>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</si>
  <si>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</si>
  <si>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</si>
  <si>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</si>
  <si>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</si>
  <si>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</si>
  <si>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</si>
  <si>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</si>
  <si>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</si>
  <si>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</si>
  <si>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</si>
  <si>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</si>
  <si>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</si>
  <si>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</si>
  <si>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</si>
  <si>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</si>
  <si>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</si>
  <si>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</si>
  <si>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</si>
  <si>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</si>
  <si>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</si>
  <si>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</si>
  <si>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</si>
  <si>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</si>
  <si>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</si>
  <si>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</si>
  <si>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</si>
  <si>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</si>
  <si>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</si>
  <si>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</si>
  <si>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</si>
  <si>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</si>
  <si>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</si>
  <si>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</si>
  <si>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</si>
  <si>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</si>
  <si>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</si>
  <si>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</si>
  <si>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</si>
  <si>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</si>
  <si>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</si>
  <si>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</si>
  <si>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</si>
  <si>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</si>
  <si>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</si>
  <si>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</si>
  <si>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</si>
  <si>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</si>
  <si>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</si>
  <si>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</si>
  <si>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</si>
  <si>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</si>
  <si>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Ребикова Юлия Юрьевна</t>
  </si>
  <si>
    <t>L5_1</t>
  </si>
  <si>
    <t>302.3.0.</t>
  </si>
  <si>
    <t>Должность исполнителя</t>
  </si>
  <si>
    <t>бухгалтер</t>
  </si>
  <si>
    <t>L5_2</t>
  </si>
  <si>
    <t>302.5.0.</t>
  </si>
  <si>
    <t>Контактный телефон исполнителя</t>
  </si>
  <si>
    <t>8 (384)56 49414</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</si>
  <si>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</si>
  <si>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</si>
  <si>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</si>
  <si>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</si>
  <si>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</si>
  <si>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</si>
  <si>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</si>
  <si>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</si>
  <si>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</si>
  <si>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</si>
  <si>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</si>
  <si>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</si>
  <si>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</si>
  <si>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</si>
  <si>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</si>
  <si>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</si>
  <si>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</si>
  <si>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</si>
  <si>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</si>
  <si>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</si>
  <si>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</si>
  <si>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</si>
  <si>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</si>
  <si>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</si>
  <si>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</si>
  <si>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</si>
  <si>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</si>
  <si>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</si>
  <si>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677</t>
  </si>
  <si>
    <t>L6_3</t>
  </si>
  <si>
    <t>L6_4</t>
  </si>
  <si>
    <t>ТЭ.42.28873685.0002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</si>
  <si>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</si>
  <si>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</si>
  <si>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</si>
  <si>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</si>
  <si>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</si>
  <si>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</si>
  <si>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</si>
  <si>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</si>
  <si>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</si>
  <si>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</si>
  <si>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</si>
  <si>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</si>
  <si>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</si>
  <si>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</si>
  <si>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</si>
  <si>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</si>
  <si>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</si>
  <si>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</si>
  <si>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</si>
  <si>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</si>
  <si>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</si>
  <si>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</si>
  <si>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</si>
  <si>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</si>
  <si>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</si>
  <si>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</si>
  <si>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</si>
  <si>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</si>
  <si>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</si>
  <si>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</si>
  <si>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</si>
  <si>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</si>
  <si>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</si>
  <si>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</si>
  <si>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</si>
  <si>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</si>
  <si>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</si>
  <si>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РЭК/99-Велес-2026</t>
  </si>
  <si>
    <t>L7_2</t>
  </si>
  <si>
    <t>325.1.0.</t>
  </si>
  <si>
    <t>ФИО уполномоченного по делу</t>
  </si>
  <si>
    <t>Братышкина Екатерина Владимировна</t>
  </si>
  <si>
    <t>L7_3</t>
  </si>
  <si>
    <t>325.2.0.</t>
  </si>
  <si>
    <t>Должность уполномоченного по делу</t>
  </si>
  <si>
    <t>Ведущий 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</si>
  <si>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</si>
  <si>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</si>
  <si>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</si>
  <si>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</si>
  <si>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</si>
  <si>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</si>
  <si>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</si>
  <si>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</si>
  <si>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</si>
  <si>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</si>
  <si>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</si>
  <si>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</si>
  <si>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</si>
  <si>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</si>
  <si>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</si>
  <si>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</si>
  <si>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</si>
  <si>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</si>
  <si>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</si>
  <si>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</si>
  <si>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</si>
  <si>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</si>
  <si>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</si>
  <si>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</si>
  <si>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</si>
  <si>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</si>
  <si>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</si>
  <si>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</si>
  <si>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</si>
  <si>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</si>
  <si>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</si>
  <si>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</si>
  <si>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</si>
  <si>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</si>
  <si>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</si>
  <si>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</si>
  <si>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</si>
  <si>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</si>
  <si>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</si>
  <si>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</si>
  <si>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Ленинск-Кузнецкий муниципальный округ</t>
  </si>
  <si>
    <t>32513000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</si>
  <si>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</si>
  <si>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</si>
  <si>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</si>
  <si>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</si>
  <si>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</si>
  <si>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</si>
  <si>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</si>
  <si>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</si>
  <si>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</si>
  <si>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</si>
  <si>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</si>
  <si>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</si>
  <si>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</si>
  <si>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</si>
  <si>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</si>
  <si>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</si>
  <si>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</si>
  <si>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</si>
  <si>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</si>
  <si>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</si>
  <si>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</si>
  <si>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д.Красноярка</t>
  </si>
  <si>
    <t>д Красноярка, ул.Центральная, 6</t>
  </si>
  <si>
    <t>концессионное соглашение</t>
  </si>
  <si>
    <t>соглашение</t>
  </si>
  <si>
    <t>б/н</t>
  </si>
  <si>
    <t>05.02.2016</t>
  </si>
  <si>
    <t>Котельная д.Новогеоргиевка</t>
  </si>
  <si>
    <t>д Новогеоргиевка, ул.Молодежная, 29 а</t>
  </si>
  <si>
    <t>2</t>
  </si>
  <si>
    <t>Котельная п.Восходящий</t>
  </si>
  <si>
    <t>п Восходящий, ул.Промзона, 2</t>
  </si>
  <si>
    <t>3</t>
  </si>
  <si>
    <t>Котельная п.Демьяновка</t>
  </si>
  <si>
    <t>п Демьяновка, ул.Чкалова, 6 а</t>
  </si>
  <si>
    <t>4</t>
  </si>
  <si>
    <t>Котельная п.Клейзавода</t>
  </si>
  <si>
    <t>п Клейзавода, ул.Заводская, 7 а</t>
  </si>
  <si>
    <t>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</si>
  <si>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</si>
  <si>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</si>
  <si>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</si>
  <si>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</si>
  <si>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</si>
  <si>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</si>
  <si>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</si>
  <si>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</si>
  <si>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</si>
  <si>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</si>
  <si>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</si>
  <si>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</si>
  <si>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</si>
  <si>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</si>
  <si>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</si>
  <si>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</si>
  <si>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</si>
  <si>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</si>
  <si>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</si>
  <si>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</si>
  <si>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</si>
  <si>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</si>
  <si>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</si>
  <si>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</si>
  <si>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</si>
  <si>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</si>
  <si>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</si>
  <si>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</si>
  <si>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</si>
  <si>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</si>
  <si>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</si>
  <si>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</si>
  <si>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</si>
  <si>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</si>
  <si>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</si>
  <si>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</si>
  <si>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</si>
  <si>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</si>
  <si>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</si>
  <si>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</si>
  <si>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</si>
  <si>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</si>
  <si>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</si>
  <si>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</si>
  <si>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</si>
  <si>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</si>
  <si>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</si>
  <si>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</si>
  <si>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</si>
  <si>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</si>
  <si>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</si>
  <si>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</si>
  <si>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</si>
  <si>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</si>
  <si>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</si>
  <si>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</si>
  <si>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</si>
  <si>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</si>
  <si>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</si>
  <si>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</si>
  <si>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</si>
  <si>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</si>
  <si>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</si>
  <si>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</si>
  <si>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</si>
  <si>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</si>
  <si>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</si>
  <si>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</si>
  <si>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</si>
  <si>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</si>
  <si>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</si>
  <si>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</si>
  <si>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</si>
  <si>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</si>
  <si>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</si>
  <si>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</si>
  <si>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</si>
  <si>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</si>
  <si>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</si>
  <si>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</si>
  <si>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</si>
  <si>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</si>
  <si>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</si>
  <si>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</si>
  <si>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</si>
  <si>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</si>
  <si>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</si>
  <si>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</si>
  <si>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</si>
  <si>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</si>
  <si>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</si>
  <si>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</si>
  <si>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</si>
  <si>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</si>
  <si>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</si>
  <si>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</si>
  <si>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</si>
  <si>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</si>
  <si>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</si>
  <si>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</si>
  <si>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</si>
  <si>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</si>
  <si>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</si>
  <si>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</si>
  <si>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</si>
  <si>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</si>
  <si>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</si>
  <si>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</si>
  <si>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</si>
  <si>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</si>
  <si>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</si>
  <si>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</si>
  <si>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</si>
  <si>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</si>
  <si>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</si>
  <si>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</si>
  <si>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</si>
  <si>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</si>
  <si>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</si>
  <si>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</si>
  <si>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</si>
  <si>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</si>
  <si>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</si>
  <si>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</si>
  <si>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</si>
  <si>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</si>
  <si>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</si>
  <si>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</si>
  <si>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</si>
  <si>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</si>
  <si>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</si>
  <si>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</si>
  <si>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</si>
  <si>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</si>
  <si>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</si>
  <si>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</si>
  <si>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</si>
  <si>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</si>
  <si>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</si>
  <si>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</si>
  <si>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</si>
  <si>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</si>
  <si>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</si>
  <si>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</si>
  <si>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</si>
  <si>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</si>
  <si>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</si>
  <si>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</si>
  <si>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</si>
  <si>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</si>
  <si>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</si>
  <si>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</si>
  <si>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</si>
  <si>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</si>
  <si>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</si>
  <si>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</si>
  <si>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</si>
  <si>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</si>
  <si>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</si>
  <si>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</si>
  <si>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</si>
  <si>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</si>
  <si>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</si>
  <si>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</si>
  <si>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</si>
  <si>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</si>
  <si>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</si>
  <si>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</si>
  <si>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</si>
  <si>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</si>
  <si>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</si>
  <si>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</si>
  <si>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</si>
  <si>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</si>
  <si>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</si>
  <si>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</si>
  <si>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</si>
  <si>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</si>
  <si>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</si>
  <si>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</si>
  <si>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</si>
  <si>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</si>
  <si>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</si>
  <si>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</si>
  <si>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</si>
  <si>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</si>
  <si>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</si>
  <si>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</si>
  <si>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</si>
  <si>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</si>
  <si>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</si>
  <si>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</si>
  <si>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</si>
  <si>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</si>
  <si>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</si>
  <si>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</si>
  <si>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</si>
  <si>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</si>
  <si>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</si>
  <si>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</si>
  <si>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</si>
  <si>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</si>
  <si>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</si>
  <si>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</si>
  <si>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</si>
  <si>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</si>
  <si>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</si>
  <si>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</si>
  <si>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</si>
  <si>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</si>
  <si>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</si>
  <si>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</si>
  <si>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</si>
  <si>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</si>
  <si>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</si>
  <si>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</si>
  <si>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</si>
  <si>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</si>
  <si>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</si>
  <si>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</si>
  <si>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</si>
  <si>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</si>
  <si>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</si>
  <si>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</si>
  <si>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</si>
  <si>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</si>
  <si>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</si>
  <si>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</si>
  <si>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</si>
  <si>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</si>
  <si>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</si>
  <si>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</si>
  <si>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</si>
  <si>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</si>
  <si>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</si>
  <si>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</si>
  <si>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</si>
  <si>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</si>
  <si>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</si>
  <si>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</si>
  <si>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</si>
  <si>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</si>
  <si>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</si>
  <si>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</si>
  <si>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</si>
  <si>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</si>
  <si>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</si>
  <si>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</si>
  <si>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</si>
  <si>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</si>
  <si>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</si>
  <si>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</si>
  <si>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</si>
  <si>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</si>
  <si>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</si>
  <si>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</si>
  <si>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</si>
  <si>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</si>
  <si>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</si>
  <si>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</si>
  <si>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</si>
  <si>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</si>
  <si>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</si>
  <si>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</si>
  <si>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</si>
  <si>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</si>
  <si>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</si>
  <si>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</si>
  <si>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</si>
  <si>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</si>
  <si>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</si>
  <si>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</si>
  <si>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</si>
  <si>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</si>
  <si>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</si>
  <si>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</si>
  <si>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</si>
  <si>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</si>
  <si>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</si>
  <si>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</si>
  <si>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</si>
  <si>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</si>
  <si>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</si>
  <si>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</si>
  <si>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</si>
  <si>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</si>
  <si>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</si>
  <si>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</si>
  <si>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</si>
  <si>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</si>
  <si>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</si>
  <si>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</si>
  <si>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</si>
  <si>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</si>
  <si>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</si>
  <si>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</si>
  <si>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</si>
  <si>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</si>
  <si>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</si>
  <si>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</si>
  <si>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</si>
  <si>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</si>
  <si>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</si>
  <si>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</si>
  <si>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</si>
  <si>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</si>
  <si>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</si>
  <si>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</si>
  <si>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</si>
  <si>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</si>
  <si>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</si>
  <si>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</si>
  <si>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</si>
  <si>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</si>
  <si>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</si>
  <si>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</si>
  <si>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</si>
  <si>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</si>
  <si>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</si>
  <si>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</si>
  <si>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</si>
  <si>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</si>
  <si>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</si>
  <si>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</si>
  <si>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</si>
  <si>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</si>
  <si>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</si>
  <si>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</si>
  <si>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</si>
  <si>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</si>
  <si>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</si>
  <si>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</si>
  <si>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</si>
  <si>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</si>
  <si>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</si>
  <si>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</si>
  <si>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</si>
  <si>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</si>
  <si>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</si>
  <si>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</si>
  <si>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</si>
  <si>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</si>
  <si>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</si>
  <si>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</si>
  <si>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</si>
  <si>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</si>
  <si>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</si>
  <si>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</si>
  <si>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</si>
  <si>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</si>
  <si>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</si>
  <si>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</si>
  <si>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</si>
  <si>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</si>
  <si>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</si>
  <si>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</si>
  <si>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</si>
  <si>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</si>
  <si>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</si>
  <si>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</si>
  <si>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</si>
  <si>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</si>
  <si>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</si>
  <si>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</si>
  <si>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</si>
  <si>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</si>
  <si>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</si>
  <si>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</si>
  <si>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</si>
  <si>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</si>
  <si>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</si>
  <si>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</si>
  <si>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</si>
  <si>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</si>
  <si>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</si>
  <si>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</si>
  <si>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</si>
  <si>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</si>
  <si>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</si>
  <si>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</si>
  <si>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</si>
  <si>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</si>
  <si>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</si>
  <si>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</si>
  <si>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</si>
  <si>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</si>
  <si>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</si>
  <si>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</si>
  <si>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</si>
  <si>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</si>
  <si>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</si>
  <si>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</si>
  <si>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</si>
  <si>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</si>
  <si>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</si>
  <si>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</si>
  <si>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</si>
  <si>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</si>
  <si>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</si>
  <si>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</si>
  <si>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</si>
  <si>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</si>
  <si>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</si>
  <si>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</si>
  <si>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</si>
  <si>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</si>
  <si>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</si>
  <si>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</si>
  <si>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</si>
  <si>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</si>
  <si>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</si>
  <si>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</si>
  <si>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</si>
  <si>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</si>
  <si>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</si>
  <si>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</si>
  <si>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</si>
  <si>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</si>
  <si>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</si>
  <si>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</si>
  <si>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</si>
  <si>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</si>
  <si>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</si>
  <si>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</si>
  <si>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</si>
  <si>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</si>
  <si>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</si>
  <si>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</si>
  <si>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</si>
  <si>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</si>
  <si>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</si>
  <si>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</si>
  <si>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</si>
  <si>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</si>
  <si>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</si>
  <si>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</si>
  <si>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</si>
  <si>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</si>
  <si>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</si>
  <si>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</si>
  <si>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</si>
  <si>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</si>
  <si>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</si>
  <si>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</si>
  <si>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</si>
  <si>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</si>
  <si>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</si>
  <si>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</si>
  <si>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</si>
  <si>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</si>
  <si>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</si>
  <si>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</si>
  <si>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</si>
  <si>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</si>
  <si>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</si>
  <si>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</si>
  <si>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</si>
  <si>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</si>
  <si>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</si>
  <si>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</si>
  <si>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</si>
  <si>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</si>
  <si>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</si>
  <si>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</si>
  <si>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</si>
  <si>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</si>
  <si>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</si>
  <si>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</si>
  <si>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</si>
  <si>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</si>
  <si>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</si>
  <si>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</si>
  <si>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</si>
  <si>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</si>
  <si>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</si>
  <si>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</si>
  <si>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</si>
  <si>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</si>
  <si>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</si>
  <si>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</si>
  <si>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</si>
  <si>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</si>
  <si>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</si>
  <si>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</si>
  <si>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</si>
  <si>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</si>
  <si>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</si>
  <si>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</si>
  <si>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</si>
  <si>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</si>
  <si>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</si>
  <si>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</si>
  <si>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</si>
  <si>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</si>
  <si>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</si>
  <si>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</si>
  <si>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</si>
  <si>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</si>
  <si>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</si>
  <si>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</si>
  <si>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</si>
  <si>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</si>
  <si>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</si>
  <si>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</si>
  <si>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</si>
  <si>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</si>
  <si>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</si>
  <si>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</si>
  <si>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</si>
  <si>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</si>
  <si>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</si>
  <si>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</si>
  <si>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</si>
  <si>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</si>
  <si>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</si>
  <si>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</si>
  <si>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</si>
  <si>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</si>
  <si>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</si>
  <si>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</si>
  <si>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</si>
  <si>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</si>
  <si>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</si>
  <si>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</si>
  <si>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</si>
  <si>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</si>
  <si>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</si>
  <si>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</si>
  <si>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</si>
  <si>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</si>
  <si>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</si>
  <si>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</si>
  <si>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</si>
  <si>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</si>
  <si>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</si>
  <si>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</si>
  <si>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</si>
  <si>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</si>
  <si>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</si>
  <si>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</si>
  <si>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</si>
  <si>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</si>
  <si>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</si>
  <si>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</si>
  <si>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</si>
  <si>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</si>
  <si>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</si>
  <si>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</si>
  <si>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</si>
  <si>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</si>
  <si>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</si>
  <si>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</si>
  <si>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</si>
  <si>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</si>
  <si>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</si>
  <si>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</si>
  <si>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</si>
  <si>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</si>
  <si>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</si>
  <si>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</si>
  <si>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</si>
  <si>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</si>
  <si>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</si>
  <si>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</si>
  <si>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</si>
  <si>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</si>
  <si>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</si>
  <si>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</si>
  <si>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</si>
  <si>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</si>
  <si>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</si>
  <si>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</si>
  <si>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</si>
  <si>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</si>
  <si>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</si>
  <si>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</si>
  <si>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</si>
  <si>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</si>
  <si>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</si>
  <si>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</si>
  <si>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</si>
  <si>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</si>
  <si>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</si>
  <si>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</si>
  <si>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</si>
  <si>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</si>
  <si>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</si>
  <si>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</si>
  <si>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</si>
  <si>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</si>
  <si>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</si>
  <si>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</si>
  <si>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</si>
  <si>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</si>
  <si>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</si>
  <si>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</si>
  <si>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</si>
  <si>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</si>
  <si>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</si>
  <si>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</si>
  <si>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</si>
  <si>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</si>
  <si>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</si>
  <si>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</si>
  <si>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</si>
  <si>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</si>
  <si>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</si>
  <si>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</si>
  <si>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</si>
  <si>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</si>
  <si>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</si>
  <si>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</si>
  <si>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</si>
  <si>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</si>
  <si>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</si>
  <si>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</si>
  <si>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</si>
  <si>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</si>
  <si>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</si>
  <si>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</si>
  <si>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</si>
  <si>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</si>
  <si>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</si>
  <si>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</si>
  <si>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</si>
  <si>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</si>
  <si>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</si>
  <si>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</si>
  <si>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</si>
  <si>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</si>
  <si>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</si>
  <si>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</si>
  <si>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</si>
  <si>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</si>
  <si>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</si>
  <si>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</si>
  <si>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</si>
  <si>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</si>
  <si>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</si>
  <si>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</si>
  <si>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</si>
  <si>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</si>
  <si>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</si>
  <si>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</si>
  <si>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</si>
  <si>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</si>
  <si>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</si>
  <si>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</si>
  <si>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</si>
  <si>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</si>
  <si>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</si>
  <si>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</si>
  <si>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</si>
  <si>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</si>
  <si>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</si>
  <si>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</si>
  <si>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</si>
  <si>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</si>
  <si>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</si>
  <si>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</si>
  <si>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</si>
  <si>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</si>
  <si>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</si>
  <si>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</si>
  <si>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</si>
  <si>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</si>
  <si>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</si>
  <si>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</si>
  <si>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</si>
  <si>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</si>
  <si>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</si>
  <si>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</si>
  <si>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</si>
  <si>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</si>
  <si>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</si>
  <si>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</si>
  <si>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</si>
  <si>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</si>
  <si>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</si>
  <si>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</si>
  <si>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</si>
  <si>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</si>
  <si>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</si>
  <si>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</si>
  <si>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</si>
  <si>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</si>
  <si>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</si>
  <si>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</si>
  <si>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</si>
  <si>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</si>
  <si>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</si>
  <si>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</si>
  <si>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</si>
  <si>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</si>
  <si>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</si>
  <si>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</si>
  <si>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</si>
  <si>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</si>
  <si>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</si>
  <si>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</si>
  <si>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</si>
  <si>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</si>
  <si>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</si>
  <si>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</si>
  <si>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</si>
  <si>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</si>
  <si>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</si>
  <si>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</si>
  <si>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</si>
  <si>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</si>
  <si>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</si>
  <si>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</si>
  <si>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</si>
  <si>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</si>
  <si>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</si>
  <si>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</si>
  <si>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</si>
  <si>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</si>
  <si>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</si>
  <si>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</si>
  <si>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</si>
  <si>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</si>
  <si>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</si>
  <si>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</si>
  <si>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</si>
  <si>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</si>
  <si>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</si>
  <si>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</si>
  <si>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</si>
  <si>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</si>
  <si>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</si>
  <si>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</si>
  <si>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</si>
  <si>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</si>
  <si>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</si>
  <si>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</si>
  <si>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</si>
  <si>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</si>
  <si>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</si>
  <si>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</si>
  <si>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</si>
  <si>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</si>
  <si>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</si>
  <si>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</si>
  <si>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</si>
  <si>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</si>
  <si>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</si>
  <si>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</si>
  <si>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</si>
  <si>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</si>
  <si>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</si>
  <si>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</si>
  <si>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</si>
  <si>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</si>
  <si>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</si>
  <si>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</si>
  <si>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</si>
  <si>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</si>
  <si>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</si>
  <si>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</si>
  <si>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</si>
  <si>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</si>
  <si>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</si>
  <si>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</si>
  <si>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</si>
  <si>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</si>
  <si>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</si>
  <si>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</si>
  <si>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</si>
  <si>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</si>
  <si>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</si>
  <si>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</si>
  <si>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</si>
  <si>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</si>
  <si>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</si>
  <si>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</si>
  <si>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</si>
  <si>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</si>
  <si>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</si>
  <si>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</si>
  <si>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</si>
  <si>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</si>
  <si>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</si>
  <si>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</si>
  <si>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</si>
  <si>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</si>
  <si>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</si>
  <si>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</si>
  <si>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</si>
  <si>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</si>
  <si>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</si>
  <si>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</si>
  <si>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</si>
  <si>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</si>
  <si>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</si>
  <si>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</si>
  <si>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</si>
  <si>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</si>
  <si>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</si>
  <si>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</si>
  <si>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</si>
  <si>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</si>
  <si>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</si>
  <si>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</si>
  <si>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</si>
  <si>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</si>
  <si>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</si>
  <si>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</si>
  <si>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</si>
  <si>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</si>
  <si>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</si>
  <si>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</si>
  <si>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</si>
  <si>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</si>
  <si>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</si>
  <si>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</si>
  <si>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</si>
  <si>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</si>
  <si>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</si>
  <si>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</si>
  <si>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</si>
  <si>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</si>
  <si>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</si>
  <si>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</si>
  <si>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</si>
  <si>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</si>
  <si>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</si>
  <si>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</si>
  <si>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</si>
  <si>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</si>
  <si>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</si>
  <si>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</si>
  <si>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</si>
  <si>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</si>
  <si>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</si>
  <si>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</si>
  <si>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</si>
  <si>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</si>
  <si>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</si>
  <si>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</si>
  <si>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</si>
  <si>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</si>
  <si>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</si>
  <si>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</si>
  <si>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</si>
  <si>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</si>
  <si>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</si>
  <si>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</si>
  <si>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</si>
  <si>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</si>
  <si>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</si>
  <si>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</si>
  <si>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</si>
  <si>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</si>
  <si>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</si>
  <si>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</si>
  <si>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</si>
  <si>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</si>
  <si>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</si>
  <si>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</si>
  <si>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</si>
  <si>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</si>
  <si>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</si>
  <si>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</si>
  <si>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</si>
  <si>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</si>
  <si>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</si>
  <si>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</si>
  <si>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</si>
  <si>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</si>
  <si>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</si>
  <si>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</si>
  <si>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</si>
  <si>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</si>
  <si>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</si>
  <si>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</si>
  <si>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</si>
  <si>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</si>
  <si>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</si>
  <si>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</si>
  <si>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</si>
  <si>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</si>
  <si>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</si>
  <si>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</si>
  <si>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</si>
  <si>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</si>
  <si>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</si>
  <si>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</si>
  <si>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</si>
  <si>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</si>
  <si>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</si>
  <si>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</si>
  <si>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</si>
  <si>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</si>
  <si>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</si>
  <si>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</si>
  <si>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</si>
  <si>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</si>
  <si>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</si>
  <si>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</si>
  <si>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</si>
  <si>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</si>
  <si>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</si>
  <si>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</si>
  <si>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</si>
  <si>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</si>
  <si>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</si>
  <si>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</si>
  <si>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</si>
  <si>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</si>
  <si>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</si>
  <si>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</si>
  <si>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</si>
  <si>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</si>
  <si>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</si>
  <si>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</si>
  <si>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</si>
  <si>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</si>
  <si>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</si>
  <si>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</si>
  <si>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</si>
  <si>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</si>
  <si>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</si>
  <si>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</si>
  <si>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</si>
  <si>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</si>
  <si>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</si>
  <si>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</si>
  <si>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</si>
  <si>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</si>
  <si>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</si>
  <si>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</si>
  <si>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</si>
  <si>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</si>
  <si>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</si>
  <si>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</si>
  <si>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</si>
  <si>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</si>
  <si>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</si>
  <si>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</si>
  <si>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</si>
  <si>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</si>
  <si>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</si>
  <si>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</si>
  <si>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</si>
  <si>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</si>
  <si>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</si>
  <si>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</si>
  <si>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</si>
  <si>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</si>
  <si>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</si>
  <si>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</si>
  <si>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</si>
  <si>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</si>
  <si>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</si>
  <si>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</si>
  <si>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</si>
  <si>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</si>
  <si>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</si>
  <si>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</si>
  <si>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</si>
  <si>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</si>
  <si>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</si>
  <si>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</si>
  <si>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</si>
  <si>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</si>
  <si>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</si>
  <si>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</si>
  <si>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</si>
  <si>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</si>
  <si>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</si>
  <si>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</si>
  <si>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</si>
  <si>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</si>
  <si>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</si>
  <si>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</si>
  <si>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</si>
  <si>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</si>
  <si>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</si>
  <si>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</si>
  <si>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</si>
  <si>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</si>
  <si>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</si>
  <si>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</si>
  <si>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</si>
  <si>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</si>
  <si>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</si>
  <si>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</si>
  <si>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</si>
  <si>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</si>
  <si>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</si>
  <si>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</si>
  <si>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</si>
  <si>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</si>
  <si>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</si>
  <si>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</si>
  <si>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</si>
  <si>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</si>
  <si>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</si>
  <si>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</si>
  <si>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</si>
  <si>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</si>
  <si>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</si>
  <si>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</si>
  <si>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</si>
  <si>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</si>
  <si>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</si>
  <si>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</si>
  <si>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</si>
  <si>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</si>
  <si>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</si>
  <si>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</si>
  <si>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</si>
  <si>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</si>
  <si>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</si>
  <si>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</si>
  <si>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</si>
  <si>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</si>
  <si>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</si>
  <si>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</si>
  <si>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</si>
  <si>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</si>
  <si>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</si>
  <si>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</si>
  <si>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</si>
  <si>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</si>
  <si>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</si>
  <si>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</si>
  <si>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</si>
  <si>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</si>
  <si>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</si>
  <si>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</si>
  <si>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</si>
  <si>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</si>
  <si>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</si>
  <si>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</si>
  <si>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</si>
  <si>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</si>
  <si>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</si>
  <si>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</si>
  <si>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</si>
  <si>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</si>
  <si>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</si>
  <si>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</si>
  <si>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</si>
  <si>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</si>
  <si>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</si>
  <si>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</si>
  <si>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</si>
  <si>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</si>
  <si>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</si>
  <si>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</si>
  <si>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</si>
  <si>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</si>
  <si>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</si>
  <si>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</si>
  <si>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</si>
  <si>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</si>
  <si>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</si>
  <si>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</si>
  <si>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</si>
  <si>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</si>
  <si>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</si>
  <si>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</si>
  <si>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</si>
  <si>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</si>
  <si>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</si>
  <si>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</si>
  <si>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</si>
  <si>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</si>
  <si>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</si>
  <si>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</si>
  <si>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</si>
  <si>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</si>
  <si>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</si>
  <si>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</si>
  <si>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</si>
  <si>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</si>
  <si>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</si>
  <si>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</si>
  <si>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</si>
  <si>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</si>
  <si>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</si>
  <si>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</si>
  <si>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</si>
  <si>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</si>
  <si>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</si>
  <si>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</si>
  <si>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</si>
  <si>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</si>
  <si>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</si>
  <si>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</si>
  <si>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</si>
  <si>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</si>
  <si>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</si>
  <si>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</si>
  <si>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</si>
  <si>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</si>
  <si>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</si>
  <si>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</si>
  <si>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</si>
  <si>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</si>
  <si>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</si>
  <si>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</si>
  <si>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</si>
  <si>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</si>
  <si>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</si>
  <si>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</si>
  <si>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</si>
  <si>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</si>
  <si>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</si>
  <si>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</si>
  <si>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</si>
  <si>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</si>
  <si>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</si>
  <si>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</si>
  <si>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</si>
  <si>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</si>
  <si>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</si>
  <si>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</si>
  <si>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</si>
  <si>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</si>
  <si>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</si>
  <si>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</si>
  <si>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</si>
  <si>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</si>
  <si>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</si>
  <si>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</si>
  <si>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</si>
  <si>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</si>
  <si>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</si>
  <si>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</si>
  <si>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</si>
  <si>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</si>
  <si>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</si>
  <si>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</si>
  <si>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</si>
  <si>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</si>
  <si>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</si>
  <si>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</si>
  <si>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</si>
  <si>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</si>
  <si>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</si>
  <si>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</si>
  <si>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</si>
  <si>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</si>
  <si>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</si>
  <si>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</si>
  <si>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</si>
  <si>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</si>
  <si>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</si>
  <si>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</si>
  <si>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</si>
  <si>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</si>
  <si>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</si>
  <si>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</si>
  <si>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</si>
  <si>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</si>
  <si>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</si>
  <si>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</si>
  <si>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</si>
  <si>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</si>
  <si>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</si>
  <si>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</si>
  <si>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</si>
  <si>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</si>
  <si>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</si>
  <si>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</si>
  <si>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</si>
  <si>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</si>
  <si>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</si>
  <si>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</si>
  <si>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</si>
  <si>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</si>
  <si>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</si>
  <si>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</si>
  <si>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</si>
  <si>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</si>
  <si>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</si>
  <si>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</si>
  <si>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</si>
  <si>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</si>
  <si>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</si>
  <si>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</si>
  <si>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</si>
  <si>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</si>
  <si>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</si>
  <si>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</si>
  <si>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</si>
  <si>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</si>
  <si>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</si>
  <si>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</si>
  <si>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</si>
  <si>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</si>
  <si>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</si>
  <si>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</si>
  <si>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</si>
  <si>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</si>
  <si>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</si>
  <si>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</si>
  <si>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</si>
  <si>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</si>
  <si>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</si>
  <si>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</si>
  <si>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</si>
  <si>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</si>
  <si>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</si>
  <si>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</si>
  <si>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</si>
  <si>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</si>
  <si>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</si>
  <si>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</si>
  <si>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</si>
  <si>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</si>
  <si>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</si>
  <si>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</si>
  <si>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</si>
  <si>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</si>
  <si>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</si>
  <si>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</si>
  <si>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</si>
  <si>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</si>
  <si>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</si>
  <si>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</si>
  <si>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</si>
  <si>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</si>
  <si>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</si>
  <si>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</si>
  <si>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</si>
  <si>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</si>
  <si>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</si>
  <si>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</si>
  <si>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</si>
  <si>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</si>
  <si>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</si>
  <si>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</si>
  <si>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</si>
  <si>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</si>
  <si>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</si>
  <si>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</si>
  <si>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</si>
  <si>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</si>
  <si>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</si>
  <si>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</si>
  <si>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</si>
  <si>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</si>
  <si>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</si>
  <si>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</si>
  <si>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</si>
  <si>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</si>
  <si>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</si>
  <si>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</si>
  <si>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</si>
  <si>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</si>
  <si>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</si>
  <si>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</si>
  <si>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</si>
  <si>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</si>
  <si>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</si>
  <si>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</si>
  <si>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</si>
  <si>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</si>
  <si>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</si>
  <si>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</si>
  <si>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</si>
  <si>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</si>
  <si>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</si>
  <si>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</si>
  <si>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</si>
  <si>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</si>
  <si>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</si>
  <si>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</si>
  <si>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</si>
  <si>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</si>
  <si>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</si>
  <si>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</si>
  <si>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</si>
  <si>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</si>
  <si>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</si>
  <si>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</si>
  <si>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</si>
  <si>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</si>
  <si>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</si>
  <si>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</si>
  <si>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</si>
  <si>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</si>
  <si>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</si>
  <si>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</si>
  <si>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</si>
  <si>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</si>
  <si>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</si>
  <si>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</si>
  <si>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</si>
  <si>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</si>
  <si>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</si>
  <si>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</si>
  <si>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</si>
  <si>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</si>
  <si>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</si>
  <si>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</si>
  <si>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</si>
  <si>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</si>
  <si>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</si>
  <si>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</si>
  <si>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</si>
  <si>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</si>
  <si>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</si>
  <si>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</si>
  <si>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</si>
  <si>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</si>
  <si>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</si>
  <si>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</si>
  <si>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</si>
  <si>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</si>
  <si>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</si>
  <si>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</si>
  <si>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</si>
  <si>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</si>
  <si>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</si>
  <si>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</si>
  <si>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</si>
  <si>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</si>
  <si>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</si>
  <si>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</si>
  <si>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</si>
  <si>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</si>
  <si>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</si>
  <si>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</si>
  <si>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</si>
  <si>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</si>
  <si>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</si>
  <si>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</si>
  <si>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</si>
  <si>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</si>
  <si>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</si>
  <si>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</si>
  <si>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</si>
  <si>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</si>
  <si>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</si>
  <si>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</si>
  <si>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</si>
  <si>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</si>
  <si>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</si>
  <si>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</si>
  <si>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</si>
  <si>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</si>
  <si>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</si>
  <si>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</si>
  <si>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</si>
  <si>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</si>
  <si>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</si>
  <si>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</si>
  <si>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</si>
  <si>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</si>
  <si>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</si>
  <si>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</si>
  <si>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</si>
  <si>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</si>
  <si>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</si>
  <si>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</si>
  <si>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</si>
  <si>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</si>
  <si>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</si>
  <si>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</si>
  <si>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</si>
  <si>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</si>
  <si>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</si>
  <si>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</si>
  <si>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</si>
  <si>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</si>
  <si>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</si>
  <si>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</si>
  <si>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</si>
  <si>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</si>
  <si>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</si>
  <si>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</si>
  <si>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</si>
  <si>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</si>
  <si>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</si>
  <si>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</si>
  <si>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</si>
  <si>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</si>
  <si>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</si>
  <si>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</si>
  <si>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</si>
  <si>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</si>
  <si>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</si>
  <si>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</si>
  <si>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</si>
  <si>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</si>
  <si>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</si>
  <si>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</si>
  <si>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</si>
  <si>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</si>
  <si>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</si>
  <si>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</si>
  <si>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</si>
  <si>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</si>
  <si>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</si>
  <si>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</si>
  <si>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</si>
  <si>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</si>
  <si>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</si>
  <si>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</si>
  <si>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</si>
  <si>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</si>
  <si>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</si>
  <si>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</si>
  <si>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</si>
  <si>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</si>
  <si>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</si>
  <si>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</si>
  <si>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</si>
  <si>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</si>
  <si>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</si>
  <si>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</si>
  <si>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</si>
  <si>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</si>
  <si>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</si>
  <si>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</si>
  <si>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</si>
  <si>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</si>
  <si>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</si>
  <si>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</si>
  <si>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</si>
  <si>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</si>
  <si>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</si>
  <si>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</si>
  <si>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</si>
  <si>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</si>
  <si>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</si>
  <si>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</si>
  <si>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</si>
  <si>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</si>
  <si>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</si>
  <si>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</si>
  <si>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</si>
  <si>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</si>
  <si>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</si>
  <si>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</si>
  <si>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</si>
  <si>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</si>
  <si>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</si>
  <si>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</si>
  <si>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</si>
  <si>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</si>
  <si>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</si>
  <si>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</si>
  <si>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</si>
  <si>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</si>
  <si>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</si>
  <si>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</si>
  <si>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</si>
  <si>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</si>
  <si>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</si>
  <si>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</si>
  <si>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</si>
  <si>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</si>
  <si>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</si>
  <si>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</si>
  <si>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</si>
  <si>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</si>
  <si>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</si>
  <si>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</si>
  <si>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</si>
  <si>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</si>
  <si>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</si>
  <si>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</si>
  <si>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</si>
  <si>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</si>
  <si>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</si>
  <si>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</si>
  <si>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</si>
  <si>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</si>
  <si>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</si>
  <si>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</si>
  <si>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</si>
  <si>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</si>
  <si>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</si>
  <si>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</si>
  <si>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</si>
  <si>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</si>
  <si>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</si>
  <si>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</si>
  <si>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</si>
  <si>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</si>
  <si>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</si>
  <si>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</si>
  <si>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</si>
  <si>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</si>
  <si>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</si>
  <si>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</si>
  <si>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</si>
  <si>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</si>
  <si>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</si>
  <si>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</si>
  <si>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</si>
  <si>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</si>
  <si>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</si>
  <si>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</si>
  <si>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</si>
  <si>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</si>
  <si>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</si>
  <si>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</si>
  <si>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</si>
  <si>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</si>
  <si>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</si>
  <si>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</si>
  <si>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</si>
  <si>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</si>
  <si>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</si>
  <si>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</si>
  <si>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</si>
  <si>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</si>
  <si>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</si>
  <si>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</si>
  <si>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</si>
  <si>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</si>
  <si>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</si>
  <si>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</si>
  <si>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</si>
  <si>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</si>
  <si>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</si>
  <si>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</si>
  <si>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</si>
  <si>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</si>
  <si>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</si>
  <si>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</si>
  <si>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</si>
  <si>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</si>
  <si>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</si>
  <si>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</si>
  <si>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</si>
  <si>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</si>
  <si>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</si>
  <si>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</si>
  <si>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</si>
  <si>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</si>
  <si>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</si>
  <si>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</si>
  <si>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</si>
  <si>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</si>
  <si>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</si>
  <si>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</si>
  <si>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</si>
  <si>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</si>
  <si>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</si>
  <si>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</si>
  <si>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</si>
  <si>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</si>
  <si>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</si>
  <si>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</si>
  <si>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</si>
  <si>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</si>
  <si>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</si>
  <si>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</si>
  <si>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</si>
  <si>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</si>
  <si>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</si>
  <si>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</si>
  <si>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</si>
  <si>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</si>
  <si>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</si>
  <si>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</si>
  <si>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</si>
  <si>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</si>
  <si>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</si>
  <si>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</si>
  <si>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</si>
  <si>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</si>
  <si>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</si>
  <si>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</si>
  <si>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</si>
  <si>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</si>
  <si>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</si>
  <si>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</si>
  <si>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</si>
  <si>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</si>
  <si>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</si>
  <si>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</si>
  <si>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</si>
  <si>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</si>
  <si>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</si>
  <si>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</si>
  <si>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</si>
  <si>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</si>
  <si>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</si>
  <si>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</si>
  <si>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</si>
  <si>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</si>
  <si>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</si>
  <si>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</si>
  <si>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</si>
  <si>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</si>
  <si>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</si>
  <si>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</si>
  <si>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</si>
  <si>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</si>
  <si>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</si>
  <si>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</si>
  <si>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</si>
  <si>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</si>
  <si>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</si>
  <si>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</si>
  <si>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</si>
  <si>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</si>
  <si>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</si>
  <si>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</si>
  <si>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</si>
  <si>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</si>
  <si>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</si>
  <si>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</si>
  <si>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</si>
  <si>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</si>
  <si>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</si>
  <si>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</si>
  <si>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</si>
  <si>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</si>
  <si>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</si>
  <si>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</si>
  <si>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</si>
  <si>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</si>
  <si>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</si>
  <si>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</si>
  <si>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</si>
  <si>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</si>
  <si>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</si>
  <si>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</si>
  <si>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</si>
  <si>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</si>
  <si>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</si>
  <si>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</si>
  <si>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</si>
  <si>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</si>
  <si>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</si>
  <si>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</si>
  <si>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</si>
  <si>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</si>
  <si>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</si>
  <si>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</si>
  <si>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</si>
  <si>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</si>
  <si>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</si>
  <si>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</si>
  <si>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</si>
  <si>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</si>
  <si>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</si>
  <si>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</si>
  <si>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</si>
  <si>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</si>
  <si>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</si>
  <si>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</si>
  <si>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</si>
  <si>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</si>
  <si>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</si>
  <si>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</si>
  <si>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</si>
  <si>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</si>
  <si>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</si>
  <si>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</si>
  <si>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</si>
  <si>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</si>
  <si>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</si>
  <si>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</si>
  <si>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</si>
  <si>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</si>
  <si>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</si>
  <si>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</si>
  <si>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</si>
  <si>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</si>
  <si>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</si>
  <si>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</si>
  <si>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</si>
  <si>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</si>
  <si>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</si>
  <si>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</si>
  <si>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</si>
  <si>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</si>
  <si>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</si>
  <si>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</si>
  <si>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</si>
  <si>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</si>
  <si>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</si>
  <si>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</si>
  <si>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</si>
  <si>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</si>
  <si>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</si>
  <si>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</si>
  <si>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</si>
  <si>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</si>
  <si>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</si>
  <si>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</si>
  <si>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</si>
  <si>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</si>
  <si>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</si>
  <si>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</si>
  <si>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</si>
  <si>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</si>
  <si>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</si>
  <si>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</si>
  <si>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</si>
  <si>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</si>
  <si>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</si>
  <si>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</si>
  <si>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</si>
  <si>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</si>
  <si>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</si>
  <si>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</si>
  <si>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</si>
  <si>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</si>
  <si>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</si>
  <si>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</si>
  <si>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</si>
  <si>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</si>
  <si>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</si>
  <si>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</si>
  <si>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</si>
  <si>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</si>
  <si>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</si>
  <si>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</si>
  <si>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</si>
  <si>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</si>
  <si>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</si>
  <si>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</si>
  <si>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</si>
  <si>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</si>
  <si>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</si>
  <si>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</si>
  <si>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</si>
  <si>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</si>
  <si>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</si>
  <si>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</si>
  <si>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</si>
  <si>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</si>
  <si>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</si>
  <si>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</si>
  <si>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</si>
  <si>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</si>
  <si>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</si>
  <si>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</si>
  <si>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</si>
  <si>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</si>
  <si>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</si>
  <si>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</si>
  <si>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</si>
  <si>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</si>
  <si>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</si>
  <si>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</si>
  <si>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</si>
  <si>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</si>
  <si>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</si>
  <si>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</si>
  <si>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</si>
  <si>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</si>
  <si>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</si>
  <si>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</si>
  <si>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</si>
  <si>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</si>
  <si>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</si>
  <si>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</si>
  <si>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</si>
  <si>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</si>
  <si>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</si>
  <si>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</si>
  <si>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</si>
  <si>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</si>
  <si>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</si>
  <si>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</si>
  <si>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</si>
  <si>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</si>
  <si>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</si>
  <si>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</si>
  <si>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</si>
  <si>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</si>
  <si>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</si>
  <si>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</si>
  <si>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</si>
  <si>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</si>
  <si>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</si>
  <si>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</si>
  <si>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</si>
  <si>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</si>
  <si>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</si>
  <si>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</si>
  <si>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</si>
  <si>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</si>
  <si>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</si>
  <si>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</si>
  <si>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</si>
  <si>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</si>
  <si>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</si>
  <si>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</si>
  <si>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</si>
  <si>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</si>
  <si>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</si>
  <si>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</si>
  <si>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</si>
  <si>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</si>
  <si>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</si>
  <si>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</si>
  <si>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</si>
  <si>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</si>
  <si>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</si>
  <si>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</si>
  <si>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</si>
  <si>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</si>
  <si>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</si>
  <si>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</si>
  <si>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</si>
  <si>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</si>
  <si>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</si>
  <si>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</si>
  <si>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</si>
  <si>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</si>
  <si>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</si>
  <si>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</si>
  <si>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</si>
  <si>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</si>
  <si>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</si>
  <si>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</si>
  <si>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</si>
  <si>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</si>
  <si>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</si>
  <si>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</si>
  <si>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</si>
  <si>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</si>
  <si>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</si>
  <si>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</si>
  <si>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</si>
  <si>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</si>
  <si>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</si>
  <si>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</si>
  <si>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</si>
  <si>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</si>
  <si>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</si>
  <si>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</si>
  <si>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</si>
  <si>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</si>
  <si>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</si>
  <si>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</si>
  <si>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</si>
  <si>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</si>
  <si>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</si>
  <si>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</si>
  <si>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</si>
  <si>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</si>
  <si>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</si>
  <si>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</si>
  <si>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</si>
  <si>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</si>
  <si>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</si>
  <si>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</si>
  <si>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</si>
  <si>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</si>
  <si>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</si>
  <si>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</si>
  <si>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</si>
  <si>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</si>
  <si>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</si>
  <si>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</si>
  <si>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</si>
  <si>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</si>
  <si>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</si>
  <si>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</si>
  <si>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</si>
  <si>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</si>
  <si>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</si>
  <si>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</si>
  <si>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</si>
  <si>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</si>
  <si>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</si>
  <si>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</si>
  <si>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</si>
  <si>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</si>
  <si>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</si>
  <si>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</si>
  <si>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</si>
  <si>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</si>
  <si>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</si>
  <si>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</si>
  <si>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</si>
  <si>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</si>
  <si>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</si>
  <si>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</si>
  <si>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</si>
  <si>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</si>
  <si>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</si>
  <si>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</si>
  <si>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</si>
  <si>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</si>
  <si>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</si>
  <si>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</si>
  <si>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</si>
  <si>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</si>
  <si>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</si>
  <si>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</si>
  <si>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</si>
  <si>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</si>
  <si>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</si>
  <si>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</si>
  <si>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</si>
  <si>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</si>
  <si>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</si>
  <si>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</si>
  <si>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</si>
  <si>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</si>
  <si>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</si>
  <si>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</si>
  <si>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</si>
  <si>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</si>
  <si>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</si>
  <si>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</si>
  <si>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</si>
  <si>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</si>
  <si>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</si>
  <si>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</si>
  <si>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</si>
  <si>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</si>
  <si>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</si>
  <si>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</si>
  <si>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</si>
  <si>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</si>
  <si>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</si>
  <si>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</si>
  <si>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</si>
  <si>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</si>
  <si>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</si>
  <si>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</si>
  <si>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</si>
  <si>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</si>
  <si>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</si>
  <si>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</si>
  <si>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</si>
  <si>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</si>
  <si>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</si>
  <si>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</si>
  <si>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</si>
  <si>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</si>
  <si>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</si>
  <si>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</si>
  <si>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</si>
  <si>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</si>
  <si>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</si>
  <si>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</si>
  <si>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</si>
  <si>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</si>
  <si>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</si>
  <si>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</si>
  <si>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</si>
  <si>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</si>
  <si>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</si>
  <si>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</si>
  <si>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</si>
  <si>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</si>
  <si>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</si>
  <si>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</si>
  <si>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</si>
  <si>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</si>
  <si>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</si>
  <si>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</si>
  <si>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</si>
  <si>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</si>
  <si>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</si>
  <si>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</si>
  <si>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</si>
  <si>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</si>
  <si>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</si>
  <si>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</si>
  <si>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</si>
  <si>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</si>
  <si>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</si>
  <si>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</si>
  <si>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</si>
  <si>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</si>
  <si>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</si>
  <si>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</si>
  <si>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</si>
  <si>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</si>
  <si>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</si>
  <si>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</si>
  <si>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</si>
  <si>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</si>
  <si>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</si>
  <si>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</si>
  <si>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</si>
  <si>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</si>
  <si>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</si>
  <si>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</si>
  <si>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</si>
  <si>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</si>
  <si>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</si>
  <si>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</si>
  <si>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</si>
  <si>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</si>
  <si>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</si>
  <si>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</si>
  <si>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</si>
  <si>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</si>
  <si>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</si>
  <si>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</si>
  <si>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</si>
  <si>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</si>
  <si>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</si>
  <si>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</si>
  <si>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</si>
  <si>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</si>
  <si>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</si>
  <si>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</si>
  <si>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</si>
  <si>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</si>
  <si>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</si>
  <si>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</si>
  <si>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</si>
  <si>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</si>
  <si>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</si>
  <si>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</si>
  <si>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</si>
  <si>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</si>
  <si>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</si>
  <si>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</si>
  <si>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</si>
  <si>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</si>
  <si>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</si>
  <si>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</si>
  <si>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</si>
  <si>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</si>
  <si>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</si>
  <si>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</si>
  <si>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</si>
  <si>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</si>
  <si>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</si>
  <si>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</si>
  <si>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</si>
  <si>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</si>
  <si>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</si>
  <si>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</si>
  <si>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</si>
  <si>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</si>
  <si>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</si>
  <si>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</si>
  <si>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</si>
  <si>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</si>
  <si>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</si>
  <si>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</si>
  <si>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</si>
  <si>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</si>
  <si>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</si>
  <si>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</si>
  <si>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</si>
  <si>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</si>
  <si>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</si>
  <si>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</si>
  <si>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</si>
  <si>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</si>
  <si>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</si>
  <si>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</si>
  <si>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</si>
  <si>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</si>
  <si>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</si>
  <si>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</si>
  <si>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</si>
  <si>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</si>
  <si>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</si>
  <si>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</si>
  <si>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</si>
  <si>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</si>
  <si>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</si>
  <si>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</si>
  <si>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</si>
  <si>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</si>
  <si>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</si>
  <si>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</si>
  <si>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</si>
  <si>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</si>
  <si>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</si>
  <si>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</si>
  <si>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</si>
  <si>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</si>
  <si>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</si>
  <si>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</si>
  <si>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</si>
  <si>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</si>
  <si>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</si>
  <si>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</si>
  <si>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</si>
  <si>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</si>
  <si>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</si>
  <si>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</si>
  <si>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</si>
  <si>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</si>
  <si>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</si>
  <si>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</si>
  <si>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</si>
  <si>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</si>
  <si>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</si>
  <si>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</si>
  <si>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</si>
  <si>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</si>
  <si>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</si>
  <si>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</si>
  <si>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</si>
  <si>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</si>
  <si>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</si>
  <si>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</si>
  <si>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</si>
  <si>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</si>
  <si>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</si>
  <si>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</si>
  <si>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</si>
  <si>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</si>
  <si>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</si>
  <si>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</si>
  <si>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</si>
  <si>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</si>
  <si>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</si>
  <si>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</si>
  <si>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</si>
  <si>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</si>
  <si>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</si>
  <si>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</si>
  <si>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</si>
  <si>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</si>
  <si>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</si>
  <si>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</si>
  <si>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</si>
  <si>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</si>
  <si>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</si>
  <si>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</si>
  <si>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</si>
  <si>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</si>
  <si>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</si>
  <si>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</si>
  <si>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</si>
  <si>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</si>
  <si>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</si>
  <si>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</si>
  <si>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</si>
  <si>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</si>
  <si>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</si>
  <si>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</si>
  <si>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</si>
  <si>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</si>
  <si>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</si>
  <si>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</si>
  <si>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</si>
  <si>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</si>
  <si>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</si>
  <si>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</si>
  <si>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</si>
  <si>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</si>
  <si>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</si>
  <si>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</si>
  <si>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</si>
  <si>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</si>
  <si>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</si>
  <si>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</si>
  <si>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</si>
  <si>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</si>
  <si>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</si>
  <si>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</si>
  <si>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</si>
  <si>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</si>
  <si>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</si>
  <si>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</si>
  <si>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</si>
  <si>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</si>
  <si>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</si>
  <si>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</si>
  <si>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</si>
  <si>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</si>
  <si>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</si>
  <si>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</si>
  <si>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</si>
  <si>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</si>
  <si>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</si>
  <si>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</si>
  <si>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</si>
  <si>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</si>
  <si>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</si>
  <si>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</si>
  <si>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</si>
  <si>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</si>
  <si>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</si>
  <si>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</si>
  <si>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</si>
  <si>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</si>
  <si>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</si>
  <si>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</si>
  <si>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</si>
  <si>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</si>
  <si>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</si>
  <si>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</si>
  <si>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</si>
  <si>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</si>
  <si>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</si>
  <si>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</si>
  <si>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</si>
  <si>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</si>
  <si>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</si>
  <si>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</si>
  <si>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</si>
  <si>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</si>
  <si>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</si>
  <si>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</si>
  <si>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</si>
  <si>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</si>
  <si>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</si>
  <si>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</si>
  <si>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</si>
  <si>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</si>
  <si>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</si>
  <si>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</si>
  <si>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</si>
  <si>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</si>
  <si>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</si>
  <si>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</si>
  <si>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</si>
  <si>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</si>
  <si>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</si>
  <si>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</si>
  <si>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</si>
  <si>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</si>
  <si>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</si>
  <si>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</si>
  <si>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</si>
  <si>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</si>
  <si>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</si>
  <si>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</si>
  <si>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</si>
  <si>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</si>
  <si>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</si>
  <si>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</si>
  <si>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</si>
  <si>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</si>
  <si>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</si>
  <si>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</si>
  <si>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</si>
  <si>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</si>
  <si>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</si>
  <si>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</si>
  <si>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</si>
  <si>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</si>
  <si>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</si>
  <si>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</si>
  <si>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</si>
  <si>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</si>
  <si>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</si>
  <si>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</si>
  <si>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</si>
  <si>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</si>
  <si>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</si>
  <si>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</si>
  <si>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</si>
  <si>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</si>
  <si>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</si>
  <si>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</si>
  <si>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</si>
  <si>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</si>
  <si>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</si>
  <si>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</si>
  <si>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</si>
  <si>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</si>
  <si>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</si>
  <si>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</si>
  <si>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</si>
  <si>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</si>
  <si>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</si>
  <si>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</si>
  <si>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</si>
  <si>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</si>
  <si>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</si>
  <si>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</si>
  <si>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</si>
  <si>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</si>
  <si>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</si>
  <si>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</si>
  <si>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</si>
  <si>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</si>
  <si>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</si>
  <si>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</si>
  <si>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</si>
  <si>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</si>
  <si>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</si>
  <si>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</si>
  <si>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</si>
  <si>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</si>
  <si>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</si>
  <si>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</si>
  <si>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</si>
  <si>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</si>
  <si>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</si>
  <si>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</si>
  <si>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</si>
  <si>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</si>
  <si>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</si>
  <si>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</si>
  <si>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</si>
  <si>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</si>
  <si>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</si>
  <si>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</si>
  <si>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</si>
  <si>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</si>
  <si>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</si>
  <si>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</si>
  <si>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</si>
  <si>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</si>
  <si>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</si>
  <si>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</si>
  <si>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</si>
  <si>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</si>
  <si>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</si>
  <si>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</si>
  <si>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</si>
  <si>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</si>
  <si>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</si>
  <si>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</si>
  <si>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</si>
  <si>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</si>
  <si>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</si>
  <si>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</si>
  <si>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</si>
  <si>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</si>
  <si>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</si>
  <si>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</si>
  <si>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</si>
  <si>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8369112124.0000000000</t>
  </si>
  <si>
    <t>некомбинированное</t>
  </si>
  <si>
    <t>32514000</t>
  </si>
  <si>
    <t>п Демьяновка</t>
  </si>
  <si>
    <t>32514000181</t>
  </si>
  <si>
    <t>ул.Чкалова</t>
  </si>
  <si>
    <t>6 а</t>
  </si>
  <si>
    <t>2.0700000000</t>
  </si>
  <si>
    <t>1.6000000000</t>
  </si>
  <si>
    <t>10.0000000000</t>
  </si>
  <si>
    <t>закрытая</t>
  </si>
  <si>
    <t>[Уголь длиннопламенный]</t>
  </si>
  <si>
    <t>[230,07]</t>
  </si>
  <si>
    <t>[308]</t>
  </si>
  <si>
    <t>[нет]</t>
  </si>
  <si>
    <t>сезонный</t>
  </si>
  <si>
    <t>0.0000000000</t>
  </si>
  <si>
    <t>01.01.1982</t>
  </si>
  <si>
    <t>уличная</t>
  </si>
  <si>
    <t>двухтрубные сети</t>
  </si>
  <si>
    <t>двухтрубное исполнение</t>
  </si>
  <si>
    <t>0.2000000000</t>
  </si>
  <si>
    <t>0.1000000000</t>
  </si>
  <si>
    <t>эксплуатируется</t>
  </si>
  <si>
    <t>муниципальное имущество</t>
  </si>
  <si>
    <t>https://portal.eias.ru/Portal/DownloadPage.aspx?type=12&amp;guid=f703486a-2f5e-4aeb-9d1e-17028e9e084a</t>
  </si>
  <si>
    <t>0</t>
  </si>
  <si>
    <t>п Клейзавода</t>
  </si>
  <si>
    <t>32514000211</t>
  </si>
  <si>
    <t>ул.Заводская</t>
  </si>
  <si>
    <t>7 а</t>
  </si>
  <si>
    <t>1.1200000000</t>
  </si>
  <si>
    <t>7.0000000000</t>
  </si>
  <si>
    <t>60.0000000000</t>
  </si>
  <si>
    <t>01.01.1980</t>
  </si>
  <si>
    <t>п Восходящий</t>
  </si>
  <si>
    <t>32514000171</t>
  </si>
  <si>
    <t>ул.Промзона</t>
  </si>
  <si>
    <t>2.4600000000</t>
  </si>
  <si>
    <t>0.6100000000</t>
  </si>
  <si>
    <t>6.0000000000</t>
  </si>
  <si>
    <t>01.01.1970</t>
  </si>
  <si>
    <t>Котельная п.ст.Егозово</t>
  </si>
  <si>
    <t>п.ст Егозово</t>
  </si>
  <si>
    <t>32514000336</t>
  </si>
  <si>
    <t>ул.Полевая</t>
  </si>
  <si>
    <t>32 а</t>
  </si>
  <si>
    <t>3.2000000000</t>
  </si>
  <si>
    <t>2.1200000000</t>
  </si>
  <si>
    <t>открытая</t>
  </si>
  <si>
    <t>[219,9]</t>
  </si>
  <si>
    <t>50.0000000000</t>
  </si>
  <si>
    <t>01.01.2015</t>
  </si>
  <si>
    <t>7.6200000000</t>
  </si>
  <si>
    <t>4.5600000000</t>
  </si>
  <si>
    <t>3.0600000000</t>
  </si>
  <si>
    <t>https://portal.eias.ru/Portal/DownloadPage.aspx?type=12&amp;guid=0db4e850-381f-470e-93ab-cd457febc5c0</t>
  </si>
  <si>
    <t>01.08.2024</t>
  </si>
  <si>
    <t>п.ст Егозово, ул.Полевая, 32 а</t>
  </si>
  <si>
    <t>д Красноярка</t>
  </si>
  <si>
    <t>32514000111</t>
  </si>
  <si>
    <t>ул.Центральная</t>
  </si>
  <si>
    <t>1.5400000000</t>
  </si>
  <si>
    <t>0.6000000000</t>
  </si>
  <si>
    <t>2.0000000000</t>
  </si>
  <si>
    <t>01.01.1961</t>
  </si>
  <si>
    <t>дворовая</t>
  </si>
  <si>
    <t>д Новогеоргиевка</t>
  </si>
  <si>
    <t>32514000121</t>
  </si>
  <si>
    <t>ул.Молодежная</t>
  </si>
  <si>
    <t>29 а</t>
  </si>
  <si>
    <t>0.1500000000</t>
  </si>
  <si>
    <t>1.0000000000</t>
  </si>
  <si>
    <t>01.01.1990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</si>
  <si>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</si>
  <si>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</si>
  <si>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</si>
  <si>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</si>
  <si>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</si>
  <si>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</si>
  <si>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</si>
  <si>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</si>
  <si>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</si>
  <si>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</si>
  <si>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</si>
  <si>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</si>
  <si>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</si>
  <si>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</si>
  <si>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</si>
  <si>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</si>
  <si>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</si>
  <si>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</si>
  <si>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</si>
  <si>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</si>
  <si>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</si>
  <si>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</si>
  <si>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</si>
  <si>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</si>
  <si>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</si>
  <si>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</si>
  <si>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</si>
  <si>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</si>
  <si>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</si>
  <si>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</si>
  <si>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</si>
  <si>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</si>
  <si>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</si>
  <si>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</si>
  <si>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</si>
  <si>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</si>
  <si>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</si>
  <si>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</si>
  <si>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</si>
  <si>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</si>
  <si>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</si>
  <si>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</si>
  <si>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</si>
  <si>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</si>
  <si>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</si>
  <si>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</si>
  <si>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</si>
  <si>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</si>
  <si>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</si>
  <si>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</si>
  <si>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</si>
  <si>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</si>
  <si>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</si>
  <si>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</si>
  <si>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</si>
  <si>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</si>
  <si>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</si>
  <si>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</si>
  <si>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</si>
  <si>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</si>
  <si>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</si>
  <si>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</si>
  <si>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</si>
  <si>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</si>
  <si>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</si>
  <si>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</si>
  <si>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</si>
  <si>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</si>
  <si>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</si>
  <si>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</si>
  <si>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</si>
  <si>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</si>
  <si>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</si>
  <si>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</si>
  <si>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</si>
  <si>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</si>
  <si>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</si>
  <si>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</si>
  <si>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</si>
  <si>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</si>
  <si>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</si>
  <si>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</si>
  <si>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</si>
  <si>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</si>
  <si>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</si>
  <si>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</si>
  <si>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</si>
  <si>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</si>
  <si>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</si>
  <si>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</si>
  <si>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</si>
  <si>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</si>
  <si>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</si>
  <si>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</si>
  <si>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</si>
  <si>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</si>
  <si>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</si>
  <si>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</si>
  <si>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</si>
  <si>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</si>
  <si>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</si>
  <si>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</si>
  <si>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</si>
  <si>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</si>
  <si>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</si>
  <si>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</si>
  <si>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</si>
  <si>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</si>
  <si>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</si>
  <si>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</si>
  <si>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</si>
  <si>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</si>
  <si>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</si>
  <si>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</si>
  <si>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</si>
  <si>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</si>
  <si>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</si>
  <si>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</si>
  <si>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</si>
  <si>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</si>
  <si>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</si>
  <si>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</si>
  <si>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</si>
  <si>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</si>
  <si>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</si>
  <si>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</si>
  <si>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</si>
  <si>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</si>
  <si>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</si>
  <si>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</si>
  <si>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</si>
  <si>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</si>
  <si>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</si>
  <si>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</si>
  <si>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</si>
  <si>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</si>
  <si>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</si>
  <si>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</si>
  <si>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</si>
  <si>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</si>
  <si>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</si>
  <si>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</si>
  <si>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</si>
  <si>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</si>
  <si>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</si>
  <si>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</si>
  <si>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</si>
  <si>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</si>
  <si>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</si>
  <si>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</si>
  <si>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</si>
  <si>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</si>
  <si>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</si>
  <si>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</si>
  <si>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</si>
  <si>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</si>
  <si>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</si>
  <si>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</si>
  <si>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</si>
  <si>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</si>
  <si>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</si>
  <si>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</si>
  <si>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</si>
  <si>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</si>
  <si>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</si>
  <si>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</si>
  <si>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</si>
  <si>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</si>
  <si>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</si>
  <si>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</si>
  <si>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</si>
  <si>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</si>
  <si>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</si>
  <si>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</si>
  <si>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</si>
  <si>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</si>
  <si>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</si>
  <si>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</si>
  <si>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</si>
  <si>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</si>
  <si>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</si>
  <si>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</si>
  <si>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</si>
  <si>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</si>
  <si>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</si>
  <si>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</si>
  <si>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</si>
  <si>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</si>
  <si>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</si>
  <si>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</si>
  <si>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</si>
  <si>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</si>
  <si>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</si>
  <si>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</si>
  <si>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</si>
  <si>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</si>
  <si>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</si>
  <si>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</si>
  <si>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</si>
  <si>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</si>
  <si>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</si>
  <si>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</si>
  <si>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</si>
  <si>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</si>
  <si>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</si>
  <si>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</si>
  <si>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</si>
  <si>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</si>
  <si>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</si>
  <si>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</si>
  <si>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</si>
  <si>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</si>
  <si>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</si>
  <si>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</si>
  <si>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</si>
  <si>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</si>
  <si>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</si>
  <si>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</si>
  <si>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</si>
  <si>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</si>
  <si>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</si>
  <si>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</si>
  <si>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</si>
  <si>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</si>
  <si>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</si>
  <si>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</si>
  <si>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</si>
  <si>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</si>
  <si>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</si>
  <si>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</si>
  <si>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</si>
  <si>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</si>
  <si>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</si>
  <si>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</si>
  <si>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</si>
  <si>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</si>
  <si>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</si>
  <si>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</si>
  <si>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</si>
  <si>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</si>
  <si>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</si>
  <si>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</si>
  <si>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</si>
  <si>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</si>
  <si>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</si>
  <si>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</si>
  <si>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</si>
  <si>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</si>
  <si>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</si>
  <si>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</si>
  <si>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</si>
  <si>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</si>
  <si>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</si>
  <si>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</si>
  <si>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</si>
  <si>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</si>
  <si>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</si>
  <si>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</si>
  <si>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</si>
  <si>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</si>
  <si>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</si>
  <si>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</si>
  <si>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</si>
  <si>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</si>
  <si>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</si>
  <si>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</si>
  <si>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</si>
  <si>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</si>
  <si>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</si>
  <si>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</si>
  <si>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</si>
  <si>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</si>
  <si>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</si>
  <si>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</si>
  <si>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</si>
  <si>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</si>
  <si>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</si>
  <si>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</si>
  <si>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</si>
  <si>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</si>
  <si>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</si>
  <si>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</si>
  <si>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</si>
  <si>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</si>
  <si>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</si>
  <si>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</si>
  <si>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</si>
  <si>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</si>
  <si>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</si>
  <si>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</si>
  <si>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</si>
  <si>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</si>
  <si>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</si>
  <si>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</si>
  <si>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</si>
  <si>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</si>
  <si>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</si>
  <si>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</si>
  <si>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</si>
  <si>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</si>
  <si>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</si>
  <si>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</si>
  <si>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</si>
  <si>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</si>
  <si>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</si>
  <si>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</si>
  <si>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</si>
  <si>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</si>
  <si>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</si>
  <si>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</si>
  <si>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</si>
  <si>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</si>
  <si>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</si>
  <si>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</si>
  <si>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</si>
  <si>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</si>
  <si>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</si>
  <si>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</si>
  <si>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</si>
  <si>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</si>
  <si>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</si>
  <si>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</si>
  <si>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</si>
  <si>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</si>
  <si>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</si>
  <si>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</si>
  <si>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</si>
  <si>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</si>
  <si>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</si>
  <si>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</si>
  <si>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</si>
  <si>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</si>
  <si>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</si>
  <si>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</si>
  <si>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</si>
  <si>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</si>
  <si>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</si>
  <si>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</si>
  <si>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</si>
  <si>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</si>
  <si>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</si>
  <si>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</si>
  <si>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</si>
  <si>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</si>
  <si>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</si>
  <si>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</si>
  <si>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</si>
  <si>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</si>
  <si>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</si>
  <si>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</si>
  <si>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</si>
  <si>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</si>
  <si>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</si>
  <si>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</si>
  <si>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</si>
  <si>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</si>
  <si>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</si>
  <si>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</si>
  <si>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</si>
  <si>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</si>
  <si>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</si>
  <si>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</si>
  <si>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</si>
  <si>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</si>
  <si>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</si>
  <si>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</si>
  <si>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</si>
  <si>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</si>
  <si>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</si>
  <si>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</si>
  <si>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</si>
  <si>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</si>
  <si>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</si>
  <si>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</si>
  <si>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</si>
  <si>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</si>
  <si>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</si>
  <si>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</si>
  <si>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</si>
  <si>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</si>
  <si>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</si>
  <si>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</si>
  <si>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</si>
  <si>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</si>
  <si>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</si>
  <si>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</si>
  <si>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</si>
  <si>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</si>
  <si>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</si>
  <si>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</si>
  <si>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</si>
  <si>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</si>
  <si>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</si>
  <si>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</si>
  <si>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</si>
  <si>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</si>
  <si>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</si>
  <si>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</si>
  <si>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</si>
  <si>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</si>
  <si>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</si>
  <si>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</si>
  <si>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</si>
  <si>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</si>
  <si>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</si>
  <si>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</si>
  <si>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</si>
  <si>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</si>
  <si>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</si>
  <si>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</si>
  <si>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</si>
  <si>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</si>
  <si>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</si>
  <si>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</si>
  <si>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</si>
  <si>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</si>
  <si>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</si>
  <si>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</si>
  <si>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</si>
  <si>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</si>
  <si>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</si>
  <si>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</si>
  <si>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</si>
  <si>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</si>
  <si>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</si>
  <si>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</si>
  <si>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</si>
  <si>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</si>
  <si>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</si>
  <si>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</si>
  <si>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</si>
  <si>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</si>
  <si>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</si>
  <si>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</si>
  <si>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</si>
  <si>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</si>
  <si>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</si>
  <si>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</si>
  <si>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</si>
  <si>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</si>
  <si>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</si>
  <si>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</si>
  <si>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</si>
  <si>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</si>
  <si>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</si>
  <si>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</si>
  <si>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</si>
  <si>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</si>
  <si>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</si>
  <si>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</si>
  <si>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</si>
  <si>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</si>
  <si>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</si>
  <si>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</si>
  <si>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</si>
  <si>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</si>
  <si>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</si>
  <si>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</si>
  <si>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</si>
  <si>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</si>
  <si>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</si>
  <si>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</si>
  <si>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</si>
  <si>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</si>
  <si>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</si>
  <si>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</si>
  <si>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</si>
  <si>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</si>
  <si>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</si>
  <si>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</si>
  <si>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</si>
  <si>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</si>
  <si>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</si>
  <si>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</si>
  <si>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</si>
  <si>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</si>
  <si>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</si>
  <si>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</si>
  <si>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</si>
  <si>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</si>
  <si>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</si>
  <si>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</si>
  <si>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</si>
  <si>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</si>
  <si>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</si>
  <si>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</si>
  <si>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</si>
  <si>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</si>
  <si>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</si>
  <si>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</si>
  <si>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</si>
  <si>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</si>
  <si>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</si>
  <si>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</si>
  <si>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</si>
  <si>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</si>
  <si>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</si>
  <si>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</si>
  <si>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</si>
  <si>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</si>
  <si>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</si>
  <si>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</si>
  <si>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</si>
  <si>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</si>
  <si>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</si>
  <si>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</si>
  <si>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</si>
  <si>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</si>
  <si>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</si>
  <si>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</si>
  <si>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</si>
  <si>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</si>
  <si>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</si>
  <si>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</si>
  <si>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</si>
  <si>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</si>
  <si>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</si>
  <si>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</si>
  <si>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</si>
  <si>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</si>
  <si>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</si>
  <si>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</si>
  <si>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</si>
  <si>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</si>
  <si>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</si>
  <si>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</si>
  <si>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</si>
  <si>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</si>
  <si>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</si>
  <si>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</si>
  <si>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</si>
  <si>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</si>
  <si>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</si>
  <si>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</si>
  <si>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</si>
  <si>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</si>
  <si>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</si>
  <si>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</si>
  <si>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</si>
  <si>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</si>
  <si>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</si>
  <si>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</si>
  <si>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</si>
  <si>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</si>
  <si>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</si>
  <si>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</si>
  <si>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</si>
  <si>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</si>
  <si>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</si>
  <si>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</si>
  <si>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</si>
  <si>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</si>
  <si>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</si>
  <si>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</si>
  <si>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</si>
  <si>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</si>
  <si>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</si>
  <si>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</si>
  <si>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</si>
  <si>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</si>
  <si>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</si>
  <si>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</si>
  <si>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</si>
  <si>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</si>
  <si>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</si>
  <si>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</si>
  <si>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</si>
  <si>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</si>
  <si>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</si>
  <si>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</si>
  <si>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</si>
  <si>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</si>
  <si>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</si>
  <si>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</si>
  <si>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</si>
  <si>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</si>
  <si>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</si>
  <si>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</si>
  <si>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</si>
  <si>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</si>
  <si>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</si>
  <si>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</si>
  <si>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</si>
  <si>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</si>
  <si>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</si>
  <si>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</si>
  <si>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</si>
  <si>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</si>
  <si>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</si>
  <si>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</si>
  <si>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</si>
  <si>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</si>
  <si>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</si>
  <si>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</si>
  <si>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</si>
  <si>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</si>
  <si>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</si>
  <si>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</si>
  <si>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</si>
  <si>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</si>
  <si>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</si>
  <si>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</si>
  <si>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</si>
  <si>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</si>
  <si>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</si>
  <si>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</si>
  <si>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</si>
  <si>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</si>
  <si>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</si>
  <si>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</si>
  <si>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</si>
  <si>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</si>
  <si>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</si>
  <si>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</si>
  <si>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</si>
  <si>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</si>
  <si>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</si>
  <si>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</si>
  <si>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</si>
  <si>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</si>
  <si>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</si>
  <si>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</si>
  <si>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</si>
  <si>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</si>
  <si>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</si>
  <si>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</si>
  <si>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</si>
  <si>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</si>
  <si>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</si>
  <si>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</si>
  <si>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</si>
  <si>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</si>
  <si>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</si>
  <si>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</si>
  <si>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</si>
  <si>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</si>
  <si>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</si>
  <si>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</si>
  <si>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</si>
  <si>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</si>
  <si>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</si>
  <si>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</si>
  <si>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</si>
  <si>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</si>
  <si>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</si>
  <si>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</si>
  <si>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</si>
  <si>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</si>
  <si>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</si>
  <si>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</si>
  <si>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</si>
  <si>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</si>
  <si>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</si>
  <si>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</si>
  <si>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</si>
  <si>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</si>
  <si>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</si>
  <si>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</si>
  <si>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</si>
  <si>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</si>
  <si>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</si>
  <si>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</si>
  <si>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</si>
  <si>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</si>
  <si>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</si>
  <si>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</si>
  <si>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</si>
  <si>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</si>
  <si>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</si>
  <si>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</si>
  <si>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</si>
  <si>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</si>
  <si>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</si>
  <si>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</si>
  <si>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</si>
  <si>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</si>
  <si>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</si>
  <si>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</si>
  <si>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</si>
  <si>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</si>
  <si>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</si>
  <si>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</si>
  <si>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</si>
  <si>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</si>
  <si>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</si>
  <si>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</si>
  <si>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</si>
  <si>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</si>
  <si>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</si>
  <si>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</si>
  <si>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</si>
  <si>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</si>
  <si>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</si>
  <si>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</si>
  <si>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</si>
  <si>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</si>
  <si>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</si>
  <si>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</si>
  <si>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</si>
  <si>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</si>
  <si>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</si>
  <si>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</si>
  <si>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</si>
  <si>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</si>
  <si>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</si>
  <si>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</si>
  <si>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</si>
  <si>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</si>
  <si>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</si>
  <si>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</si>
  <si>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</si>
  <si>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</si>
  <si>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</si>
  <si>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</si>
  <si>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</si>
  <si>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</si>
  <si>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</si>
  <si>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</si>
  <si>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</si>
  <si>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</si>
  <si>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</si>
  <si>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</si>
  <si>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</si>
  <si>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</si>
  <si>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</si>
  <si>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</si>
  <si>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</si>
  <si>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</si>
  <si>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</si>
  <si>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</si>
  <si>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</si>
  <si>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</si>
  <si>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</si>
  <si>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</si>
  <si>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</si>
  <si>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</si>
  <si>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</si>
  <si>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</si>
  <si>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</si>
  <si>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</si>
  <si>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</si>
  <si>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</si>
  <si>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</si>
  <si>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</si>
  <si>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</si>
  <si>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</si>
  <si>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</si>
  <si>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</si>
  <si>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</si>
  <si>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</si>
  <si>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</si>
  <si>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</si>
  <si>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</si>
  <si>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</si>
  <si>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</si>
  <si>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</si>
  <si>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</si>
  <si>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</si>
  <si>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</si>
  <si>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</si>
  <si>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</si>
  <si>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</si>
  <si>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</si>
  <si>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</si>
  <si>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</si>
  <si>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</si>
  <si>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</si>
  <si>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</si>
  <si>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</si>
  <si>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</si>
  <si>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</si>
  <si>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</si>
  <si>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</si>
  <si>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</si>
  <si>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</si>
  <si>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</si>
  <si>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</si>
  <si>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</si>
  <si>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</si>
  <si>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</si>
  <si>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</si>
  <si>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</si>
  <si>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</si>
  <si>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</si>
  <si>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</si>
  <si>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</si>
  <si>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</si>
  <si>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</si>
  <si>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</si>
  <si>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</si>
  <si>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</si>
  <si>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</si>
  <si>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</si>
  <si>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</si>
  <si>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</si>
  <si>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</si>
  <si>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</si>
  <si>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</si>
  <si>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</si>
  <si>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</si>
  <si>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</si>
  <si>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</si>
  <si>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</si>
  <si>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</si>
  <si>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1244200011769</t>
  </si>
  <si>
    <t>47822979</t>
  </si>
  <si>
    <t>652594, Кемеровская область-Кузбасс, Ленинск-Кузнецкий муниципальный округ, д. Красноярка, пер. Школьный, д. 2, кв.1</t>
  </si>
  <si>
    <t>89609006007</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</si>
  <si>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</si>
  <si>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</si>
  <si>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</si>
  <si>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</si>
  <si>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</si>
  <si>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</si>
  <si>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</si>
  <si>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</si>
  <si>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</si>
  <si>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</si>
  <si>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</si>
  <si>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</si>
  <si>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</si>
  <si>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</si>
  <si>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</si>
  <si>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</si>
  <si>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</si>
  <si>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</si>
  <si>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</si>
  <si>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</si>
  <si>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</si>
  <si>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</si>
  <si>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</si>
  <si>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</si>
  <si>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</si>
  <si>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</si>
  <si>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</si>
  <si>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</si>
  <si>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</si>
  <si>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</si>
  <si>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</si>
  <si>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</si>
  <si>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</si>
  <si>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</si>
  <si>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</si>
  <si>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</si>
  <si>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</si>
  <si>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</si>
  <si>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</si>
  <si>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</si>
  <si>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</si>
  <si>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</si>
  <si>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</si>
  <si>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</si>
  <si>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</si>
  <si>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</si>
  <si>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</si>
  <si>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</si>
  <si>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</si>
  <si>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</si>
  <si>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</si>
  <si>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</si>
  <si>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</si>
  <si>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</si>
  <si>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</si>
  <si>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</si>
  <si>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</si>
  <si>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</si>
  <si>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</si>
  <si>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</si>
  <si>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</si>
  <si>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</si>
  <si>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</si>
  <si>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</si>
  <si>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</si>
  <si>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</si>
  <si>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</si>
  <si>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</si>
  <si>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</si>
  <si>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</si>
  <si>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</si>
  <si>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</si>
  <si>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</si>
  <si>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</si>
  <si>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</si>
  <si>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</si>
  <si>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</si>
  <si>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</si>
  <si>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</si>
  <si>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</si>
  <si>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</si>
  <si>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</si>
  <si>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</si>
  <si>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</si>
  <si>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</si>
  <si>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</si>
  <si>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</si>
  <si>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</si>
  <si>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</si>
  <si>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</si>
  <si>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</si>
  <si>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</si>
  <si>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</si>
  <si>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</si>
  <si>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</si>
  <si>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</si>
  <si>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</si>
  <si>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</si>
  <si>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</si>
  <si>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</si>
  <si>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</si>
  <si>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</si>
  <si>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</si>
  <si>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</si>
  <si>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</si>
  <si>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</si>
  <si>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</si>
  <si>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</si>
  <si>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</si>
  <si>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</si>
  <si>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</si>
  <si>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</si>
  <si>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</si>
  <si>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</si>
  <si>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</si>
  <si>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</si>
  <si>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</si>
  <si>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</si>
  <si>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</si>
  <si>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</si>
  <si>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</si>
  <si>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</si>
  <si>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</si>
  <si>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</si>
  <si>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</si>
  <si>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</si>
  <si>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</si>
  <si>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</si>
  <si>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</si>
  <si>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</si>
  <si>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</si>
  <si>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</si>
  <si>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</si>
  <si>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</si>
  <si>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</si>
  <si>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</si>
  <si>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</si>
  <si>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</si>
  <si>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</si>
  <si>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</si>
  <si>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</si>
  <si>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</si>
  <si>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</si>
  <si>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</si>
  <si>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</si>
  <si>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</si>
  <si>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</si>
  <si>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</si>
  <si>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</si>
  <si>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</si>
  <si>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</si>
  <si>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</si>
  <si>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</si>
  <si>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</si>
  <si>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</si>
  <si>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</si>
  <si>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</si>
  <si>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</si>
  <si>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</si>
  <si>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</si>
  <si>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</si>
  <si>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</si>
  <si>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</si>
  <si>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</si>
  <si>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</si>
  <si>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</si>
  <si>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</si>
  <si>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</si>
  <si>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</si>
  <si>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</si>
  <si>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</si>
  <si>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</si>
  <si>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</si>
  <si>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</si>
  <si>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</si>
  <si>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</si>
  <si>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</si>
  <si>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</si>
  <si>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</si>
  <si>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</si>
  <si>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</si>
  <si>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</si>
  <si>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</si>
  <si>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</si>
  <si>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</si>
  <si>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</si>
  <si>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</si>
  <si>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</si>
  <si>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</si>
  <si>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</si>
  <si>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</si>
  <si>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</si>
  <si>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</si>
  <si>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</si>
  <si>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</si>
  <si>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</si>
  <si>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</si>
  <si>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</si>
  <si>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</si>
  <si>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</si>
  <si>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</si>
  <si>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</si>
  <si>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</si>
  <si>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</si>
  <si>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</si>
  <si>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</si>
  <si>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</si>
  <si>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</si>
  <si>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</si>
  <si>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</si>
  <si>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</si>
  <si>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</si>
  <si>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</si>
  <si>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</si>
  <si>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</si>
  <si>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</si>
  <si>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</si>
  <si>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</si>
  <si>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</si>
  <si>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</si>
  <si>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</si>
  <si>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</si>
  <si>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</si>
  <si>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</si>
  <si>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</si>
  <si>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</si>
  <si>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</si>
  <si>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</si>
  <si>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</si>
  <si>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</si>
  <si>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</si>
  <si>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</si>
  <si>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</si>
  <si>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</si>
  <si>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</si>
  <si>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</si>
  <si>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</si>
  <si>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</si>
  <si>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</si>
  <si>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</si>
  <si>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</si>
  <si>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</si>
  <si>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</si>
  <si>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</si>
  <si>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</si>
  <si>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</si>
  <si>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</si>
  <si>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</si>
  <si>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</si>
  <si>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</si>
  <si>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</si>
  <si>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</si>
  <si>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</si>
  <si>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</si>
  <si>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</si>
  <si>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</si>
  <si>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</si>
  <si>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</si>
  <si>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</si>
  <si>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</si>
  <si>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</si>
  <si>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</si>
  <si>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</si>
  <si>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</si>
  <si>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</si>
  <si>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</si>
  <si>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</si>
  <si>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</si>
  <si>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</si>
  <si>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</si>
  <si>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</si>
  <si>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</si>
  <si>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</si>
  <si>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</si>
  <si>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</si>
  <si>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</si>
  <si>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</si>
  <si>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</si>
  <si>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</si>
  <si>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</si>
  <si>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</si>
  <si>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</si>
  <si>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</si>
  <si>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</si>
  <si>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</si>
  <si>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</si>
  <si>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</si>
  <si>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</si>
  <si>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</si>
  <si>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</si>
  <si>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</si>
  <si>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</si>
  <si>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</si>
  <si>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</si>
  <si>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</si>
  <si>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</si>
  <si>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</si>
  <si>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</si>
  <si>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</si>
  <si>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</si>
  <si>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</si>
  <si>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</si>
  <si>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</si>
  <si>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</si>
  <si>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</si>
  <si>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</si>
  <si>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</si>
  <si>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</si>
  <si>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</si>
  <si>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</si>
  <si>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</si>
  <si>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</si>
  <si>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</si>
  <si>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</si>
  <si>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</si>
  <si>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</si>
  <si>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</si>
  <si>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</si>
  <si>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</si>
  <si>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</si>
  <si>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</si>
  <si>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</si>
  <si>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</si>
  <si>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</si>
  <si>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</si>
  <si>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</si>
  <si>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</si>
  <si>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</si>
  <si>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</si>
  <si>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</si>
  <si>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</si>
  <si>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</si>
  <si>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</si>
  <si>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</si>
  <si>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</si>
  <si>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</si>
  <si>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</si>
  <si>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</si>
  <si>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</si>
  <si>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</si>
  <si>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</si>
  <si>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</si>
  <si>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</si>
  <si>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</si>
  <si>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</si>
  <si>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</si>
  <si>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</si>
  <si>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</si>
  <si>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</si>
  <si>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</si>
  <si>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</si>
  <si>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</si>
  <si>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</si>
  <si>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</si>
  <si>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</si>
  <si>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</si>
  <si>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</si>
  <si>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</si>
  <si>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</si>
  <si>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</si>
  <si>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</si>
  <si>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</si>
  <si>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</si>
  <si>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</si>
  <si>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</si>
  <si>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</si>
  <si>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</si>
  <si>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</si>
  <si>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</si>
  <si>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</si>
  <si>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</si>
  <si>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</si>
  <si>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</si>
  <si>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</si>
  <si>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</si>
  <si>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</si>
  <si>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</si>
  <si>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</si>
  <si>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</si>
  <si>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</si>
  <si>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</si>
  <si>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</si>
  <si>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</si>
  <si>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</si>
  <si>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</si>
  <si>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</si>
  <si>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</si>
  <si>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</si>
  <si>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</si>
  <si>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</si>
  <si>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</si>
  <si>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</si>
  <si>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</si>
  <si>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</si>
  <si>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</si>
  <si>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</si>
  <si>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</si>
  <si>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</si>
  <si>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</si>
  <si>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</si>
  <si>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</si>
  <si>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</si>
  <si>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</si>
  <si>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</si>
  <si>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</si>
  <si>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</si>
  <si>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</si>
  <si>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</si>
  <si>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</si>
  <si>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</si>
  <si>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</si>
  <si>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</si>
  <si>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</si>
  <si>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</si>
  <si>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</si>
  <si>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</si>
  <si>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</si>
  <si>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</si>
  <si>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</si>
  <si>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</si>
  <si>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</si>
  <si>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</si>
  <si>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</si>
  <si>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</si>
  <si>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</si>
  <si>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</si>
  <si>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</si>
  <si>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</si>
  <si>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</si>
  <si>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</si>
  <si>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</si>
  <si>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</si>
  <si>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</si>
  <si>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</si>
  <si>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</si>
  <si>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</si>
  <si>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</si>
  <si>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</si>
  <si>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</si>
  <si>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</si>
  <si>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</si>
  <si>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</si>
  <si>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</si>
  <si>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</si>
  <si>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</si>
  <si>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</si>
  <si>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</si>
  <si>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</si>
  <si>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</si>
  <si>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</si>
  <si>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</si>
  <si>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</si>
  <si>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</si>
  <si>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</si>
  <si>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</si>
  <si>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</si>
  <si>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</si>
  <si>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</si>
  <si>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</si>
  <si>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</si>
  <si>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</si>
  <si>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</si>
  <si>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</si>
  <si>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</si>
  <si>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</si>
  <si>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</si>
  <si>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</si>
  <si>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</si>
  <si>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</si>
  <si>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</si>
  <si>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</si>
  <si>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</si>
  <si>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</si>
  <si>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</si>
  <si>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</si>
  <si>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</si>
  <si>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</si>
  <si>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</si>
  <si>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</si>
  <si>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</si>
  <si>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</si>
  <si>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</si>
  <si>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</si>
  <si>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</si>
  <si>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</si>
  <si>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</si>
  <si>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</si>
  <si>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</si>
  <si>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</si>
  <si>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</si>
  <si>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</si>
  <si>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</si>
  <si>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</si>
  <si>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</si>
  <si>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</si>
  <si>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</si>
  <si>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</si>
  <si>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</si>
  <si>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</si>
  <si>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</si>
  <si>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</si>
  <si>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</si>
  <si>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</si>
  <si>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</si>
  <si>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</si>
  <si>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</si>
  <si>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</si>
  <si>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</si>
  <si>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</si>
  <si>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</si>
  <si>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</si>
  <si>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</si>
  <si>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</si>
  <si>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</si>
  <si>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</si>
  <si>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</si>
  <si>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</si>
  <si>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</si>
  <si>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</si>
  <si>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</si>
  <si>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</si>
  <si>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</si>
  <si>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</si>
  <si>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</si>
  <si>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</si>
  <si>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</si>
  <si>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</si>
  <si>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</si>
  <si>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</si>
  <si>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</si>
  <si>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</si>
  <si>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</si>
  <si>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</si>
  <si>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</si>
  <si>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</si>
  <si>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</si>
  <si>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</si>
  <si>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(38456) 494-14</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</si>
  <si>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</si>
  <si>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</si>
  <si>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</si>
  <si>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</si>
  <si>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</si>
  <si>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</si>
  <si>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</si>
  <si>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</si>
  <si>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</si>
  <si>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</si>
  <si>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</si>
  <si>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</si>
  <si>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</si>
  <si>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</si>
  <si>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</si>
  <si>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</si>
  <si>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</si>
  <si>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</si>
  <si>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</si>
  <si>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</si>
  <si>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</si>
  <si>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</si>
  <si>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</si>
  <si>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</si>
  <si>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</si>
  <si>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</si>
  <si>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</si>
  <si>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</si>
  <si>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</si>
  <si>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</si>
  <si>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</si>
  <si>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</si>
  <si>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</si>
  <si>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</si>
  <si>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</si>
  <si>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</si>
  <si>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</si>
  <si>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</si>
  <si>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</si>
  <si>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</si>
  <si>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</si>
  <si>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</si>
  <si>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</si>
  <si>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</si>
  <si>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</si>
  <si>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</si>
  <si>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</si>
  <si>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</si>
  <si>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</si>
  <si>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</si>
  <si>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</si>
  <si>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</si>
  <si>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</si>
  <si>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</si>
  <si>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</si>
  <si>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</si>
  <si>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</si>
  <si>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</si>
  <si>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</si>
  <si>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</si>
  <si>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</si>
  <si>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</si>
  <si>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</si>
  <si>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</si>
  <si>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</si>
  <si>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</si>
  <si>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</si>
  <si>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</si>
  <si>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</si>
  <si>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</si>
  <si>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</si>
  <si>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</si>
  <si>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</si>
  <si>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</si>
  <si>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</si>
  <si>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</si>
  <si>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</si>
  <si>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</si>
  <si>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</si>
  <si>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</si>
  <si>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</si>
  <si>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</si>
  <si>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</si>
  <si>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</si>
  <si>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</si>
  <si>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</si>
  <si>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</si>
  <si>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</si>
  <si>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</si>
  <si>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</si>
  <si>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</si>
  <si>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</si>
  <si>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</si>
  <si>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</si>
  <si>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</si>
  <si>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</si>
  <si>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</si>
  <si>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</si>
  <si>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</si>
  <si>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</si>
  <si>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</si>
  <si>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</si>
  <si>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</si>
  <si>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</si>
  <si>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</si>
  <si>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</si>
  <si>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</si>
  <si>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</si>
  <si>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</si>
  <si>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</si>
  <si>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</si>
  <si>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</si>
  <si>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</si>
  <si>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</si>
  <si>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</si>
  <si>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</si>
  <si>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</si>
  <si>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</si>
  <si>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</si>
  <si>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</si>
  <si>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</si>
  <si>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</si>
  <si>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</si>
  <si>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</si>
  <si>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</si>
  <si>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</si>
  <si>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</si>
  <si>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</si>
  <si>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</si>
  <si>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</si>
  <si>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</si>
  <si>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</si>
  <si>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</si>
  <si>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</si>
  <si>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</si>
  <si>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</si>
  <si>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</si>
  <si>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</si>
  <si>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</si>
  <si>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</si>
  <si>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</si>
  <si>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</si>
  <si>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</si>
  <si>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</si>
  <si>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</si>
  <si>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</si>
  <si>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</si>
  <si>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</si>
  <si>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</si>
  <si>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</si>
  <si>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</si>
  <si>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</si>
  <si>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</si>
  <si>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</si>
  <si>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</si>
  <si>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</si>
  <si>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</si>
  <si>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</si>
  <si>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</si>
  <si>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</si>
  <si>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</si>
  <si>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</si>
  <si>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</si>
  <si>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</si>
  <si>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</si>
  <si>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</si>
  <si>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</si>
  <si>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</si>
  <si>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</si>
  <si>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</si>
  <si>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</si>
  <si>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</si>
  <si>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</si>
  <si>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</si>
  <si>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</si>
  <si>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</si>
  <si>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</si>
  <si>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</si>
  <si>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</si>
  <si>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</si>
  <si>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</si>
  <si>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</si>
  <si>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</si>
  <si>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</si>
  <si>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</si>
  <si>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</si>
  <si>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</si>
  <si>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</si>
  <si>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</si>
  <si>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</si>
  <si>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</si>
  <si>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</si>
  <si>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</si>
  <si>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</si>
  <si>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</si>
  <si>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</si>
  <si>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</si>
  <si>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</si>
  <si>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</si>
  <si>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</si>
  <si>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</si>
  <si>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</si>
  <si>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</si>
  <si>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</si>
  <si>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</si>
  <si>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</si>
  <si>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</si>
  <si>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</si>
  <si>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</si>
  <si>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</si>
  <si>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</si>
  <si>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</si>
  <si>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</si>
  <si>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</si>
  <si>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</si>
  <si>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</si>
  <si>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</si>
  <si>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</si>
  <si>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</si>
  <si>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</si>
  <si>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</si>
  <si>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</si>
  <si>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</si>
  <si>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</si>
  <si>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</si>
  <si>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</si>
  <si>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</si>
  <si>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</si>
  <si>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</si>
  <si>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</si>
  <si>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</si>
  <si>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</si>
  <si>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</si>
  <si>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</si>
  <si>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</si>
  <si>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</si>
  <si>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</si>
  <si>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</si>
  <si>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</si>
  <si>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</si>
  <si>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</si>
  <si>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</si>
  <si>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</si>
  <si>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</si>
  <si>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</si>
  <si>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</si>
  <si>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</si>
  <si>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</si>
  <si>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</si>
  <si>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</si>
  <si>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</si>
  <si>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</si>
  <si>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</si>
  <si>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</si>
  <si>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</si>
  <si>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</si>
  <si>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</si>
  <si>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</si>
  <si>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</si>
  <si>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</si>
  <si>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</si>
  <si>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</si>
  <si>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</si>
  <si>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</si>
  <si>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</si>
  <si>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</si>
  <si>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</si>
  <si>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</si>
  <si>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</si>
  <si>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</si>
  <si>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</si>
  <si>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</si>
  <si>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</si>
  <si>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</si>
  <si>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</si>
  <si>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</si>
  <si>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</si>
  <si>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</si>
  <si>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</si>
  <si>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</si>
  <si>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</si>
  <si>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</si>
  <si>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</si>
  <si>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</si>
  <si>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</si>
  <si>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</si>
  <si>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</si>
  <si>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</si>
  <si>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</si>
  <si>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</si>
  <si>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</si>
  <si>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</si>
  <si>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</si>
  <si>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</si>
  <si>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</si>
  <si>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</si>
  <si>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</si>
  <si>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</si>
  <si>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</si>
  <si>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</si>
  <si>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</si>
  <si>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</si>
  <si>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</si>
  <si>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</si>
  <si>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</si>
  <si>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</si>
  <si>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</si>
  <si>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</si>
  <si>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</si>
  <si>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</si>
  <si>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</si>
  <si>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</si>
  <si>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</si>
  <si>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</si>
  <si>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</si>
  <si>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</si>
  <si>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</si>
  <si>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</si>
  <si>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</si>
  <si>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</si>
  <si>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</si>
  <si>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</si>
  <si>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</si>
  <si>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</si>
  <si>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</si>
  <si>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</si>
  <si>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</si>
  <si>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</si>
  <si>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</si>
  <si>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</si>
  <si>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</si>
  <si>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</si>
  <si>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</si>
  <si>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</si>
  <si>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</si>
  <si>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</si>
  <si>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</si>
  <si>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</si>
  <si>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</si>
  <si>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</si>
  <si>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</si>
  <si>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</si>
  <si>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</si>
  <si>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</si>
  <si>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</si>
  <si>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</si>
  <si>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</si>
  <si>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</si>
  <si>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</si>
  <si>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</si>
  <si>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</si>
  <si>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</si>
  <si>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</si>
  <si>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</si>
  <si>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</si>
  <si>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</si>
  <si>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</si>
  <si>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</si>
  <si>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</si>
  <si>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</si>
  <si>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</si>
  <si>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</si>
  <si>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</si>
  <si>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</si>
  <si>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</si>
  <si>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</si>
  <si>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</si>
  <si>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</si>
  <si>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</si>
  <si>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</si>
  <si>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</si>
  <si>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</si>
  <si>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</si>
  <si>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</si>
  <si>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</si>
  <si>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</si>
  <si>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</si>
  <si>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</si>
  <si>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</si>
  <si>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</si>
  <si>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</si>
  <si>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</si>
  <si>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</si>
  <si>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</si>
  <si>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</si>
  <si>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</si>
  <si>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</si>
  <si>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</si>
  <si>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</si>
  <si>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</si>
  <si>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</si>
  <si>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</si>
  <si>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</si>
  <si>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</si>
  <si>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</si>
  <si>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</si>
  <si>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</si>
  <si>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</si>
  <si>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</si>
  <si>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</si>
  <si>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</si>
  <si>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</si>
  <si>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</si>
  <si>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</si>
  <si>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</si>
  <si>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</si>
  <si>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</si>
  <si>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</si>
  <si>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</si>
  <si>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</si>
  <si>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</si>
  <si>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</si>
  <si>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</si>
  <si>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</si>
  <si>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</si>
  <si>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</si>
  <si>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</si>
  <si>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</si>
  <si>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</si>
  <si>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</si>
  <si>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</si>
  <si>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</si>
  <si>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</si>
  <si>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</si>
  <si>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</si>
  <si>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</si>
  <si>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</si>
  <si>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</si>
  <si>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</si>
  <si>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</si>
  <si>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</si>
  <si>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</si>
  <si>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</si>
  <si>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</si>
  <si>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</si>
  <si>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</si>
  <si>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</si>
  <si>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</si>
  <si>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</si>
  <si>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</si>
  <si>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</si>
  <si>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</si>
  <si>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</si>
  <si>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</si>
  <si>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</si>
  <si>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</si>
  <si>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</si>
  <si>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</si>
  <si>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</si>
  <si>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</si>
  <si>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</si>
  <si>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</si>
  <si>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</si>
  <si>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</si>
  <si>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</si>
  <si>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</si>
  <si>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</si>
  <si>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</si>
  <si>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</si>
  <si>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</si>
  <si>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</si>
  <si>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</si>
  <si>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</si>
  <si>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</si>
  <si>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</si>
  <si>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</si>
  <si>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</si>
  <si>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</si>
  <si>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</si>
  <si>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</si>
  <si>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</si>
  <si>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</si>
  <si>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</si>
  <si>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</si>
  <si>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</si>
  <si>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</si>
  <si>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</si>
  <si>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</si>
  <si>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</si>
  <si>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</si>
  <si>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</si>
  <si>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</si>
  <si>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</si>
  <si>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</si>
  <si>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</si>
  <si>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</si>
  <si>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</si>
  <si>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</si>
  <si>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</si>
  <si>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</si>
  <si>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</si>
  <si>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</si>
  <si>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</si>
  <si>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</si>
  <si>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</si>
  <si>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</si>
  <si>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</si>
  <si>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</si>
  <si>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</si>
  <si>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</si>
  <si>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</si>
  <si>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</si>
  <si>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</si>
  <si>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</si>
  <si>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</si>
  <si>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</si>
  <si>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</si>
  <si>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</si>
  <si>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</si>
  <si>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</si>
  <si>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</si>
  <si>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</si>
  <si>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</si>
  <si>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</si>
  <si>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</si>
  <si>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</si>
  <si>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</si>
  <si>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</si>
  <si>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</si>
  <si>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</si>
  <si>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</si>
  <si>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</si>
  <si>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</si>
  <si>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</si>
  <si>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</si>
  <si>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</si>
  <si>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</si>
  <si>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</si>
  <si>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</si>
  <si>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</si>
  <si>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</si>
  <si>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</si>
  <si>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</si>
  <si>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</si>
  <si>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</si>
  <si>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</si>
  <si>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</si>
  <si>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</si>
  <si>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</si>
  <si>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</si>
  <si>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</si>
  <si>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</si>
  <si>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</si>
  <si>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</si>
  <si>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</si>
  <si>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</si>
  <si>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</si>
  <si>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</si>
  <si>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</si>
  <si>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</si>
  <si>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</si>
  <si>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</si>
  <si>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</si>
  <si>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</si>
  <si>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</si>
  <si>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</si>
  <si>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</si>
  <si>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</si>
  <si>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</si>
  <si>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</si>
  <si>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</si>
  <si>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</si>
  <si>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</si>
  <si>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</si>
  <si>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</si>
  <si>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</si>
  <si>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</si>
  <si>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</si>
  <si>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</si>
  <si>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</si>
  <si>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</si>
  <si>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</si>
  <si>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</si>
  <si>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</si>
  <si>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</si>
  <si>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</si>
  <si>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</si>
  <si>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</si>
  <si>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</si>
  <si>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</si>
  <si>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</si>
  <si>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</si>
  <si>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</si>
  <si>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</si>
  <si>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</si>
  <si>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</si>
  <si>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</si>
  <si>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</si>
  <si>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</si>
  <si>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</si>
  <si>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</si>
  <si>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</si>
  <si>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</si>
  <si>
    <t>Тариф: Носитель - горячая вода (Т) :: Котельная (СЦТ): Л-Кузнецкий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</si>
</sst>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
      <left style="thin">
        <color theme="0" tint="-0.25"/>
      </left>
      <right style="undefined">
        <color rgb="0"/>
      </right>
      <top style="thin">
        <color theme="0" tint="-0.25"/>
      </top>
      <bottom style="thin">
        <color theme="0" tint="-0.25"/>
      </bottom>
    </border>
  </borders>
  <cellStyleXfs count="15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5" applyFont="1" applyFill="1" applyBorder="1" applyNumberFormat="1">
      <alignment vertical="center"/>
    </xf>
    <xf numFmtId="4" fontId="19" fillId="34" borderId="10" applyFont="1" applyFill="1" applyBorder="1" applyNumberFormat="1">
      <alignment vertical="center"/>
    </xf>
    <xf numFmtId="49" fontId="21" fillId="34" borderId="15"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5" applyFont="1" applyFill="1" applyBorder="1" applyNumberFormat="1">
      <alignment vertical="center"/>
    </xf>
    <xf numFmtId="0" fontId="20" fillId="0" borderId="11" applyFont="1" applyFill="0" applyBorder="1">
      <alignment horizontal="left" vertical="center" wrapText="1"/>
    </xf>
    <xf numFmtId="10" fontId="19" fillId="34" borderId="15"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5" applyFont="1" applyFill="1" applyBorder="1" applyNumberFormat="1">
      <alignment vertical="center"/>
    </xf>
    <xf numFmtId="4" fontId="22"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9" applyFont="1" applyFill="1" applyBorder="1" applyNumberFormat="1">
      <alignment horizontal="right" vertical="center"/>
    </xf>
    <xf numFmtId="4" fontId="22" fillId="34" borderId="10" applyFont="1" applyFill="1" applyBorder="1" applyNumberFormat="1">
      <alignment horizontal="right" vertical="center"/>
    </xf>
    <xf numFmtId="0" fontId="20" fillId="34" borderId="26" applyFont="1" applyFill="1" applyBorder="1">
      <alignment horizontal="left" vertical="center" wrapText="1"/>
    </xf>
    <xf numFmtId="0" fontId="20" fillId="34" borderId="1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2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8"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4" fillId="34" borderId="10" applyFont="1" applyFill="1" applyBorder="1" applyNumberFormat="1">
      <alignment vertical="center" wrapText="1"/>
    </xf>
    <xf numFmtId="4" fontId="24" fillId="34" borderId="27"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4" applyFont="1" applyFill="0" applyBorder="1" applyNumberFormat="1">
      <alignment vertical="center" wrapText="1"/>
    </xf>
    <xf numFmtId="49" fontId="21" fillId="33" borderId="10" applyFont="1" applyFill="1" applyBorder="1" applyNumberFormat="1">
      <alignment vertical="center" wrapText="1"/>
    </xf>
    <xf numFmtId="4" fontId="21" fillId="34" borderId="24" applyFont="1" applyFill="1" applyBorder="1" applyNumberFormat="1">
      <alignment vertical="center" wrapText="1"/>
    </xf>
    <xf numFmtId="4" fontId="21" fillId="34" borderId="15" applyFont="1" applyFill="1" applyBorder="1" applyNumberFormat="1">
      <alignment vertical="center" wrapText="1"/>
    </xf>
    <xf numFmtId="4" fontId="21"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5"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5" applyFont="1" applyFill="1" applyBorder="1">
      <alignment horizontal="left" vertical="center" wrapText="1" indent="2"/>
    </xf>
    <xf numFmtId="4" fontId="19" fillId="34" borderId="28"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9" applyFont="1" applyFill="1" applyBorder="1" applyNumberFormat="1">
      <alignment horizontal="right" vertical="center"/>
    </xf>
    <xf numFmtId="2" fontId="20" fillId="34" borderId="29" applyFont="1" applyFill="1" applyBorder="1" applyNumberFormat="1">
      <alignment horizontal="right" vertical="center"/>
    </xf>
    <xf numFmtId="4" fontId="25" fillId="0" borderId="29" applyFont="1" applyFill="0" applyBorder="1" applyNumberFormat="1">
      <alignment horizontal="right" vertical="center"/>
    </xf>
  </cellStyleXfs>
  <cellXfs count="212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19" fillId="34" borderId="18" xfId="66" applyFont="1" applyFill="1" applyBorder="1" applyNumberFormat="1">
      <alignment horizontal="right" vertical="center"/>
    </xf>
    <xf numFmtId="4" fontId="20" fillId="34" borderId="11" xfId="67" applyFont="1" applyFill="1" applyBorder="1" applyNumberFormat="1">
      <alignment horizontal="right" vertical="center"/>
    </xf>
    <xf numFmtId="2" fontId="20" fillId="35" borderId="11" xfId="68" applyFont="1" applyFill="1" applyBorder="1" applyNumberFormat="1">
      <alignment horizontal="right" vertical="center"/>
    </xf>
    <xf numFmtId="0" fontId="20" fillId="34" borderId="19" xfId="69" applyFont="1" applyFill="1" applyBorder="1">
      <alignment horizontal="left" vertical="center" wrapText="1"/>
    </xf>
    <xf numFmtId="2" fontId="20" fillId="34" borderId="19" xfId="70" applyFont="1" applyFill="1" applyBorder="1" applyNumberFormat="1">
      <alignment horizontal="right" vertical="center"/>
    </xf>
    <xf numFmtId="4" fontId="20" fillId="34" borderId="20" xfId="71" applyFont="1" applyFill="1" applyBorder="1" applyNumberFormat="1">
      <alignment horizontal="right" vertical="center"/>
    </xf>
    <xf numFmtId="2" fontId="2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5"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4" fontId="19" fillId="34" borderId="21"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20" xfId="80" applyFont="1" applyFill="1" applyBorder="1">
      <alignment horizontal="lef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25"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5" xfId="86" applyFont="1" applyFill="1" applyBorder="1" applyNumberFormat="1">
      <alignment vertical="center"/>
    </xf>
    <xf numFmtId="4" fontId="19" fillId="34" borderId="10" xfId="87" applyFont="1" applyFill="1" applyBorder="1" applyNumberFormat="1">
      <alignment vertical="center"/>
    </xf>
    <xf numFmtId="49" fontId="21" fillId="34" borderId="15"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5" xfId="90" applyFont="1" applyFill="1" applyBorder="1" applyNumberFormat="1">
      <alignment vertical="center"/>
    </xf>
    <xf numFmtId="0" fontId="20" fillId="0" borderId="11" xfId="91" applyFont="1" applyBorder="1">
      <alignment horizontal="left" vertical="center" wrapText="1"/>
    </xf>
    <xf numFmtId="10" fontId="19" fillId="34" borderId="15"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5" xfId="96" applyFont="1" applyFill="1" applyBorder="1" applyNumberFormat="1">
      <alignment vertical="center"/>
    </xf>
    <xf numFmtId="4" fontId="22" fillId="34" borderId="20"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9"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6" xfId="103" applyFont="1" applyFill="1" applyBorder="1">
      <alignment horizontal="left" vertical="center" wrapText="1"/>
    </xf>
    <xf numFmtId="0" fontId="20" fillId="34" borderId="1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20" fillId="34" borderId="10" xfId="111" applyFont="1" applyFill="1" applyBorder="1" applyNumberFormat="1">
      <alignment horizontal="right" vertical="center" wrapText="1"/>
    </xf>
    <xf numFmtId="172" fontId="0" fillId="34" borderId="10" xfId="112" applyFont="1" applyFill="1" applyBorder="1" applyNumberFormat="1">
      <alignment horizontal="right" vertical="center" wrapText="1"/>
    </xf>
    <xf numFmtId="4" fontId="23" fillId="34" borderId="10" xfId="113" applyFont="1" applyFill="1" applyBorder="1" applyNumberFormat="1">
      <alignment horizontal="right" vertical="center"/>
    </xf>
    <xf numFmtId="172" fontId="20" fillId="34" borderId="10" xfId="114" applyFont="1" applyFill="1" applyBorder="1" applyNumberFormat="1">
      <alignment horizontal="right" vertical="center"/>
    </xf>
    <xf numFmtId="49" fontId="19" fillId="33" borderId="14" xfId="115" applyFont="1" applyFill="1" applyBorder="1" applyNumberFormat="1">
      <alignment horizontal="left" vertical="center" wrapText="1" indent="1"/>
    </xf>
    <xf numFmtId="4" fontId="20" fillId="34" borderId="14" xfId="116" applyFont="1" applyFill="1" applyBorder="1" applyNumberFormat="1">
      <alignment horizontal="right" vertical="center"/>
    </xf>
    <xf numFmtId="4" fontId="20" fillId="34" borderId="18" xfId="117" applyFont="1" applyFill="1" applyBorder="1" applyNumberFormat="1">
      <alignment horizontal="right" vertical="center"/>
    </xf>
    <xf numFmtId="2" fontId="21" fillId="34" borderId="10" xfId="118" applyFont="1" applyFill="1" applyBorder="1" applyNumberFormat="1">
      <alignment vertical="center" wrapText="1"/>
    </xf>
    <xf numFmtId="2" fontId="21" fillId="34" borderId="14" xfId="119" applyFont="1" applyFill="1" applyBorder="1" applyNumberFormat="1">
      <alignment vertical="center" wrapText="1"/>
    </xf>
    <xf numFmtId="4" fontId="24" fillId="34" borderId="10" xfId="120" applyFont="1" applyFill="1" applyBorder="1" applyNumberFormat="1">
      <alignment vertical="center" wrapText="1"/>
    </xf>
    <xf numFmtId="4" fontId="24" fillId="34" borderId="27" xfId="121" applyFont="1" applyFill="1" applyBorder="1" applyNumberFormat="1">
      <alignment vertical="center" wrapText="1"/>
    </xf>
    <xf numFmtId="4" fontId="20" fillId="35" borderId="10" xfId="122" applyFont="1" applyFill="1" applyBorder="1" applyNumberFormat="1">
      <alignment horizontal="right" vertical="center"/>
    </xf>
    <xf numFmtId="2" fontId="20" fillId="34" borderId="10" xfId="123" applyFont="1" applyFill="1" applyBorder="1" applyNumberFormat="1">
      <alignment horizontal="right" vertical="center"/>
    </xf>
    <xf numFmtId="4" fontId="21" fillId="34" borderId="10" xfId="124" applyFont="1" applyFill="1" applyBorder="1" applyNumberFormat="1">
      <alignment vertical="center" wrapText="1"/>
    </xf>
    <xf numFmtId="9" fontId="19" fillId="34" borderId="10" xfId="125" applyFont="1" applyFill="1" applyBorder="1" applyNumberFormat="1">
      <alignment horizontal="right" vertical="center" wrapText="1"/>
    </xf>
    <xf numFmtId="2" fontId="22" fillId="32" borderId="10" xfId="126" applyFont="1" applyFill="1" applyBorder="1" applyNumberFormat="1">
      <alignment horizontal="center" vertical="center" wrapText="1"/>
    </xf>
    <xf numFmtId="2" fontId="19" fillId="34" borderId="10" xfId="127" applyFont="1" applyFill="1" applyBorder="1" applyNumberFormat="1">
      <alignment horizontal="right" vertical="center" wrapText="1"/>
    </xf>
    <xf numFmtId="2" fontId="19" fillId="34" borderId="10" xfId="128" applyFont="1" applyFill="1" applyBorder="1" applyNumberFormat="1">
      <alignment horizontal="center" vertical="center" wrapText="1"/>
    </xf>
    <xf numFmtId="2" fontId="19" fillId="32" borderId="10" xfId="129" applyFont="1" applyFill="1" applyBorder="1" applyNumberFormat="1">
      <alignment horizontal="center" vertical="center" wrapText="1"/>
    </xf>
    <xf numFmtId="49" fontId="20" fillId="0" borderId="10" xfId="130" applyFont="1" applyBorder="1" applyNumberFormat="1">
      <alignment horizontal="left" vertical="center" wrapText="1" indent="1"/>
    </xf>
    <xf numFmtId="49" fontId="20" fillId="0" borderId="10" xfId="131" applyFont="1" applyBorder="1" applyNumberFormat="1">
      <alignment horizontal="left" vertical="center" wrapText="1" indent="2"/>
    </xf>
    <xf numFmtId="4" fontId="21" fillId="34" borderId="14" xfId="132" applyFont="1" applyFill="1" applyBorder="1" applyNumberFormat="1">
      <alignment vertical="center" wrapText="1"/>
    </xf>
    <xf numFmtId="4" fontId="21" fillId="0" borderId="24" xfId="133" applyFont="1" applyBorder="1" applyNumberFormat="1">
      <alignment vertical="center" wrapText="1"/>
    </xf>
    <xf numFmtId="49" fontId="21" fillId="33" borderId="10" xfId="134" applyFont="1" applyFill="1" applyBorder="1" applyNumberFormat="1">
      <alignment vertical="center" wrapText="1"/>
    </xf>
    <xf numFmtId="4" fontId="21" fillId="34" borderId="24" xfId="135" applyFont="1" applyFill="1" applyBorder="1" applyNumberFormat="1">
      <alignment vertical="center" wrapText="1"/>
    </xf>
    <xf numFmtId="4" fontId="21" fillId="34" borderId="15" xfId="136" applyFont="1" applyFill="1" applyBorder="1" applyNumberFormat="1">
      <alignment vertical="center" wrapText="1"/>
    </xf>
    <xf numFmtId="4" fontId="21" fillId="34" borderId="18" xfId="137" applyFont="1" applyFill="1" applyBorder="1" applyNumberFormat="1">
      <alignment vertical="center" wrapText="1"/>
    </xf>
    <xf numFmtId="4" fontId="20" fillId="34" borderId="24" xfId="138" applyFont="1" applyFill="1" applyBorder="1" applyNumberFormat="1">
      <alignment horizontal="right" vertical="center"/>
    </xf>
    <xf numFmtId="4" fontId="20" fillId="34" borderId="15" xfId="139" applyFont="1" applyFill="1" applyBorder="1" applyNumberFormat="1">
      <alignment horizontal="right" vertical="center"/>
    </xf>
    <xf numFmtId="0" fontId="19" fillId="34" borderId="10" xfId="140" applyFont="1" applyFill="1" applyBorder="1">
      <alignment horizontal="left" vertical="center"/>
    </xf>
    <xf numFmtId="10" fontId="19" fillId="34" borderId="10" xfId="141" applyFont="1" applyFill="1" applyBorder="1" applyNumberFormat="1">
      <alignment horizontal="right" vertical="center"/>
    </xf>
    <xf numFmtId="0" fontId="19" fillId="34" borderId="14" xfId="142" applyFont="1" applyFill="1" applyBorder="1">
      <alignment horizontal="left" vertical="center"/>
    </xf>
    <xf numFmtId="0" fontId="19" fillId="34" borderId="14" xfId="143" applyFont="1" applyFill="1" applyBorder="1">
      <alignment horizontal="left" vertical="center" wrapText="1"/>
    </xf>
    <xf numFmtId="0" fontId="19" fillId="33" borderId="15" xfId="144" applyFont="1" applyFill="1" applyBorder="1">
      <alignment horizontal="left" vertical="center" wrapText="1" indent="2"/>
    </xf>
    <xf numFmtId="4" fontId="19" fillId="34" borderId="28" xfId="145" applyFont="1" applyFill="1" applyBorder="1" applyNumberFormat="1">
      <alignment horizontal="right" vertical="center"/>
    </xf>
    <xf numFmtId="0" fontId="19" fillId="33" borderId="10" xfId="146" applyFont="1" applyFill="1" applyBorder="1">
      <alignment horizontal="left" vertical="center" wrapText="1" indent="3"/>
    </xf>
    <xf numFmtId="4" fontId="23" fillId="34" borderId="11" xfId="147" applyFont="1" applyFill="1" applyBorder="1" applyNumberFormat="1">
      <alignment horizontal="right" vertical="center"/>
    </xf>
    <xf numFmtId="172" fontId="20" fillId="34" borderId="11" xfId="148" applyFont="1" applyFill="1" applyBorder="1" applyNumberFormat="1">
      <alignment horizontal="right" vertical="center"/>
    </xf>
    <xf numFmtId="49" fontId="19" fillId="33" borderId="11" xfId="149" applyFont="1" applyFill="1" applyBorder="1" applyNumberFormat="1">
      <alignment horizontal="left" vertical="center" wrapText="1"/>
    </xf>
    <xf numFmtId="4" fontId="20" fillId="34" borderId="29" xfId="150" applyFont="1" applyFill="1" applyBorder="1" applyNumberFormat="1">
      <alignment horizontal="right" vertical="center"/>
    </xf>
    <xf numFmtId="2" fontId="20" fillId="34" borderId="29" xfId="151" applyFont="1" applyFill="1" applyBorder="1" applyNumberFormat="1">
      <alignment horizontal="right" vertical="center"/>
    </xf>
    <xf numFmtId="4" fontId="25" fillId="0" borderId="29" xfId="152"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4" xfId="0" applyFont="1" applyBorder="1">
      <alignment horizontal="right" vertical="center" wrapText="1" indent="1"/>
    </xf>
    <xf numFmtId="0" fontId="19" fillId="0" borderId="27"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7"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9" xfId="0" applyFont="1" applyFill="1" applyBorder="1" applyNumberFormat="1">
      <alignment horizontal="left" vertical="center" wrapText="1" indent="1"/>
    </xf>
    <xf numFmtId="0" fontId="39" fillId="40" borderId="27"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5"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4" xfId="0" applyFont="1" applyFill="1" applyBorder="1">
      <alignment horizontal="left" vertical="center"/>
    </xf>
    <xf numFmtId="0" fontId="1" fillId="0" borderId="30" xfId="0" applyFont="1" applyBorder="1">
      <alignment vertical="center"/>
    </xf>
    <xf numFmtId="0" fontId="39" fillId="40" borderId="15"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4" xfId="0" applyFont="1" applyFill="1" applyBorder="1" applyNumberFormat="1">
      <alignment horizontal="left" vertical="center" wrapText="1" indent="1"/>
    </xf>
    <xf numFmtId="49" fontId="40" fillId="41" borderId="27" xfId="0" applyFont="1" applyFill="1" applyBorder="1" applyNumberFormat="1">
      <alignment horizontal="left" vertical="center" wrapText="1" indent="1"/>
    </xf>
    <xf numFmtId="49" fontId="40" fillId="41" borderId="15"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4"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9"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4" xfId="0" applyFont="1" applyFill="1" applyBorder="1" applyNumberFormat="1">
      <alignment horizontal="center" vertical="center" wrapText="1"/>
    </xf>
    <xf numFmtId="49" fontId="43" fillId="44" borderId="22"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5"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2" xfId="0" applyFont="1" applyFill="1" applyBorder="1">
      <alignment horizontal="left" vertical="center" indent="1"/>
    </xf>
    <xf numFmtId="0" fontId="22" fillId="42" borderId="48" xfId="0" applyFont="1" applyFill="1" applyBorder="1">
      <alignment vertical="center" wrapText="1"/>
    </xf>
    <xf numFmtId="0" fontId="22" fillId="42" borderId="16" xfId="0" applyFont="1" applyFill="1" applyBorder="1">
      <alignment vertical="center" wrapText="1"/>
    </xf>
    <xf numFmtId="49" fontId="22" fillId="42" borderId="48" xfId="0" applyFont="1" applyFill="1" applyBorder="1" applyNumberFormat="1">
      <alignment vertical="center" wrapText="1"/>
    </xf>
    <xf numFmtId="49" fontId="22" fillId="42" borderId="16" xfId="0" applyFont="1" applyFill="1" applyBorder="1" applyNumberFormat="1">
      <alignment vertical="center" wrapText="1"/>
    </xf>
    <xf numFmtId="0" fontId="19" fillId="44" borderId="22"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1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1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7"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7" xfId="0" applyFont="1" applyFill="1" applyBorder="1">
      <alignment vertical="center" wrapText="1"/>
    </xf>
    <xf numFmtId="0" fontId="20" fillId="41" borderId="27" xfId="0" applyFont="1" applyFill="1" applyBorder="1">
      <alignment vertical="center"/>
    </xf>
    <xf numFmtId="0" fontId="20" fillId="41" borderId="15"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1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1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2" xfId="0" applyFont="1" applyFill="1" applyBorder="1" applyNumberFormat="1">
      <alignment horizontal="left" vertical="center"/>
    </xf>
    <xf numFmtId="4" fontId="20" fillId="0" borderId="29"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3"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4" xfId="0" applyFont="1" applyBorder="1"/>
    <xf numFmtId="0" fontId="56" fillId="0" borderId="27" xfId="0" applyFont="1" applyBorder="1"/>
    <xf numFmtId="0" fontId="56" fillId="0" borderId="15" xfId="0" applyFont="1" applyBorder="1"/>
    <xf numFmtId="0" fontId="56" fillId="0" borderId="41" xfId="0" applyFont="1" applyBorder="1"/>
    <xf numFmtId="0" fontId="20" fillId="0" borderId="27" xfId="0" applyFont="1" applyBorder="1">
      <alignment horizontal="center" vertical="center" wrapText="1"/>
    </xf>
    <xf numFmtId="0" fontId="19" fillId="0" borderId="24" xfId="0" applyFont="1" applyBorder="1">
      <alignment horizontal="center" vertical="center" wrapText="1"/>
    </xf>
    <xf numFmtId="0" fontId="19" fillId="0" borderId="27" xfId="0" applyFont="1" applyBorder="1">
      <alignment horizontal="center" vertical="center" wrapText="1"/>
    </xf>
    <xf numFmtId="0" fontId="20" fillId="35" borderId="27"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5" xfId="0" applyFont="1" applyBorder="1">
      <alignment horizontal="center" vertical="center" wrapText="1"/>
    </xf>
    <xf numFmtId="4" fontId="20" fillId="42" borderId="15" xfId="0" applyFont="1" applyFill="1" applyBorder="1" applyNumberFormat="1">
      <alignment horizontal="right" vertical="center"/>
    </xf>
    <xf numFmtId="0" fontId="19" fillId="0" borderId="27" xfId="0" applyFont="1" applyBorder="1">
      <alignment horizontal="center" vertical="center"/>
    </xf>
    <xf numFmtId="0" fontId="20" fillId="0" borderId="17"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2"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9"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8"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5"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16" xfId="0" applyFont="1" applyBorder="1">
      <alignment horizontal="left" vertical="center" wrapText="1" indent="2"/>
    </xf>
    <xf numFmtId="0" fontId="19" fillId="0" borderId="11"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22"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2" xfId="0" applyFont="1" applyBorder="1">
      <alignment horizontal="center" vertical="center"/>
    </xf>
    <xf numFmtId="49" fontId="19" fillId="0" borderId="24"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22" fillId="0" borderId="15"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5" xfId="0" applyFont="1" applyFill="1" applyBorder="1" applyNumberFormat="1">
      <alignment horizontal="right" vertical="center"/>
    </xf>
    <xf numFmtId="0" fontId="19" fillId="0" borderId="10"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3" fillId="38" borderId="0" xfId="0" applyFont="1" applyFill="1"/>
    <xf numFmtId="49" fontId="22" fillId="0" borderId="22" xfId="0" applyFont="1" applyBorder="1" applyNumberFormat="1">
      <alignment horizontal="left" vertical="center"/>
    </xf>
    <xf numFmtId="49" fontId="22"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2" fillId="42" borderId="20"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1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5"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8"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8"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5" xfId="0" applyFont="1" applyFill="1" applyBorder="1" applyNumberFormat="1">
      <alignment vertical="center" wrapText="1"/>
      <protection locked="0"/>
    </xf>
    <xf numFmtId="49" fontId="24" fillId="36" borderId="18" xfId="0" applyFont="1" applyFill="1" applyBorder="1" applyNumberFormat="1">
      <alignment horizontal="center" vertical="center" wrapText="1"/>
    </xf>
    <xf numFmtId="49" fontId="24" fillId="36" borderId="18"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4"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4" xfId="0" applyFont="1" applyFill="1" applyBorder="1" applyNumberFormat="1">
      <alignment vertical="center" wrapText="1"/>
    </xf>
    <xf numFmtId="4" fontId="21" fillId="0" borderId="24" xfId="0" applyFont="1" applyBorder="1" applyNumberFormat="1">
      <alignment vertical="center" wrapText="1"/>
      <protection locked="0"/>
    </xf>
    <xf numFmtId="4" fontId="21" fillId="34" borderId="24" xfId="0" applyFont="1" applyFill="1" applyBorder="1" applyNumberFormat="1">
      <alignment vertical="center" wrapText="1"/>
      <protection locked="0"/>
    </xf>
    <xf numFmtId="4" fontId="21" fillId="42" borderId="15" xfId="0" applyFont="1" applyFill="1" applyBorder="1" applyNumberFormat="1">
      <alignment vertical="center" wrapText="1"/>
    </xf>
    <xf numFmtId="4" fontId="21" fillId="0" borderId="15"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3"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1"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16" xfId="0" applyFont="1" applyBorder="1">
      <alignment horizontal="center" vertical="center" wrapText="1"/>
    </xf>
    <xf numFmtId="49" fontId="25" fillId="0" borderId="0" xfId="0" applyFont="1" applyNumberFormat="1">
      <alignment horizontal="center" vertical="center" wrapText="1"/>
    </xf>
    <xf numFmtId="49" fontId="25" fillId="0" borderId="15"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16" xfId="0" applyFont="1" applyBorder="1">
      <alignment horizontal="left" vertical="center" wrapText="1" indent="3"/>
    </xf>
    <xf numFmtId="0" fontId="19" fillId="0" borderId="11"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2" xfId="0" applyFont="1" applyBorder="1">
      <alignment horizontal="center" vertical="center" wrapText="1"/>
    </xf>
    <xf numFmtId="172" fontId="19" fillId="42" borderId="16" xfId="0" applyFont="1" applyFill="1" applyBorder="1" applyNumberFormat="1">
      <alignment vertical="center"/>
    </xf>
    <xf numFmtId="4" fontId="21"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3" xfId="0" applyFont="1" applyBorder="1">
      <alignment horizontal="center" vertical="center" wrapText="1"/>
    </xf>
    <xf numFmtId="0" fontId="19" fillId="0" borderId="26"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7" xfId="0" applyFont="1" applyFill="1" applyBorder="1">
      <alignment horizontal="center" vertical="center" wrapText="1"/>
    </xf>
    <xf numFmtId="0" fontId="19" fillId="35" borderId="27"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1" fillId="41" borderId="24" xfId="0" applyFont="1" applyFill="1" applyBorder="1" applyNumberFormat="1">
      <alignment horizontal="center" vertical="center" wrapText="1"/>
    </xf>
    <xf numFmtId="49" fontId="19" fillId="41" borderId="27" xfId="0" applyFont="1" applyFill="1" applyBorder="1" applyNumberFormat="1">
      <alignment horizontal="center" vertical="center" wrapText="1"/>
    </xf>
    <xf numFmtId="4" fontId="20" fillId="41" borderId="27"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7" xfId="0" applyFont="1" applyFill="1" applyBorder="1" applyNumberFormat="1">
      <alignment horizontal="left" vertical="center" wrapText="1" indent="1"/>
    </xf>
    <xf numFmtId="0" fontId="19" fillId="0" borderId="0" xfId="0" applyFont="1">
      <alignment vertical="center"/>
    </xf>
    <xf numFmtId="0" fontId="20" fillId="35" borderId="24"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5"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5"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9"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5"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9"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16" xfId="0" applyFont="1" applyFill="1" applyBorder="1">
      <alignment horizontal="left" vertical="center" wrapText="1" indent="1"/>
      <protection locked="0"/>
    </xf>
    <xf numFmtId="49" fontId="19" fillId="0" borderId="26" xfId="0" applyFont="1" applyBorder="1" applyNumberFormat="1">
      <alignment horizontal="right" vertical="center" wrapText="1" indent="1"/>
    </xf>
    <xf numFmtId="0" fontId="26" fillId="38" borderId="0" xfId="0" applyFont="1" applyFill="1">
      <alignment vertical="center" wrapText="1"/>
    </xf>
    <xf numFmtId="0" fontId="20" fillId="0" borderId="16" xfId="0" applyFont="1" applyBorder="1">
      <alignment vertical="center" wrapText="1"/>
    </xf>
    <xf numFmtId="0" fontId="19" fillId="0" borderId="22"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1"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1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2" fillId="35" borderId="10"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horizontal="right" vertical="center" wrapText="1"/>
    </xf>
    <xf numFmtId="49" fontId="22" fillId="0" borderId="20" xfId="0" applyFont="1" applyBorder="1" applyNumberFormat="1">
      <alignment horizontal="center" vertical="center" wrapText="1"/>
    </xf>
    <xf numFmtId="49" fontId="22"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5" xfId="0" applyFont="1" applyFill="1" applyBorder="1" applyNumberFormat="1">
      <alignment vertical="center"/>
    </xf>
    <xf numFmtId="49" fontId="21" fillId="36" borderId="0" xfId="0" applyFont="1" applyFill="1" applyNumberFormat="1">
      <alignment horizontal="center" vertical="center" wrapText="1"/>
    </xf>
    <xf numFmtId="9" fontId="19" fillId="42" borderId="15" xfId="0" applyFont="1" applyFill="1" applyBorder="1" applyNumberFormat="1">
      <alignment vertical="center"/>
    </xf>
    <xf numFmtId="9" fontId="19" fillId="42" borderId="10" xfId="0" applyFont="1" applyFill="1" applyBorder="1" applyNumberFormat="1">
      <alignment vertical="center"/>
    </xf>
    <xf numFmtId="4" fontId="19" fillId="42" borderId="15"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5" xfId="0" applyFont="1" applyBorder="1" applyNumberFormat="1">
      <alignment horizontal="center" vertical="center" wrapText="1"/>
    </xf>
    <xf numFmtId="4" fontId="19" fillId="0" borderId="15"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5" xfId="0" applyFont="1" applyBorder="1" applyNumberFormat="1">
      <alignment vertical="center"/>
      <protection locked="0"/>
    </xf>
    <xf numFmtId="9" fontId="19" fillId="0" borderId="15"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7"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20" xfId="0" applyFont="1" applyFill="1" applyBorder="1" applyNumberFormat="1">
      <alignment horizontal="right" vertical="center"/>
      <protection locked="0"/>
    </xf>
    <xf numFmtId="4" fontId="24" fillId="42" borderId="24"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9" xfId="0" applyFont="1" applyFill="1" applyBorder="1">
      <alignment horizontal="center" vertical="center"/>
    </xf>
    <xf numFmtId="0" fontId="19"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7"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5" xfId="0" applyFont="1" applyFill="1" applyBorder="1" applyNumberFormat="1">
      <alignment horizontal="left" vertical="center" wrapText="1" indent="1"/>
    </xf>
    <xf numFmtId="49" fontId="21" fillId="0" borderId="15"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5" xfId="0" applyFont="1" applyFill="1" applyBorder="1" applyNumberFormat="1">
      <alignment vertical="center"/>
      <protection locked="0"/>
    </xf>
    <xf numFmtId="9" fontId="19" fillId="34" borderId="15" xfId="0" applyFont="1" applyFill="1" applyBorder="1" applyNumberFormat="1">
      <alignment vertical="center"/>
      <protection locked="0"/>
    </xf>
    <xf numFmtId="49" fontId="21" fillId="34" borderId="15"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5" xfId="0" applyFont="1" applyFill="1" applyBorder="1" applyNumberFormat="1">
      <alignment vertical="center"/>
      <protection locked="0"/>
    </xf>
    <xf numFmtId="49" fontId="40" fillId="41" borderId="24" xfId="0" applyFont="1" applyFill="1" applyBorder="1" applyNumberFormat="1">
      <alignment horizontal="left" vertical="center" indent="1"/>
    </xf>
    <xf numFmtId="49" fontId="40" fillId="41" borderId="27"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6"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5"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5"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5" xfId="0" applyFont="1" applyBorder="1">
      <alignment horizontal="left" vertical="center" wrapText="1" indent="1"/>
    </xf>
    <xf numFmtId="0" fontId="19" fillId="0" borderId="28" xfId="0" applyFont="1" applyBorder="1">
      <alignment horizontal="left" vertical="center" wrapText="1" indent="1"/>
    </xf>
    <xf numFmtId="10" fontId="19" fillId="34" borderId="15"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5" xfId="0" applyFont="1" applyFill="1" applyBorder="1" applyNumberFormat="1">
      <alignment horizontal="right" vertical="center"/>
      <protection locked="0"/>
    </xf>
    <xf numFmtId="4" fontId="19" fillId="34" borderId="28" xfId="0" applyFont="1" applyFill="1" applyBorder="1" applyNumberFormat="1">
      <alignment horizontal="right" vertical="center"/>
      <protection locked="0"/>
    </xf>
    <xf numFmtId="49" fontId="43" fillId="44" borderId="22" xfId="0" applyFont="1" applyFill="1" applyBorder="1" applyNumberFormat="1">
      <alignment horizontal="center" vertical="center"/>
    </xf>
    <xf numFmtId="0" fontId="22" fillId="0" borderId="14" xfId="0" applyFont="1" applyBorder="1">
      <alignment horizontal="left" vertical="center" wrapText="1"/>
    </xf>
    <xf numFmtId="0" fontId="22" fillId="36" borderId="19"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0" fillId="34" borderId="15"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5" xfId="0" applyFont="1" applyFill="1" applyBorder="1" applyNumberFormat="1">
      <alignment vertical="center"/>
      <protection locked="0"/>
    </xf>
    <xf numFmtId="49" fontId="19" fillId="0" borderId="26" xfId="0" applyFont="1" applyBorder="1" applyNumberFormat="1">
      <alignment horizontal="center" vertical="center" wrapText="1"/>
    </xf>
    <xf numFmtId="49" fontId="22" fillId="36" borderId="18"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1" fillId="42" borderId="15" xfId="0" applyFont="1" applyFill="1" applyBorder="1" applyNumberFormat="1">
      <alignment vertical="center" wrapText="1"/>
    </xf>
    <xf numFmtId="2" fontId="21" fillId="42" borderId="14" xfId="0" applyFont="1" applyFill="1" applyBorder="1" applyNumberFormat="1">
      <alignment vertical="center" wrapText="1"/>
    </xf>
    <xf numFmtId="49" fontId="19" fillId="0" borderId="24" xfId="0" applyFont="1" applyBorder="1" applyNumberFormat="1">
      <alignment horizontal="center" vertical="center"/>
    </xf>
    <xf numFmtId="49" fontId="22" fillId="0" borderId="24" xfId="0" applyFont="1" applyBorder="1" applyNumberFormat="1">
      <alignment horizontal="center" vertical="center" wrapText="1"/>
    </xf>
    <xf numFmtId="4" fontId="23" fillId="42" borderId="28" xfId="0" applyFont="1" applyFill="1" applyBorder="1" applyNumberFormat="1">
      <alignment horizontal="right" vertical="center"/>
    </xf>
    <xf numFmtId="0" fontId="19" fillId="35" borderId="28" xfId="0" applyFont="1" applyFill="1" applyBorder="1">
      <alignment horizontal="left" vertical="center" wrapText="1" indent="2"/>
    </xf>
    <xf numFmtId="0" fontId="19" fillId="0" borderId="25" xfId="0" applyFont="1" applyBorder="1">
      <alignment horizontal="center" vertical="center"/>
    </xf>
    <xf numFmtId="0" fontId="19" fillId="34" borderId="10" xfId="0" applyFont="1" applyFill="1" applyBorder="1">
      <alignment horizontal="left" vertical="center" wrapText="1"/>
      <protection locked="0"/>
    </xf>
    <xf numFmtId="49" fontId="19" fillId="36" borderId="18"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16"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20" xfId="0" applyFont="1" applyFill="1" applyBorder="1">
      <alignment horizontal="left" vertical="center" wrapText="1"/>
      <protection locked="0"/>
    </xf>
    <xf numFmtId="0" fontId="19" fillId="44" borderId="15" xfId="0" applyFont="1" applyFill="1" applyBorder="1">
      <alignment horizontal="left" vertical="center"/>
    </xf>
    <xf numFmtId="0" fontId="40" fillId="41" borderId="66" xfId="0" applyFont="1" applyFill="1" applyBorder="1">
      <alignment horizontal="left" vertical="center" wrapText="1" indent="1"/>
    </xf>
    <xf numFmtId="0" fontId="19" fillId="44" borderId="17" xfId="0" applyFont="1" applyFill="1" applyBorder="1">
      <alignment horizontal="left" vertical="center"/>
    </xf>
    <xf numFmtId="0" fontId="40" fillId="0" borderId="0" xfId="0" applyFont="1">
      <alignment horizontal="left" vertical="center" wrapText="1" indent="1"/>
    </xf>
    <xf numFmtId="0" fontId="20" fillId="34" borderId="26" xfId="0" applyFont="1" applyFill="1" applyBorder="1">
      <alignment horizontal="left" vertical="center" wrapText="1"/>
      <protection locked="0"/>
    </xf>
    <xf numFmtId="0" fontId="20" fillId="34" borderId="16" xfId="0" applyFont="1" applyFill="1" applyBorder="1">
      <alignment horizontal="left" vertical="center" wrapText="1"/>
      <protection locked="0"/>
    </xf>
    <xf numFmtId="0" fontId="40" fillId="41" borderId="28" xfId="0" applyFont="1" applyFill="1" applyBorder="1">
      <alignment horizontal="left" vertical="center" wrapText="1" indent="1"/>
    </xf>
    <xf numFmtId="0" fontId="40" fillId="41" borderId="15"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7" xfId="0" applyFont="1" applyFill="1" applyBorder="1">
      <alignment horizontal="right" vertical="center"/>
    </xf>
    <xf numFmtId="0" fontId="20" fillId="41" borderId="15" xfId="0" applyFont="1" applyFill="1" applyBorder="1">
      <alignment horizontal="right" vertical="center"/>
    </xf>
    <xf numFmtId="0" fontId="20" fillId="0" borderId="0" xfId="0" applyFont="1">
      <alignment horizontal="right" vertical="center"/>
      <protection locked="0"/>
    </xf>
    <xf numFmtId="0" fontId="40" fillId="41" borderId="27"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5"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5"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7" xfId="0" applyFont="1" applyFill="1" applyBorder="1" applyNumberFormat="1">
      <alignment vertical="center"/>
    </xf>
    <xf numFmtId="2" fontId="20" fillId="34" borderId="29"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5" xfId="0" applyFont="1" applyFill="1" applyBorder="1" applyNumberFormat="1">
      <alignment horizontal="right" vertical="center"/>
    </xf>
    <xf numFmtId="4" fontId="24" fillId="34" borderId="27" xfId="0" applyFont="1" applyFill="1" applyBorder="1" applyNumberFormat="1">
      <alignment vertical="center" wrapText="1"/>
      <protection locked="0"/>
    </xf>
    <xf numFmtId="4" fontId="23" fillId="42" borderId="24"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2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5" xfId="0" applyFont="1" applyFill="1" applyBorder="1">
      <alignment horizontal="right" vertical="center" wrapText="1" indent="1"/>
    </xf>
    <xf numFmtId="0" fontId="45" fillId="44" borderId="28"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4" xfId="0" applyFont="1" applyBorder="1">
      <alignment horizontal="left" vertical="center" wrapText="1"/>
    </xf>
    <xf numFmtId="0" fontId="26" fillId="0" borderId="27" xfId="0" applyFont="1" applyBorder="1">
      <alignment horizontal="left" vertical="center" wrapText="1"/>
    </xf>
    <xf numFmtId="0" fontId="26" fillId="0" borderId="15"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7"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27" xfId="0" applyFont="1" applyBorder="1">
      <alignment horizontal="right" vertical="center" wrapText="1" indent="1"/>
    </xf>
    <xf numFmtId="0" fontId="19" fillId="0" borderId="15"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2" xfId="0" applyFont="1" applyBorder="1">
      <alignment vertical="center"/>
    </xf>
    <xf numFmtId="0" fontId="19" fillId="0" borderId="48" xfId="0" applyFont="1" applyBorder="1">
      <alignment vertical="center"/>
    </xf>
    <xf numFmtId="0" fontId="19" fillId="0" borderId="1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2" xfId="0" applyFont="1" applyBorder="1">
      <alignment horizontal="right" vertical="center" wrapText="1" indent="1"/>
    </xf>
    <xf numFmtId="0" fontId="19" fillId="0" borderId="48" xfId="0" applyFont="1" applyBorder="1">
      <alignment horizontal="right" vertical="center" wrapText="1" indent="1"/>
    </xf>
    <xf numFmtId="0" fontId="19" fillId="0" borderId="1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3" xfId="0" applyFont="1" applyBorder="1">
      <alignment horizontal="right" vertical="center" wrapText="1" indent="1"/>
    </xf>
    <xf numFmtId="0" fontId="19" fillId="0" borderId="26"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9"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9"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6" xfId="0" applyFont="1" applyFill="1" applyBorder="1">
      <alignment horizontal="center" vertical="center" wrapText="1"/>
    </xf>
    <xf numFmtId="0" fontId="19" fillId="36" borderId="16" xfId="0" applyFont="1" applyFill="1" applyBorder="1">
      <alignment horizontal="center" vertical="center" wrapText="1"/>
    </xf>
    <xf numFmtId="49" fontId="40" fillId="41" borderId="24" xfId="0" applyFont="1" applyFill="1" applyBorder="1" applyNumberFormat="1">
      <alignment horizontal="left" vertical="center" indent="1"/>
    </xf>
    <xf numFmtId="49" fontId="40" fillId="41" borderId="27" xfId="0" applyFont="1" applyFill="1" applyBorder="1" applyNumberFormat="1">
      <alignment horizontal="left" vertical="center" indent="1"/>
    </xf>
    <xf numFmtId="0" fontId="19" fillId="0" borderId="29" xfId="0" applyFont="1" applyBorder="1">
      <alignment horizontal="center" vertical="center" wrapText="1"/>
    </xf>
    <xf numFmtId="0" fontId="56" fillId="0" borderId="29"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5" xfId="0" applyFont="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5"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5"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7" xfId="0" applyFont="1" applyFill="1" applyBorder="1" applyNumberFormat="1">
      <alignment horizontal="left" vertical="center" wrapText="1" indent="2"/>
    </xf>
    <xf numFmtId="49" fontId="22" fillId="44" borderId="15" xfId="0" applyFont="1" applyFill="1" applyBorder="1" applyNumberFormat="1">
      <alignment horizontal="left" vertical="center" wrapText="1" indent="2"/>
    </xf>
    <xf numFmtId="49" fontId="24" fillId="36" borderId="15"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5"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8"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7"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7" xfId="0" applyFont="1" applyFill="1" applyBorder="1" applyNumberFormat="1">
      <alignment horizontal="left" vertical="center" wrapText="1"/>
    </xf>
    <xf numFmtId="49" fontId="21"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4" xfId="0" applyFont="1" applyBorder="1">
      <alignment horizontal="left" vertical="center" wrapText="1"/>
    </xf>
    <xf numFmtId="0" fontId="22" fillId="0" borderId="15"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8"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8"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5" xfId="0" applyFont="1" applyFill="1" applyBorder="1">
      <alignment horizontal="center" vertical="center" wrapText="1"/>
    </xf>
    <xf numFmtId="0" fontId="26" fillId="36" borderId="41" xfId="0" applyFont="1" applyFill="1" applyBorder="1">
      <alignment horizontal="center" vertical="center" wrapText="1"/>
    </xf>
    <xf numFmtId="0" fontId="19" fillId="0" borderId="24" xfId="0" applyFont="1" applyBorder="1">
      <alignment horizontal="center" vertical="center" wrapText="1"/>
    </xf>
    <xf numFmtId="0" fontId="19" fillId="0" borderId="27" xfId="0" applyFont="1" applyBorder="1">
      <alignment horizontal="center" vertical="center" wrapText="1"/>
    </xf>
    <xf numFmtId="0" fontId="19" fillId="0" borderId="15"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27" xfId="0" applyFont="1" applyFill="1" applyBorder="1" applyNumberFormat="1">
      <alignment horizontal="left" vertical="top" wrapText="1"/>
      <protection locked="0"/>
    </xf>
    <xf numFmtId="49" fontId="19" fillId="34" borderId="15"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1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9"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15"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0" borderId="0" xfId="0" applyFont="1">
      <alignment horizontal="center" vertical="center"/>
    </xf>
    <xf numFmtId="4" fontId="20" fillId="34" borderId="29" xfId="0" applyFont="1" applyFill="1" applyBorder="1" applyNumberFormat="1">
      <alignment horizontal="right" vertical="center"/>
      <protection locked="0"/>
    </xf>
    <xf numFmtId="4" fontId="20" fillId="34" borderId="29"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4" fontId="19" fillId="34" borderId="11" xfId="58" applyFont="1" applyFill="1" applyBorder="1" applyNumberFormat="1">
      <alignment horizontal="right" vertical="center"/>
      <protection locked="0"/>
    </xf>
    <xf numFmtId="4" fontId="19" fillId="34" borderId="13" xfId="60" applyFont="1" applyFill="1" applyBorder="1" applyNumberFormat="1">
      <alignment horizontal="right" vertical="center"/>
      <protection locked="0"/>
    </xf>
    <xf numFmtId="4" fontId="19" fillId="34" borderId="10" xfId="61"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4" fontId="19" fillId="34" borderId="16" xfId="64" applyFont="1" applyFill="1" applyBorder="1" applyNumberFormat="1">
      <alignment horizontal="right" vertical="center"/>
      <protection locked="0"/>
    </xf>
    <xf numFmtId="4" fontId="19" fillId="34" borderId="17" xfId="65" applyFont="1" applyFill="1" applyBorder="1" applyNumberFormat="1">
      <alignment horizontal="right" vertical="center"/>
      <protection locked="0"/>
    </xf>
    <xf numFmtId="0" fontId="0" fillId="0" borderId="0" xfId="0" applyFont="1"/>
    <xf numFmtId="0" fontId="0" fillId="0" borderId="0" xfId="0" applyFont="1"/>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6"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xf>
    <xf numFmtId="4" fontId="20" fillId="34" borderId="20" xfId="0" applyFont="1" applyFill="1" applyBorder="1" applyNumberFormat="1">
      <alignment horizontal="right" vertical="center"/>
      <protection locked="0"/>
    </xf>
    <xf numFmtId="4" fontId="20" fillId="34" borderId="11" xfId="67" applyFont="1" applyFill="1" applyBorder="1" applyNumberFormat="1">
      <alignment horizontal="right" vertical="center"/>
      <protection locked="0"/>
    </xf>
    <xf numFmtId="2" fontId="20" fillId="34" borderId="19" xfId="70" applyFont="1" applyFill="1" applyBorder="1" applyNumberFormat="1">
      <alignment horizontal="right" vertical="center"/>
      <protection locked="0"/>
    </xf>
    <xf numFmtId="4" fontId="20" fillId="34" borderId="20" xfId="71"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4" borderId="11" xfId="72"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4" fontId="19" fillId="34" borderId="10" xfId="74"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1" xfId="78"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3" xfId="82"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5" xfId="76" applyFont="1" applyFill="1" applyBorder="1" applyNumberFormat="1">
      <alignment horizontal="right" vertical="center" wrapText="1"/>
      <protection locked="0"/>
    </xf>
    <xf numFmtId="0" fontId="20" fillId="34" borderId="19" xfId="69"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20" xfId="80" applyFont="1" applyFill="1" applyBorder="1">
      <alignment horizontal="left" vertical="center" wrapText="1"/>
      <protection locked="0"/>
    </xf>
    <xf numFmtId="0" fontId="56" fillId="0" borderId="29"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7" xfId="0" applyFont="1" applyFill="1" applyBorder="1">
      <alignment vertical="center"/>
    </xf>
    <xf numFmtId="4" fontId="19" fillId="34" borderId="11" xfId="85" applyFont="1" applyFill="1" applyBorder="1" applyNumberFormat="1">
      <alignment horizontal="right" vertical="center" wrapText="1"/>
      <protection locked="0"/>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16" xfId="0" applyFont="1" applyBorder="1">
      <alignment horizontal="center" vertical="center" wrapText="1"/>
    </xf>
    <xf numFmtId="0" fontId="20" fillId="0" borderId="11" xfId="0" applyFont="1" applyBorder="1" applyNumberFormat="1">
      <alignment horizontal="center" vertical="center" wrapText="1"/>
    </xf>
    <xf numFmtId="0" fontId="20" fillId="11" borderId="22"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1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7"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7"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87"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5" xfId="0" applyFont="1" applyFill="1" applyBorder="1" applyNumberFormat="1">
      <alignment vertical="center"/>
    </xf>
    <xf numFmtId="49" fontId="21" fillId="36" borderId="15"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5"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5" xfId="0" applyFont="1" applyFill="1" applyBorder="1" applyNumberFormat="1">
      <alignment vertical="center"/>
    </xf>
    <xf numFmtId="9" fontId="19" fillId="42" borderId="10" xfId="0" applyFont="1" applyFill="1" applyBorder="1" applyNumberFormat="1">
      <alignment vertical="center"/>
    </xf>
    <xf numFmtId="49" fontId="21" fillId="36" borderId="28"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5"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5" xfId="0" applyFont="1" applyBorder="1" applyNumberFormat="1">
      <alignment horizontal="center" vertical="center" wrapText="1"/>
    </xf>
    <xf numFmtId="49" fontId="21" fillId="36" borderId="17" xfId="0" applyFont="1" applyFill="1" applyBorder="1" applyNumberFormat="1">
      <alignment horizontal="left" vertical="center" wrapText="1" indent="1"/>
    </xf>
    <xf numFmtId="49" fontId="21" fillId="36" borderId="18"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5"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5" xfId="86"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4"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16" xfId="0" applyFont="1" applyFill="1" applyBorder="1" applyNumberFormat="1">
      <alignment horizontal="left" vertical="center" wrapText="1" indent="1"/>
    </xf>
    <xf numFmtId="49" fontId="21" fillId="36" borderId="17" xfId="0" applyFont="1" applyFill="1" applyBorder="1" applyNumberFormat="1">
      <alignment horizontal="left" vertical="center" wrapText="1"/>
    </xf>
    <xf numFmtId="49" fontId="21" fillId="36" borderId="18" xfId="0" applyFont="1" applyFill="1" applyBorder="1" applyNumberFormat="1">
      <alignment horizontal="left" vertical="center" wrapText="1"/>
    </xf>
    <xf numFmtId="49" fontId="21" fillId="36" borderId="18" xfId="0" applyFont="1" applyFill="1" applyBorder="1" applyNumberFormat="1">
      <alignment horizontal="center" vertical="center" wrapText="1"/>
    </xf>
    <xf numFmtId="9" fontId="19" fillId="42" borderId="17" xfId="0" applyFont="1" applyFill="1" applyBorder="1" applyNumberFormat="1">
      <alignment vertical="center"/>
    </xf>
    <xf numFmtId="49" fontId="21" fillId="42" borderId="15"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5" xfId="9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5"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5" xfId="0" applyFont="1" applyBorder="1" applyNumberFormat="1">
      <alignment vertical="center"/>
    </xf>
    <xf numFmtId="49" fontId="21" fillId="35" borderId="10" xfId="0" applyFont="1" applyFill="1" applyBorder="1" applyNumberFormat="1">
      <alignment vertical="center" wrapText="1"/>
    </xf>
    <xf numFmtId="4" fontId="19" fillId="0" borderId="15"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5"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93"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5"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94" applyFont="1" applyFill="1" applyBorder="1" applyNumberFormat="1">
      <alignmen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5"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5"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7" xfId="0" applyFont="1" applyFill="1" applyBorder="1" applyNumberFormat="1">
      <alignment horizontal="left" vertical="center" wrapText="1" indent="2"/>
    </xf>
    <xf numFmtId="49" fontId="22" fillId="44" borderId="15"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5" xfId="0" applyFont="1" applyFill="1" applyBorder="1" applyNumberFormat="1">
      <alignment vertical="center"/>
    </xf>
    <xf numFmtId="4" fontId="22" fillId="34" borderId="15" xfId="96" applyFont="1" applyFill="1" applyBorder="1" applyNumberFormat="1">
      <alignment vertical="center"/>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0" borderId="18"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5" xfId="0" applyFont="1" applyFill="1" applyBorder="1" applyNumberFormat="1">
      <alignment vertical="center"/>
      <protection locked="0"/>
    </xf>
    <xf numFmtId="49" fontId="21" fillId="34" borderId="15"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4" fontId="19" fillId="34" borderId="15" xfId="0" applyFont="1" applyFill="1" applyBorder="1" applyNumberFormat="1">
      <alignment vertical="center"/>
      <protection locked="0"/>
    </xf>
    <xf numFmtId="9" fontId="19" fillId="34" borderId="15" xfId="0" applyFont="1" applyFill="1" applyBorder="1" applyNumberFormat="1">
      <alignment vertical="center"/>
      <protection locked="0"/>
    </xf>
    <xf numFmtId="9" fontId="19" fillId="34" borderId="15"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34" borderId="15" xfId="92"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0" fillId="34" borderId="10" xfId="9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4" fontId="19" fillId="34" borderId="19" xfId="101" applyFont="1" applyFill="1" applyBorder="1" applyNumberFormat="1">
      <alignment horizontal="right" vertical="center"/>
      <protection locked="0"/>
    </xf>
    <xf numFmtId="49" fontId="19" fillId="62" borderId="83"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0" fontId="20" fillId="34" borderId="26" xfId="103" applyFont="1" applyFill="1" applyBorder="1">
      <alignment horizontal="left" vertical="center" wrapText="1"/>
      <protection locked="0"/>
    </xf>
    <xf numFmtId="4" fontId="19" fillId="34" borderId="15" xfId="0" applyFont="1" applyFill="1" applyBorder="1" applyNumberFormat="1">
      <alignment horizontal="right" vertical="center"/>
      <protection locked="0"/>
    </xf>
    <xf numFmtId="4" fontId="22" fillId="34" borderId="20" xfId="97"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9"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8" xfId="0" applyFont="1" applyFill="1" applyBorder="1" applyNumberFormat="1">
      <alignment horizontal="left" vertical="top" wrapText="1"/>
      <protection locked="0"/>
    </xf>
    <xf numFmtId="49" fontId="88"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34" borderId="10" xfId="0" applyFont="1" applyFill="1" applyBorder="1" applyNumberFormat="1">
      <alignment horizontal="right" vertical="center"/>
      <protection locked="0"/>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0" fillId="34" borderId="10" xfId="108"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172" fontId="20" fillId="34" borderId="10" xfId="111" applyFont="1" applyFill="1" applyBorder="1" applyNumberFormat="1">
      <alignment horizontal="right" vertical="center" wrapText="1"/>
      <protection locked="0"/>
    </xf>
    <xf numFmtId="0" fontId="31" fillId="0" borderId="0" xfId="0" applyFont="1"/>
    <xf numFmtId="4" fontId="0" fillId="34" borderId="10" xfId="110" applyFont="1" applyFill="1" applyBorder="1" applyNumberFormat="1">
      <alignment horizontal="right" vertical="center" wrapText="1"/>
      <protection locked="0"/>
    </xf>
    <xf numFmtId="172" fontId="0" fillId="34" borderId="10" xfId="112"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7" xfId="0" applyFont="1" applyFill="1" applyBorder="1">
      <alignment vertical="center" wrapText="1"/>
    </xf>
    <xf numFmtId="0" fontId="0" fillId="0" borderId="0" xfId="0" applyFont="1"/>
    <xf numFmtId="0" fontId="89" fillId="0" borderId="0" xfId="0" applyFont="1">
      <alignment vertical="center" wrapText="1"/>
    </xf>
    <xf numFmtId="4" fontId="23" fillId="34" borderId="10" xfId="113" applyFont="1" applyFill="1" applyBorder="1" applyNumberFormat="1">
      <alignment horizontal="right" vertical="center"/>
      <protection locked="0"/>
    </xf>
    <xf numFmtId="172" fontId="20" fillId="34" borderId="10" xfId="114"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8" xfId="117"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2" fontId="21" fillId="34" borderId="10" xfId="118" applyFont="1" applyFill="1" applyBorder="1" applyNumberFormat="1">
      <alignment vertical="center" wrapText="1"/>
      <protection locked="0"/>
    </xf>
    <xf numFmtId="4" fontId="24" fillId="34" borderId="10" xfId="120" applyFont="1" applyFill="1" applyBorder="1" applyNumberFormat="1">
      <alignment vertical="center" wrapText="1"/>
      <protection locked="0"/>
    </xf>
    <xf numFmtId="4" fontId="24" fillId="34" borderId="27" xfId="121" applyFont="1" applyFill="1" applyBorder="1" applyNumberFormat="1">
      <alignment vertical="center" wrapText="1"/>
      <protection locked="0"/>
    </xf>
    <xf numFmtId="2" fontId="20" fillId="34" borderId="10" xfId="123" applyFont="1" applyFill="1" applyBorder="1" applyNumberFormat="1">
      <alignment horizontal="right" vertical="center"/>
      <protection locked="0"/>
    </xf>
    <xf numFmtId="0" fontId="0" fillId="0" borderId="0" xfId="0" applyFont="1"/>
    <xf numFmtId="0" fontId="89" fillId="0" borderId="0" xfId="0" applyFont="1">
      <alignment horizontal="center" vertical="center" wrapText="1"/>
    </xf>
    <xf numFmtId="2" fontId="21" fillId="34" borderId="14" xfId="119" applyFont="1" applyFill="1" applyBorder="1" applyNumberFormat="1">
      <alignment vertical="center" wrapText="1"/>
      <protection locked="0"/>
    </xf>
    <xf numFmtId="0" fontId="81" fillId="36" borderId="0" xfId="0" applyFont="1" applyFill="1">
      <alignment vertical="center"/>
    </xf>
    <xf numFmtId="4" fontId="21" fillId="34" borderId="10" xfId="0" applyFont="1" applyFill="1" applyBorder="1" applyNumberFormat="1">
      <alignment vertical="center" wrapText="1"/>
      <protection locked="0"/>
    </xf>
    <xf numFmtId="4" fontId="21" fillId="34" borderId="10" xfId="124" applyFont="1" applyFill="1" applyBorder="1" applyNumberFormat="1">
      <alignment vertical="center" wrapText="1"/>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0" fontId="89" fillId="0" borderId="0" xfId="0" applyFont="1">
      <alignmen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2" fontId="19" fillId="34" borderId="10" xfId="127" applyFont="1" applyFill="1" applyBorder="1" applyNumberFormat="1">
      <alignment horizontal="right" vertical="center" wrapText="1"/>
      <protection locked="0"/>
    </xf>
    <xf numFmtId="2" fontId="19" fillId="34" borderId="10" xfId="128" applyFont="1" applyFill="1" applyBorder="1" applyNumberFormat="1">
      <alignment horizontal="center" vertical="center" wrapText="1"/>
      <protection locked="0"/>
    </xf>
    <xf numFmtId="0" fontId="0" fillId="0" borderId="0" xfId="0" applyFont="1"/>
    <xf numFmtId="9" fontId="19" fillId="34" borderId="10" xfId="125" applyFont="1" applyFill="1" applyBorder="1" applyNumberFormat="1">
      <alignment horizontal="right"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4" fontId="21" fillId="34" borderId="18" xfId="137" applyFont="1" applyFill="1" applyBorder="1" applyNumberFormat="1">
      <alignment vertical="center" wrapText="1"/>
      <protection locked="0"/>
    </xf>
    <xf numFmtId="4" fontId="20" fillId="34" borderId="10" xfId="0" applyFont="1" applyFill="1" applyBorder="1" applyNumberFormat="1">
      <alignment horizontal="right" vertical="center"/>
      <protection locked="0"/>
    </xf>
    <xf numFmtId="4" fontId="20" fillId="34" borderId="15" xfId="139" applyFont="1" applyFill="1" applyBorder="1" applyNumberFormat="1">
      <alignment horizontal="right" vertical="center"/>
      <protection locked="0"/>
    </xf>
    <xf numFmtId="0" fontId="0" fillId="0" borderId="0" xfId="0" applyFont="1"/>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2"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0" fillId="34" borderId="24" xfId="138"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1" applyFont="1" applyFill="1" applyBorder="1" applyNumberFormat="1">
      <alignment horizontal="right" vertical="center"/>
      <protection locked="0"/>
    </xf>
    <xf numFmtId="0" fontId="0" fillId="0" borderId="0" xfId="0" applyFont="1"/>
    <xf numFmtId="0" fontId="19" fillId="34" borderId="14" xfId="142" applyFont="1" applyFill="1" applyBorder="1">
      <alignment horizontal="left" vertical="center"/>
      <protection locked="0"/>
    </xf>
    <xf numFmtId="0" fontId="19" fillId="34" borderId="14" xfId="143"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4" xfId="0" applyFont="1" applyFill="1" applyBorder="1" applyNumberFormat="1">
      <alignment horizontal="left" vertical="top" wrapText="1"/>
    </xf>
    <xf numFmtId="49" fontId="19" fillId="34" borderId="27" xfId="0" applyFont="1" applyFill="1" applyBorder="1" applyNumberFormat="1">
      <alignment horizontal="left" vertical="top" wrapText="1"/>
    </xf>
    <xf numFmtId="49" fontId="19" fillId="34" borderId="15"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8" xfId="145" applyFont="1" applyFill="1" applyBorder="1" applyNumberFormat="1">
      <alignment horizontal="right" vertical="center"/>
      <protection locked="0"/>
    </xf>
    <xf numFmtId="0" fontId="0" fillId="0" borderId="0" xfId="0" applyFont="1"/>
    <xf numFmtId="4" fontId="20" fillId="34" borderId="14" xfId="116"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16" xfId="0" applyFont="1" applyFill="1" applyBorder="1" applyNumberFormat="1">
      <alignment horizontal="left" vertical="center"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1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16" xfId="0" applyFont="1" applyBorder="1">
      <alignment horizontal="center" vertical="center" wrapText="1"/>
    </xf>
    <xf numFmtId="0" fontId="31" fillId="0" borderId="0" xfId="0" applyFont="1">
      <alignment vertical="center"/>
    </xf>
    <xf numFmtId="4" fontId="23" fillId="34" borderId="11" xfId="147" applyFont="1" applyFill="1" applyBorder="1" applyNumberFormat="1">
      <alignment horizontal="right" vertical="center"/>
      <protection locked="0"/>
    </xf>
    <xf numFmtId="0" fontId="31" fillId="0" borderId="0" xfId="0" applyFont="1">
      <alignment vertical="center"/>
    </xf>
    <xf numFmtId="172" fontId="20" fillId="34" borderId="11" xfId="148"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5" xfId="0" applyFont="1" applyFill="1" applyBorder="1">
      <alignment vertical="center" wrapText="1"/>
    </xf>
    <xf numFmtId="0" fontId="0" fillId="0" borderId="0" xfId="0" applyFont="1"/>
    <xf numFmtId="0" fontId="81" fillId="0" borderId="0" xfId="0" applyFont="1">
      <alignment vertical="center"/>
    </xf>
    <xf numFmtId="4" fontId="20" fillId="34" borderId="29" xfId="150" applyFont="1" applyFill="1" applyBorder="1" applyNumberFormat="1">
      <alignment horizontal="right" vertical="center"/>
      <protection locked="0"/>
    </xf>
    <xf numFmtId="2" fontId="20" fillId="34" borderId="29" xfId="151"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9"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A7C2A-C099-28C8-32C8-4AE3448A82B9}"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1" width="5.140625" customWidth="1"/>
    <col min="2" max="2" style="804" width="8.57421875" customWidth="1"/>
    <col min="3" max="3" style="751" width="15.57421875" customWidth="1"/>
    <col min="4" max="4" style="751" width="6.00390625" customWidth="1"/>
    <col min="5" max="5" style="795" width="6.00390625" customWidth="1"/>
    <col min="6" max="25" style="751" width="6.00390625" customWidth="1"/>
    <col min="26" max="27" style="751" width="10.421875"/>
  </cols>
  <sheetData>
    <row customHeight="1" ht="15.75">
      <c r="A1" s="752"/>
      <c r="B1" s="799"/>
      <c r="C1" s="753"/>
      <c r="D1" s="753"/>
      <c r="E1" s="791"/>
      <c r="F1" s="753"/>
      <c r="G1" s="753"/>
      <c r="H1" s="753"/>
      <c r="I1" s="753"/>
      <c r="J1" s="753"/>
      <c r="K1" s="753"/>
      <c r="L1" s="753"/>
      <c r="M1" s="753"/>
      <c r="N1" s="753"/>
      <c r="O1" s="753"/>
      <c r="P1" s="753"/>
      <c r="Q1" s="753"/>
      <c r="R1" s="753"/>
      <c r="S1" s="753"/>
      <c r="T1" s="753"/>
      <c r="U1" s="753"/>
      <c r="V1" s="753"/>
      <c r="W1" s="753"/>
      <c r="X1" s="753"/>
      <c r="Y1" s="754"/>
      <c r="Z1" s="753"/>
      <c r="AA1" s="755" t="s">
        <v>0</v>
      </c>
    </row>
    <row s="804" customFormat="1" customHeight="1" ht="17.25">
      <c r="A2" s="799"/>
      <c r="B2" s="1405" t="s">
        <v>1</v>
      </c>
      <c r="C2" s="1405"/>
      <c r="D2" s="1405"/>
      <c r="E2" s="1405"/>
      <c r="F2" s="1405"/>
      <c r="G2" s="1405"/>
      <c r="H2" s="1405"/>
      <c r="I2" s="1405"/>
      <c r="J2" s="1405"/>
      <c r="K2" s="1405"/>
      <c r="L2" s="1405"/>
      <c r="M2" s="1405"/>
      <c r="N2" s="1405"/>
      <c r="O2" s="1405"/>
      <c r="P2" s="1405"/>
      <c r="Q2" s="805"/>
      <c r="R2" s="805"/>
      <c r="S2" s="805"/>
      <c r="T2" s="805"/>
      <c r="U2" s="805"/>
      <c r="V2" s="806"/>
      <c r="W2" s="805"/>
      <c r="X2" s="805"/>
      <c r="Y2" s="799"/>
      <c r="Z2" s="799"/>
      <c r="AA2" s="799"/>
    </row>
    <row customHeight="1" ht="15.75">
      <c r="A3" s="753"/>
      <c r="B3" s="1405" t="s">
        <v>2</v>
      </c>
      <c r="C3" s="1405"/>
      <c r="D3" s="1405"/>
      <c r="E3" s="1405"/>
      <c r="F3" s="1405"/>
      <c r="G3" s="1405"/>
      <c r="H3" s="1405"/>
      <c r="I3" s="1405"/>
      <c r="J3" s="1405"/>
      <c r="K3" s="1405"/>
      <c r="L3" s="1405"/>
      <c r="M3" s="1405"/>
      <c r="N3" s="1405"/>
      <c r="O3" s="1405"/>
      <c r="P3" s="1405"/>
      <c r="Q3" s="757"/>
      <c r="R3" s="757"/>
      <c r="S3" s="756"/>
      <c r="T3" s="756"/>
      <c r="U3" s="756"/>
      <c r="V3" s="757"/>
      <c r="W3" s="757"/>
      <c r="X3" s="757"/>
      <c r="Y3" s="757"/>
      <c r="Z3" s="753"/>
      <c r="AA3" s="755"/>
    </row>
    <row customHeight="1" ht="16.5">
      <c r="A4" s="753"/>
      <c r="B4" s="792"/>
      <c r="C4" s="753"/>
      <c r="D4" s="757"/>
      <c r="E4" s="796"/>
      <c r="F4" s="757"/>
      <c r="G4" s="757"/>
      <c r="H4" s="757"/>
      <c r="I4" s="757"/>
      <c r="J4" s="757"/>
      <c r="K4" s="757"/>
      <c r="L4" s="757"/>
      <c r="M4" s="757"/>
      <c r="N4" s="757"/>
      <c r="O4" s="757"/>
      <c r="P4" s="757"/>
      <c r="Q4" s="757"/>
      <c r="R4" s="757"/>
      <c r="S4" s="757"/>
      <c r="T4" s="757"/>
      <c r="U4" s="757"/>
      <c r="V4" s="757"/>
      <c r="W4" s="757"/>
      <c r="X4" s="757"/>
      <c r="Y4" s="757"/>
      <c r="Z4" s="753"/>
      <c r="AA4" s="755"/>
    </row>
    <row s="795" customFormat="1" customHeight="1" ht="22.5">
      <c r="A5" s="799"/>
      <c r="B5" s="1406"/>
      <c r="C5" s="1407"/>
      <c r="D5" s="1407"/>
      <c r="E5" s="1407"/>
      <c r="F5" s="1407"/>
      <c r="G5" s="1407"/>
      <c r="H5" s="1407"/>
      <c r="I5" s="1407"/>
      <c r="J5" s="1407"/>
      <c r="K5" s="1407"/>
      <c r="L5" s="1407"/>
      <c r="M5" s="1407"/>
      <c r="N5" s="1407"/>
      <c r="O5" s="1407"/>
      <c r="P5" s="1407"/>
      <c r="Q5" s="1407"/>
      <c r="R5" s="1407"/>
      <c r="S5" s="1407"/>
      <c r="T5" s="1407"/>
      <c r="U5" s="1407"/>
      <c r="V5" s="1407"/>
      <c r="W5" s="1407"/>
      <c r="X5" s="1407"/>
      <c r="Y5" s="1408"/>
      <c r="Z5" s="799"/>
      <c r="AA5" s="791"/>
    </row>
    <row customHeight="1" ht="13.5">
      <c r="A6" s="758"/>
      <c r="B6" s="1398" t="s">
        <v>3</v>
      </c>
      <c r="C6" s="1401"/>
      <c r="D6" s="759"/>
      <c r="E6" s="790"/>
      <c r="F6" s="759"/>
      <c r="G6" s="759"/>
      <c r="H6" s="759"/>
      <c r="I6" s="759"/>
      <c r="J6" s="759"/>
      <c r="K6" s="759"/>
      <c r="L6" s="759"/>
      <c r="M6" s="759"/>
      <c r="N6" s="759"/>
      <c r="O6" s="759"/>
      <c r="P6" s="759"/>
      <c r="Q6" s="759"/>
      <c r="R6" s="759"/>
      <c r="S6" s="759"/>
      <c r="T6" s="759"/>
      <c r="U6" s="759"/>
      <c r="V6" s="759"/>
      <c r="W6" s="759"/>
      <c r="X6" s="759"/>
      <c r="Y6" s="760"/>
      <c r="Z6" s="761"/>
      <c r="AA6" s="762"/>
    </row>
    <row customHeight="1" ht="13.5">
      <c r="A7" s="758"/>
      <c r="B7" s="1398"/>
      <c r="C7" s="1401"/>
      <c r="D7" s="759"/>
      <c r="E7" s="790"/>
      <c r="F7" s="763"/>
      <c r="G7" s="763"/>
      <c r="H7" s="763"/>
      <c r="I7" s="763"/>
      <c r="J7" s="763"/>
      <c r="K7" s="763"/>
      <c r="L7" s="763"/>
      <c r="M7" s="763"/>
      <c r="N7" s="763"/>
      <c r="O7" s="759"/>
      <c r="P7" s="763"/>
      <c r="Q7" s="763"/>
      <c r="R7" s="763"/>
      <c r="S7" s="763"/>
      <c r="T7" s="763"/>
      <c r="U7" s="763"/>
      <c r="V7" s="763"/>
      <c r="W7" s="763"/>
      <c r="X7" s="763"/>
      <c r="Y7" s="760"/>
      <c r="Z7" s="761"/>
      <c r="AA7" s="762"/>
    </row>
    <row customHeight="1" ht="13.5">
      <c r="A8" s="758"/>
      <c r="B8" s="1398"/>
      <c r="C8" s="1401"/>
      <c r="D8" s="764"/>
      <c r="E8" s="765" t="s">
        <v>4</v>
      </c>
      <c r="F8" s="1409" t="s">
        <v>5</v>
      </c>
      <c r="G8" s="1400"/>
      <c r="H8" s="1400"/>
      <c r="I8" s="1400"/>
      <c r="J8" s="1400"/>
      <c r="K8" s="1400"/>
      <c r="L8" s="1400"/>
      <c r="M8" s="1400"/>
      <c r="N8" s="764"/>
      <c r="O8" s="766" t="s">
        <v>4</v>
      </c>
      <c r="P8" s="1410" t="s">
        <v>6</v>
      </c>
      <c r="Q8" s="1411"/>
      <c r="R8" s="1411"/>
      <c r="S8" s="1411"/>
      <c r="T8" s="1411"/>
      <c r="U8" s="1411"/>
      <c r="V8" s="1411"/>
      <c r="W8" s="1411"/>
      <c r="X8" s="1411"/>
      <c r="Y8" s="760"/>
      <c r="Z8" s="761"/>
      <c r="AA8" s="762"/>
    </row>
    <row customHeight="1" ht="13.5">
      <c r="A9" s="758"/>
      <c r="B9" s="1398"/>
      <c r="C9" s="1401"/>
      <c r="D9" s="764"/>
      <c r="E9" s="767" t="s">
        <v>4</v>
      </c>
      <c r="F9" s="1409" t="s">
        <v>7</v>
      </c>
      <c r="G9" s="1400"/>
      <c r="H9" s="1400"/>
      <c r="I9" s="1400"/>
      <c r="J9" s="1400"/>
      <c r="K9" s="1400"/>
      <c r="L9" s="1400"/>
      <c r="M9" s="1400"/>
      <c r="N9" s="764"/>
      <c r="O9" s="768" t="s">
        <v>4</v>
      </c>
      <c r="P9" s="1410" t="s">
        <v>8</v>
      </c>
      <c r="Q9" s="1411"/>
      <c r="R9" s="1411"/>
      <c r="S9" s="1411"/>
      <c r="T9" s="1411"/>
      <c r="U9" s="1411"/>
      <c r="V9" s="1411"/>
      <c r="W9" s="1411"/>
      <c r="X9" s="1411"/>
      <c r="Y9" s="760"/>
      <c r="Z9" s="761"/>
      <c r="AA9" s="762"/>
    </row>
    <row customHeight="1" ht="13.5">
      <c r="B10" s="1398"/>
      <c r="C10" s="1401"/>
      <c r="D10" s="1113"/>
      <c r="E10" s="1110" t="s">
        <v>4</v>
      </c>
      <c r="F10" s="1411" t="s">
        <v>9</v>
      </c>
      <c r="G10" s="1412"/>
      <c r="H10" s="1412"/>
      <c r="I10" s="1412"/>
      <c r="J10" s="1412"/>
      <c r="K10" s="1412"/>
      <c r="L10" s="1412"/>
      <c r="M10" s="1412"/>
      <c r="N10" s="1412"/>
      <c r="O10" s="1112" t="s">
        <v>4</v>
      </c>
      <c r="P10" s="1411" t="s">
        <v>10</v>
      </c>
      <c r="Q10" s="1412"/>
      <c r="R10" s="1412"/>
      <c r="S10" s="1412"/>
      <c r="T10" s="1412"/>
      <c r="U10" s="1412"/>
      <c r="V10" s="1412"/>
      <c r="W10" s="1412"/>
      <c r="X10" s="1412"/>
      <c r="Y10" s="1111"/>
      <c r="Z10" s="1114"/>
      <c r="AA10" s="1111"/>
    </row>
    <row customHeight="1" ht="30">
      <c r="A11" s="758"/>
      <c r="B11" s="1398"/>
      <c r="C11" s="1399"/>
      <c r="D11" s="769"/>
      <c r="E11" s="800"/>
      <c r="F11" s="763"/>
      <c r="G11" s="763"/>
      <c r="H11" s="763"/>
      <c r="I11" s="763"/>
      <c r="J11" s="763"/>
      <c r="K11" s="763"/>
      <c r="L11" s="763"/>
      <c r="M11" s="763"/>
      <c r="N11" s="763"/>
      <c r="O11" s="770"/>
      <c r="P11" s="763"/>
      <c r="Q11" s="763"/>
      <c r="R11" s="763"/>
      <c r="S11" s="763"/>
      <c r="T11" s="763"/>
      <c r="U11" s="763"/>
      <c r="V11" s="763"/>
      <c r="W11" s="763"/>
      <c r="X11" s="763"/>
      <c r="Y11" s="760"/>
      <c r="Z11" s="761"/>
      <c r="AA11" s="762"/>
    </row>
    <row customHeight="1" ht="19.5">
      <c r="A12" s="758"/>
      <c r="B12" s="1396" t="s">
        <v>11</v>
      </c>
      <c r="C12" s="1397"/>
      <c r="D12" s="764"/>
      <c r="E12" s="801"/>
      <c r="F12" s="771"/>
      <c r="G12" s="771"/>
      <c r="H12" s="771"/>
      <c r="I12" s="771"/>
      <c r="J12" s="771"/>
      <c r="K12" s="771"/>
      <c r="L12" s="771"/>
      <c r="M12" s="771"/>
      <c r="N12" s="771"/>
      <c r="O12" s="771"/>
      <c r="P12" s="771"/>
      <c r="Q12" s="771"/>
      <c r="R12" s="771"/>
      <c r="S12" s="771"/>
      <c r="T12" s="771"/>
      <c r="U12" s="771"/>
      <c r="V12" s="771"/>
      <c r="W12" s="771"/>
      <c r="X12" s="771"/>
      <c r="Y12" s="760"/>
      <c r="Z12" s="761"/>
      <c r="AA12" s="762"/>
    </row>
    <row customHeight="1" ht="68.25">
      <c r="A13" s="758"/>
      <c r="B13" s="1398"/>
      <c r="C13" s="1399"/>
      <c r="D13" s="772"/>
      <c r="E13" s="1400" t="s">
        <v>12</v>
      </c>
      <c r="F13" s="1400"/>
      <c r="G13" s="1400"/>
      <c r="H13" s="1400"/>
      <c r="I13" s="1400"/>
      <c r="J13" s="1400"/>
      <c r="K13" s="1400"/>
      <c r="L13" s="1400"/>
      <c r="M13" s="1400"/>
      <c r="N13" s="1400"/>
      <c r="O13" s="1400"/>
      <c r="P13" s="1400"/>
      <c r="Q13" s="1400"/>
      <c r="R13" s="1400"/>
      <c r="S13" s="1400"/>
      <c r="T13" s="1400"/>
      <c r="U13" s="1400"/>
      <c r="V13" s="1400"/>
      <c r="W13" s="1400"/>
      <c r="X13" s="1400"/>
      <c r="Y13" s="760"/>
      <c r="Z13" s="761"/>
      <c r="AA13" s="762"/>
    </row>
    <row customHeight="1" ht="13.5">
      <c r="A14" s="758"/>
      <c r="B14" s="1396" t="s">
        <v>13</v>
      </c>
      <c r="C14" s="1397"/>
      <c r="D14" s="759"/>
      <c r="E14" s="801"/>
      <c r="F14" s="771"/>
      <c r="G14" s="771"/>
      <c r="H14" s="771"/>
      <c r="I14" s="771"/>
      <c r="J14" s="771"/>
      <c r="K14" s="771"/>
      <c r="L14" s="771"/>
      <c r="M14" s="771"/>
      <c r="N14" s="771"/>
      <c r="O14" s="771"/>
      <c r="P14" s="771"/>
      <c r="Q14" s="771"/>
      <c r="R14" s="771"/>
      <c r="S14" s="771"/>
      <c r="T14" s="771"/>
      <c r="U14" s="771"/>
      <c r="V14" s="771"/>
      <c r="W14" s="771"/>
      <c r="X14" s="771"/>
      <c r="Y14" s="760"/>
      <c r="Z14" s="761"/>
      <c r="AA14" s="762"/>
    </row>
    <row customHeight="1" ht="65.25">
      <c r="A15" s="758"/>
      <c r="B15" s="1398"/>
      <c r="C15" s="1401"/>
      <c r="D15" s="764"/>
      <c r="E15" s="1404" t="s">
        <v>14</v>
      </c>
      <c r="F15" s="1404"/>
      <c r="G15" s="1404"/>
      <c r="H15" s="1404"/>
      <c r="I15" s="1404"/>
      <c r="J15" s="1404"/>
      <c r="K15" s="1404"/>
      <c r="L15" s="1404"/>
      <c r="M15" s="1404"/>
      <c r="N15" s="1404"/>
      <c r="O15" s="1404"/>
      <c r="P15" s="1404"/>
      <c r="Q15" s="1404"/>
      <c r="R15" s="1404"/>
      <c r="S15" s="1404"/>
      <c r="T15" s="1404"/>
      <c r="U15" s="1404"/>
      <c r="V15" s="1404"/>
      <c r="W15" s="1404"/>
      <c r="X15" s="1404"/>
      <c r="Y15" s="760"/>
      <c r="Z15" s="761"/>
      <c r="AA15" s="762"/>
    </row>
    <row customHeight="1" ht="16.5">
      <c r="A16" s="758"/>
      <c r="B16" s="1402"/>
      <c r="C16" s="1403"/>
      <c r="D16" s="773"/>
      <c r="E16" s="802"/>
      <c r="F16" s="774"/>
      <c r="G16" s="774"/>
      <c r="H16" s="774"/>
      <c r="I16" s="774"/>
      <c r="J16" s="774"/>
      <c r="K16" s="774"/>
      <c r="L16" s="774"/>
      <c r="M16" s="774"/>
      <c r="N16" s="774"/>
      <c r="O16" s="774"/>
      <c r="P16" s="774"/>
      <c r="Q16" s="774"/>
      <c r="R16" s="774"/>
      <c r="S16" s="774"/>
      <c r="T16" s="774"/>
      <c r="U16" s="774"/>
      <c r="V16" s="774"/>
      <c r="W16" s="774"/>
      <c r="X16" s="774"/>
      <c r="Y16" s="775"/>
      <c r="Z16" s="761"/>
      <c r="AA16" s="776"/>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56C266-AD37-8468-77B8-C972AE9B0FA8}" mc:Ignorable="x14ac xr xr2 xr3">
  <sheetPr>
    <tabColor theme="6" tint="0.4"/>
    <outlinePr summaryRight="0" summaryBelow="0"/>
    <pageSetUpPr fitToPage="1"/>
  </sheetPr>
  <dimension ref="A1:BF170"/>
  <sheetViews>
    <sheetView showGridLines="0" workbookViewId="0">
      <pane xSplit="30" ySplit="27" topLeftCell="AE144" activePane="bottomRight" state="frozen"/>
      <selection pane="bottomLeft" activeCell="A28" sqref="A28"/>
      <selection pane="topRight" activeCell="AE1" sqref="AE1"/>
      <selection pane="bottomRight" activeCell="AS149" sqref="AS149"/>
    </sheetView>
  </sheetViews>
  <sheetFormatPr defaultColWidth="9.140625" customHeight="1" defaultRowHeight="11.25"/>
  <cols>
    <col min="1" max="1" style="1186" width="6.00390625" hidden="1" customWidth="1"/>
    <col min="2" max="2" style="927" width="8.57421875" hidden="1" customWidth="1"/>
    <col min="3" max="4" style="1582" width="3.57421875" hidden="1" customWidth="1"/>
    <col min="5" max="5" style="925" width="8.421875" hidden="1" customWidth="1"/>
    <col min="6" max="6" style="1582" width="6.421875" hidden="1" customWidth="1"/>
    <col min="7" max="19" style="500" width="3.57421875" hidden="1" customWidth="1"/>
    <col min="20" max="20" style="1582" width="8.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215" width="9.1328125" customWidth="1"/>
    <col min="29" max="29" style="215" width="61.25390625" customWidth="1"/>
    <col min="30" max="30" style="215" width="10.3828125" customWidth="1"/>
    <col min="31" max="35" style="500" width="13.1328125" customWidth="1"/>
    <col min="36" max="44" style="500" width="13.1328125" hidden="1" customWidth="1"/>
    <col min="45" max="45" style="500" width="13.1328125" customWidth="1"/>
    <col min="46" max="54" style="500" width="13.1328125" hidden="1" customWidth="1"/>
    <col min="55" max="55" style="215" width="20.1328125" customWidth="1"/>
    <col min="56" max="56" style="500" width="3.00390625" customWidth="1"/>
    <col min="57" max="57" style="500" width="9.140625" hidden="1"/>
    <col min="58" max="58" style="1148" width="9.140625" hidden="1"/>
  </cols>
  <sheetData>
    <row s="1582" customFormat="1" customHeight="1" ht="12" hidden="1">
      <c r="A1" s="1186">
        <f>OR(T27:T164)</f>
        <v>1</v>
      </c>
      <c r="B1" s="788"/>
      <c r="E1" s="788"/>
      <c r="F1" s="819" t="s">
        <v>83</v>
      </c>
      <c r="G1" s="213"/>
      <c r="H1" s="213"/>
      <c r="I1" s="213"/>
      <c r="J1" s="213"/>
      <c r="K1" s="213"/>
      <c r="L1" s="213"/>
      <c r="M1" s="213"/>
      <c r="N1" s="213"/>
      <c r="O1" s="213"/>
      <c r="P1" s="213"/>
      <c r="Q1" s="213"/>
      <c r="R1" s="213"/>
      <c r="S1" s="213"/>
      <c r="T1" s="808" t="s">
        <v>86</v>
      </c>
      <c r="U1" s="808" t="s">
        <v>91</v>
      </c>
      <c r="V1" s="808" t="s">
        <v>87</v>
      </c>
      <c r="W1" s="808" t="s">
        <v>88</v>
      </c>
      <c r="X1" s="808" t="s">
        <v>89</v>
      </c>
      <c r="Y1" s="819" t="s">
        <v>372</v>
      </c>
      <c r="Z1" s="808" t="s">
        <v>93</v>
      </c>
      <c r="AA1" s="819" t="s">
        <v>90</v>
      </c>
      <c r="AB1" s="819" t="s">
        <v>92</v>
      </c>
      <c r="AC1" s="171"/>
      <c r="AD1" s="171"/>
      <c r="AI1" s="1582"/>
      <c r="AJ1" s="1582"/>
      <c r="AK1" s="1582"/>
      <c r="AL1" s="1582"/>
      <c r="AM1" s="1582"/>
      <c r="AN1" s="1582"/>
      <c r="AO1" s="1582"/>
      <c r="AP1" s="1582"/>
      <c r="AQ1" s="1582"/>
      <c r="AR1" s="1582"/>
      <c r="AS1" s="1582"/>
      <c r="AT1" s="1582"/>
      <c r="AU1" s="1582"/>
      <c r="AV1" s="1582"/>
      <c r="AW1" s="1582"/>
      <c r="AX1" s="1582"/>
      <c r="AY1" s="1582"/>
      <c r="AZ1" s="1582"/>
      <c r="BA1" s="1582"/>
      <c r="BB1" s="1582"/>
      <c r="BC1" s="171"/>
      <c r="BF1" s="1148" t="s">
        <v>373</v>
      </c>
    </row>
    <row s="927" customFormat="1" customHeight="1" ht="12" hidden="1">
      <c r="A2" s="1194"/>
      <c r="B2" s="910" t="s">
        <v>15</v>
      </c>
      <c r="G2" s="930"/>
      <c r="H2" s="930"/>
      <c r="I2" s="930"/>
      <c r="J2" s="930"/>
      <c r="K2" s="930"/>
      <c r="L2" s="930"/>
      <c r="M2" s="930"/>
      <c r="N2" s="930"/>
      <c r="O2" s="930"/>
      <c r="P2" s="930"/>
      <c r="Q2" s="930"/>
      <c r="R2" s="930"/>
      <c r="S2" s="930"/>
      <c r="AB2" s="792"/>
      <c r="AC2" s="792"/>
      <c r="AD2" s="792"/>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792"/>
      <c r="BF2" s="1196"/>
    </row>
    <row s="1582" customFormat="1" customHeight="1" ht="12" hidden="1">
      <c r="A3" s="1186"/>
      <c r="B3" s="788"/>
      <c r="E3" s="788"/>
      <c r="G3" s="213"/>
      <c r="H3" s="213"/>
      <c r="I3" s="213"/>
      <c r="J3" s="213"/>
      <c r="K3" s="213"/>
      <c r="L3" s="213"/>
      <c r="M3" s="213"/>
      <c r="N3" s="213"/>
      <c r="O3" s="213"/>
      <c r="P3" s="213"/>
      <c r="Q3" s="213"/>
      <c r="R3" s="213"/>
      <c r="S3" s="213"/>
      <c r="AB3" s="171"/>
      <c r="AC3" s="171"/>
      <c r="AD3" s="171"/>
      <c r="AI3" s="1582"/>
      <c r="AJ3" s="1582"/>
      <c r="AK3" s="1582"/>
      <c r="AL3" s="1582"/>
      <c r="AM3" s="1582"/>
      <c r="AN3" s="1582"/>
      <c r="AO3" s="1582"/>
      <c r="AP3" s="1582"/>
      <c r="AQ3" s="1582"/>
      <c r="AR3" s="1582"/>
      <c r="AS3" s="1582"/>
      <c r="AT3" s="1582"/>
      <c r="AU3" s="1582"/>
      <c r="AV3" s="1582"/>
      <c r="AW3" s="1582"/>
      <c r="AX3" s="1582"/>
      <c r="AY3" s="1582"/>
      <c r="AZ3" s="1582"/>
      <c r="BA3" s="1582"/>
      <c r="BB3" s="1582"/>
      <c r="BC3" s="171"/>
      <c r="BF3" s="1148"/>
    </row>
    <row s="1582" customFormat="1" customHeight="1" ht="12" hidden="1">
      <c r="A4" s="1186"/>
      <c r="B4" s="788"/>
      <c r="E4" s="788"/>
      <c r="G4" s="213"/>
      <c r="H4" s="213"/>
      <c r="I4" s="213"/>
      <c r="J4" s="213"/>
      <c r="K4" s="213"/>
      <c r="L4" s="213"/>
      <c r="M4" s="213"/>
      <c r="N4" s="213"/>
      <c r="O4" s="213"/>
      <c r="P4" s="213"/>
      <c r="Q4" s="213"/>
      <c r="R4" s="213"/>
      <c r="S4" s="213"/>
      <c r="AB4" s="171"/>
      <c r="AC4" s="171"/>
      <c r="AD4" s="171"/>
      <c r="AI4" s="1582"/>
      <c r="AJ4" s="1582"/>
      <c r="AK4" s="1582"/>
      <c r="AL4" s="1582"/>
      <c r="AM4" s="1582"/>
      <c r="AN4" s="1582"/>
      <c r="AO4" s="1582"/>
      <c r="AP4" s="1582"/>
      <c r="AQ4" s="1582"/>
      <c r="AR4" s="1582"/>
      <c r="AS4" s="1582"/>
      <c r="AT4" s="1582"/>
      <c r="AU4" s="1582"/>
      <c r="AV4" s="1582"/>
      <c r="AW4" s="1582"/>
      <c r="AX4" s="1582"/>
      <c r="AY4" s="1582"/>
      <c r="AZ4" s="1582"/>
      <c r="BA4" s="1582"/>
      <c r="BB4" s="1582"/>
      <c r="BC4" s="171"/>
      <c r="BF4" s="1148"/>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803">
        <v>9.13</v>
      </c>
      <c r="AC5" s="803">
        <v>61.25</v>
      </c>
      <c r="AD5" s="803">
        <v>10.38</v>
      </c>
      <c r="AE5" s="797">
        <v>13.13</v>
      </c>
      <c r="AF5" s="797">
        <v>13.13</v>
      </c>
      <c r="AG5" s="797">
        <v>13.13</v>
      </c>
      <c r="AH5" s="797">
        <v>13.13</v>
      </c>
      <c r="AI5" s="797">
        <v>13.13</v>
      </c>
      <c r="AJ5" s="797">
        <v>13.13</v>
      </c>
      <c r="AK5" s="797">
        <v>13.13</v>
      </c>
      <c r="AL5" s="797">
        <v>13.13</v>
      </c>
      <c r="AM5" s="797">
        <v>13.13</v>
      </c>
      <c r="AN5" s="797">
        <v>13.13</v>
      </c>
      <c r="AO5" s="797">
        <v>13.13</v>
      </c>
      <c r="AP5" s="797">
        <v>13.13</v>
      </c>
      <c r="AQ5" s="797">
        <v>13.13</v>
      </c>
      <c r="AR5" s="797">
        <v>13.13</v>
      </c>
      <c r="AS5" s="797">
        <v>13.13</v>
      </c>
      <c r="AT5" s="797">
        <v>13.13</v>
      </c>
      <c r="AU5" s="797">
        <v>13.13</v>
      </c>
      <c r="AV5" s="797">
        <v>13.13</v>
      </c>
      <c r="AW5" s="797">
        <v>13.13</v>
      </c>
      <c r="AX5" s="797">
        <v>13.13</v>
      </c>
      <c r="AY5" s="797">
        <v>13.13</v>
      </c>
      <c r="AZ5" s="797">
        <v>13.13</v>
      </c>
      <c r="BA5" s="797">
        <v>13.13</v>
      </c>
      <c r="BB5" s="797">
        <v>13.13</v>
      </c>
      <c r="BC5" s="803">
        <v>20.13</v>
      </c>
      <c r="BD5" s="797">
        <v>3</v>
      </c>
      <c r="BF5" s="1196"/>
    </row>
    <row s="1582" customFormat="1" customHeight="1" ht="12" hidden="1">
      <c r="A6" s="1186"/>
      <c r="B6" s="788"/>
      <c r="E6" s="797"/>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148"/>
    </row>
    <row customHeight="1" ht="12" hidden="1">
      <c r="F7" s="213"/>
      <c r="T7" s="213"/>
      <c r="U7" s="213"/>
      <c r="V7" s="213"/>
      <c r="W7" s="213"/>
      <c r="X7" s="213"/>
      <c r="Y7" s="213"/>
      <c r="Z7" s="213"/>
      <c r="AE7" s="213" cm="1" t="str">
        <f t="array" ref="AE7:AE7">AE26</f>
        <v>Принято органом регулирования</v>
      </c>
      <c r="AF7" s="213" cm="1" t="str">
        <f t="array" ref="AF7:AF7">AF26</f>
        <v>Факт по данным организации</v>
      </c>
      <c r="AG7" s="213" cm="1" t="str">
        <f t="array" ref="AG7:AG7">AG26</f>
        <v>Факт, принятый органом регулирования</v>
      </c>
      <c r="AH7" s="213" cm="1" t="str">
        <f t="array" ref="AH7:AH7">AH26</f>
        <v>Принято органом регулирования</v>
      </c>
      <c r="AI7" s="213" cm="1" t="str">
        <f t="array" ref="AI7:AI7">AI26</f>
        <v>Предложение организации</v>
      </c>
      <c r="AJ7" s="213" cm="1" t="str">
        <f t="array" ref="AJ7:AJ7">AJ26</f>
        <v>Предложение организации</v>
      </c>
      <c r="AK7" s="213" cm="1" t="str">
        <f t="array" ref="AK7:AK7">AK26</f>
        <v>Предложение организации</v>
      </c>
      <c r="AL7" s="213" cm="1" t="str">
        <f t="array" ref="AL7:AL7">AL26</f>
        <v>Предложение организации</v>
      </c>
      <c r="AM7" s="213" cm="1" t="str">
        <f t="array" ref="AM7:AM7">AM26</f>
        <v>Предложение организации</v>
      </c>
      <c r="AN7" s="213" cm="1" t="str">
        <f t="array" ref="AN7:AN7">AN26</f>
        <v>Предложение организации</v>
      </c>
      <c r="AO7" s="213" cm="1" t="str">
        <f t="array" ref="AO7:AO7">AO26</f>
        <v>Предложение организации</v>
      </c>
      <c r="AP7" s="213" cm="1" t="str">
        <f t="array" ref="AP7:AP7">AP26</f>
        <v>Предложение организации</v>
      </c>
      <c r="AQ7" s="213" cm="1" t="str">
        <f t="array" ref="AQ7:AQ7">AQ26</f>
        <v>Предложение организации</v>
      </c>
      <c r="AR7" s="213" cm="1" t="str">
        <f t="array" ref="AR7:AR7">AR26</f>
        <v>Предложение организации</v>
      </c>
      <c r="AS7" s="213" cm="1" t="str">
        <f t="array" ref="AS7:AS7">AS26</f>
        <v>Принято органом регулирования</v>
      </c>
      <c r="AT7" s="213" cm="1" t="str">
        <f t="array" ref="AT7:AT7">AT26</f>
        <v>Принято органом регулирования</v>
      </c>
      <c r="AU7" s="213" cm="1" t="str">
        <f t="array" ref="AU7:AU7">AU26</f>
        <v>Принято органом регулирования</v>
      </c>
      <c r="AV7" s="213" cm="1" t="str">
        <f t="array" ref="AV7:AV7">AV26</f>
        <v>Принято органом регулирования</v>
      </c>
      <c r="AW7" s="213" cm="1" t="str">
        <f t="array" ref="AW7:AW7">AW26</f>
        <v>Принято органом регулирования</v>
      </c>
      <c r="AX7" s="213" cm="1" t="str">
        <f t="array" ref="AX7:AX7">AX26</f>
        <v>Принято органом регулирования</v>
      </c>
      <c r="AY7" s="213" cm="1" t="str">
        <f t="array" ref="AY7:AY7">AY26</f>
        <v>Принято органом регулирования</v>
      </c>
      <c r="AZ7" s="213" cm="1" t="str">
        <f t="array" ref="AZ7:AZ7">AZ26</f>
        <v>Принято органом регулирования</v>
      </c>
      <c r="BA7" s="213" cm="1" t="str">
        <f t="array" ref="BA7:BA7">BA26</f>
        <v>Принято органом регулирования</v>
      </c>
      <c r="BB7" s="213" cm="1" t="str">
        <f t="array" ref="BB7:BB7">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217" customFormat="1" customHeight="1" ht="12" hidden="1">
      <c r="A9" s="1161" t="s">
        <v>437</v>
      </c>
      <c r="B9" s="1154"/>
      <c r="E9" s="1154"/>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61"/>
    </row>
    <row s="1217" customFormat="1" customHeight="1" ht="12" hidden="1">
      <c r="A10" s="1161" t="s">
        <v>438</v>
      </c>
      <c r="B10" s="1154"/>
      <c r="E10" s="1154"/>
      <c r="AE10" s="1162" cm="1" t="str">
        <f t="array" ref="AE10:AE10">AE26</f>
        <v>Принято органом регулирования</v>
      </c>
      <c r="AF10" s="1162" cm="1" t="str">
        <f t="array" ref="AF10:AF10">AF26</f>
        <v>Факт по данным организации</v>
      </c>
      <c r="AG10" s="1162" cm="1" t="str">
        <f t="array" ref="AG10:AG10">AG26</f>
        <v>Факт, принятый органом регулирования</v>
      </c>
      <c r="AH10" s="1162" cm="1" t="str">
        <f t="array" ref="AH10:AH10">AH26</f>
        <v>Принято органом регулирования</v>
      </c>
      <c r="AI10" s="1162" cm="1" t="str">
        <f t="array" ref="AI10:AI10">AI26</f>
        <v>Предложение организации</v>
      </c>
      <c r="AJ10" s="1162" cm="1" t="str">
        <f t="array" ref="AJ10:AJ10">AJ26</f>
        <v>Предложение организации</v>
      </c>
      <c r="AK10" s="1162" cm="1" t="str">
        <f t="array" ref="AK10:AK10">AK26</f>
        <v>Предложение организации</v>
      </c>
      <c r="AL10" s="1162" cm="1" t="str">
        <f t="array" ref="AL10:AL10">AL26</f>
        <v>Предложение организации</v>
      </c>
      <c r="AM10" s="1162" cm="1" t="str">
        <f t="array" ref="AM10:AM10">AM26</f>
        <v>Предложение организации</v>
      </c>
      <c r="AN10" s="1162" cm="1" t="str">
        <f t="array" ref="AN10:AN10">AN26</f>
        <v>Предложение организации</v>
      </c>
      <c r="AO10" s="1162" cm="1" t="str">
        <f t="array" ref="AO10:AO10">AO26</f>
        <v>Предложение организации</v>
      </c>
      <c r="AP10" s="1162" cm="1" t="str">
        <f t="array" ref="AP10:AP10">AP26</f>
        <v>Предложение организации</v>
      </c>
      <c r="AQ10" s="1162" cm="1" t="str">
        <f t="array" ref="AQ10:AQ10">AQ26</f>
        <v>Предложение организации</v>
      </c>
      <c r="AR10" s="1162" cm="1" t="str">
        <f t="array" ref="AR10:AR10">AR26</f>
        <v>Предложение организации</v>
      </c>
      <c r="AS10" s="1162" cm="1" t="str">
        <f t="array" ref="AS10:AS10">AS26</f>
        <v>Принято органом регулирования</v>
      </c>
      <c r="AT10" s="1162" cm="1" t="str">
        <f t="array" ref="AT10:AT10">AT26</f>
        <v>Принято органом регулирования</v>
      </c>
      <c r="AU10" s="1162" cm="1" t="str">
        <f t="array" ref="AU10:AU10">AU26</f>
        <v>Принято органом регулирования</v>
      </c>
      <c r="AV10" s="1162" cm="1" t="str">
        <f t="array" ref="AV10:AV10">AV26</f>
        <v>Принято органом регулирования</v>
      </c>
      <c r="AW10" s="1162" cm="1" t="str">
        <f t="array" ref="AW10:AW10">AW26</f>
        <v>Принято органом регулирования</v>
      </c>
      <c r="AX10" s="1162" cm="1" t="str">
        <f t="array" ref="AX10:AX10">AX26</f>
        <v>Принято органом регулирования</v>
      </c>
      <c r="AY10" s="1162" cm="1" t="str">
        <f t="array" ref="AY10:AY10">AY26</f>
        <v>Принято органом регулирования</v>
      </c>
      <c r="AZ10" s="1162" cm="1" t="str">
        <f t="array" ref="AZ10:AZ10">AZ26</f>
        <v>Принято органом регулирования</v>
      </c>
      <c r="BA10" s="1162" cm="1" t="str">
        <f t="array" ref="BA10:BA10">BA26</f>
        <v>Принято органом регулирования</v>
      </c>
      <c r="BB10" s="1162" cm="1" t="str">
        <f t="array" ref="BB10:BB10">BB26</f>
        <v>Принято органом регулирования</v>
      </c>
      <c r="BF10" s="1161"/>
    </row>
    <row s="1217" customFormat="1" customHeight="1" ht="12" hidden="1">
      <c r="A11" s="1161" t="s">
        <v>439</v>
      </c>
      <c r="B11" s="1154"/>
      <c r="E11" s="1154"/>
      <c r="G11" s="1170"/>
      <c r="H11" s="1170"/>
      <c r="I11" s="1170"/>
      <c r="J11" s="1170"/>
      <c r="K11" s="1170"/>
      <c r="L11" s="1170"/>
      <c r="M11" s="1170"/>
      <c r="N11" s="1170"/>
      <c r="O11" s="1170"/>
      <c r="P11" s="1170"/>
      <c r="Q11" s="1170"/>
      <c r="R11" s="1170"/>
      <c r="S11" s="1170"/>
      <c r="AB11" s="1164"/>
      <c r="AC11" s="1164"/>
      <c r="AD11" s="1164"/>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4" cm="1" t="str">
        <f t="array" ref="BC11:BC11">BC25</f>
        <v>Ссылка на правовую норму (основание для принятия показателя в расчет тарифа)</v>
      </c>
      <c r="BF11" s="1161"/>
    </row>
    <row s="1582" customFormat="1" customHeight="1" ht="12" hidden="1">
      <c r="A12" s="1186"/>
      <c r="B12" s="788"/>
      <c r="E12" s="797"/>
      <c r="G12" s="213"/>
      <c r="H12" s="213"/>
      <c r="I12" s="213"/>
      <c r="J12" s="213"/>
      <c r="K12" s="213"/>
      <c r="L12" s="213"/>
      <c r="M12" s="213"/>
      <c r="N12" s="213"/>
      <c r="O12" s="213"/>
      <c r="P12" s="213"/>
      <c r="Q12" s="213"/>
      <c r="R12" s="213"/>
      <c r="S12" s="213"/>
      <c r="AB12" s="171"/>
      <c r="AC12" s="171"/>
      <c r="AD12" s="171"/>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C12" s="171"/>
      <c r="BF12" s="1148"/>
    </row>
    <row s="1582" customFormat="1" customHeight="1" ht="12" hidden="1">
      <c r="A13" s="1186"/>
      <c r="B13" s="788"/>
      <c r="E13" s="797"/>
      <c r="G13" s="213"/>
      <c r="H13" s="213"/>
      <c r="I13" s="213"/>
      <c r="J13" s="213"/>
      <c r="K13" s="213"/>
      <c r="L13" s="213"/>
      <c r="M13" s="213"/>
      <c r="N13" s="213"/>
      <c r="O13" s="213"/>
      <c r="P13" s="213"/>
      <c r="Q13" s="213"/>
      <c r="R13" s="213"/>
      <c r="S13" s="213"/>
      <c r="AB13" s="171"/>
      <c r="AC13" s="171"/>
      <c r="AD13" s="171"/>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C13" s="171"/>
      <c r="BF13" s="1148"/>
    </row>
    <row s="1582" customFormat="1" customHeight="1" ht="12" hidden="1">
      <c r="A14" s="1186"/>
      <c r="B14" s="788"/>
      <c r="E14" s="797"/>
      <c r="G14" s="213"/>
      <c r="H14" s="213"/>
      <c r="I14" s="213"/>
      <c r="J14" s="213"/>
      <c r="K14" s="213"/>
      <c r="L14" s="213"/>
      <c r="M14" s="213"/>
      <c r="N14" s="213"/>
      <c r="O14" s="213"/>
      <c r="P14" s="213"/>
      <c r="Q14" s="213"/>
      <c r="R14" s="213"/>
      <c r="S14" s="213"/>
      <c r="AB14" s="171"/>
      <c r="AC14" s="171"/>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C14" s="171"/>
      <c r="BF14" s="1148"/>
    </row>
    <row s="1582" customFormat="1" customHeight="1" ht="12" hidden="1">
      <c r="A15" s="1186"/>
      <c r="B15" s="788"/>
      <c r="E15" s="797"/>
      <c r="G15" s="213"/>
      <c r="H15" s="213"/>
      <c r="I15" s="213"/>
      <c r="J15" s="213"/>
      <c r="K15" s="213"/>
      <c r="L15" s="213"/>
      <c r="M15" s="213"/>
      <c r="N15" s="213"/>
      <c r="O15" s="213"/>
      <c r="P15" s="213"/>
      <c r="Q15" s="213"/>
      <c r="R15" s="213"/>
      <c r="S15" s="213"/>
      <c r="AB15" s="171"/>
      <c r="AC15" s="171"/>
      <c r="AD15" s="171"/>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C15" s="171"/>
      <c r="BF15" s="1148"/>
    </row>
    <row s="1582" customFormat="1" customHeight="1" ht="12" hidden="1">
      <c r="A16" s="1186"/>
      <c r="B16" s="788"/>
      <c r="E16" s="797"/>
      <c r="G16" s="213"/>
      <c r="H16" s="213"/>
      <c r="I16" s="213"/>
      <c r="J16" s="213"/>
      <c r="K16" s="213"/>
      <c r="L16" s="213"/>
      <c r="M16" s="213"/>
      <c r="N16" s="213"/>
      <c r="O16" s="213"/>
      <c r="P16" s="213"/>
      <c r="Q16" s="213"/>
      <c r="R16" s="213"/>
      <c r="S16" s="213"/>
      <c r="AB16" s="171"/>
      <c r="AC16" s="171"/>
      <c r="AD16" s="171"/>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C16" s="171"/>
      <c r="BF16" s="1148"/>
    </row>
    <row s="1582" customFormat="1" customHeight="1" ht="12" hidden="1">
      <c r="A17" s="1186"/>
      <c r="B17" s="788"/>
      <c r="E17" s="797"/>
      <c r="G17" s="213"/>
      <c r="H17" s="213"/>
      <c r="I17" s="213"/>
      <c r="J17" s="213"/>
      <c r="K17" s="213"/>
      <c r="L17" s="213"/>
      <c r="M17" s="213"/>
      <c r="N17" s="213"/>
      <c r="O17" s="213"/>
      <c r="P17" s="213"/>
      <c r="Q17" s="213"/>
      <c r="R17" s="213"/>
      <c r="S17" s="213"/>
      <c r="AB17" s="171"/>
      <c r="AC17" s="171"/>
      <c r="AD17" s="171"/>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C17" s="171"/>
      <c r="BF17" s="1148"/>
    </row>
    <row s="1582" customFormat="1" customHeight="1" ht="12" hidden="1">
      <c r="A18" s="1186"/>
      <c r="B18" s="788"/>
      <c r="E18" s="797"/>
      <c r="G18" s="213"/>
      <c r="H18" s="213"/>
      <c r="I18" s="213"/>
      <c r="J18" s="213"/>
      <c r="K18" s="213"/>
      <c r="L18" s="213"/>
      <c r="M18" s="213"/>
      <c r="N18" s="213"/>
      <c r="O18" s="213"/>
      <c r="P18" s="213"/>
      <c r="Q18" s="213"/>
      <c r="R18" s="213"/>
      <c r="S18" s="213"/>
      <c r="AB18" s="171"/>
      <c r="AC18" s="171"/>
      <c r="AD18" s="171"/>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C18" s="171"/>
      <c r="BF18" s="1148"/>
    </row>
    <row s="1582" customFormat="1" customHeight="1" ht="12" hidden="1">
      <c r="A19" s="1186"/>
      <c r="B19" s="788"/>
      <c r="E19" s="797"/>
      <c r="G19" s="213"/>
      <c r="H19" s="213"/>
      <c r="I19" s="213"/>
      <c r="J19" s="213"/>
      <c r="K19" s="213"/>
      <c r="L19" s="213"/>
      <c r="M19" s="213"/>
      <c r="N19" s="213"/>
      <c r="O19" s="213"/>
      <c r="P19" s="213"/>
      <c r="Q19" s="213"/>
      <c r="R19" s="213"/>
      <c r="S19" s="213"/>
      <c r="AB19" s="171"/>
      <c r="AC19" s="171"/>
      <c r="AD19" s="171"/>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C19" s="171"/>
      <c r="BF19" s="1148"/>
    </row>
    <row s="1582" customFormat="1" customHeight="1" ht="12" hidden="1">
      <c r="A20" s="1186"/>
      <c r="B20" s="788"/>
      <c r="E20" s="797"/>
      <c r="G20" s="213"/>
      <c r="H20" s="213"/>
      <c r="I20" s="213"/>
      <c r="J20" s="213"/>
      <c r="K20" s="213"/>
      <c r="L20" s="213"/>
      <c r="M20" s="213"/>
      <c r="N20" s="213"/>
      <c r="O20" s="213"/>
      <c r="P20" s="213"/>
      <c r="Q20" s="213"/>
      <c r="R20" s="213"/>
      <c r="S20" s="213"/>
      <c r="AB20" s="171"/>
      <c r="AC20" s="171"/>
      <c r="AD20" s="171"/>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C20" s="171"/>
      <c r="BF20" s="1148"/>
    </row>
    <row customHeight="1" ht="14.625">
      <c r="E21" s="797">
        <v>15</v>
      </c>
      <c r="AA21" s="820"/>
      <c r="AC21" s="403" cm="1" t="str">
        <f t="array" ref="AC21:AC21">tpl_title</f>
        <v>Кемеровская область / 2026 / ООО "ВЕЛЕС" (ИНН:4212036655, КПП:421201001) / ДПР: 2016-2025</v>
      </c>
      <c r="AI21" s="500"/>
      <c r="AJ21" s="500"/>
      <c r="AK21" s="500"/>
      <c r="AL21" s="500"/>
      <c r="AM21" s="500"/>
      <c r="AN21" s="500"/>
      <c r="AO21" s="500"/>
      <c r="AP21" s="500"/>
      <c r="AQ21" s="500"/>
      <c r="AR21" s="500"/>
      <c r="AS21" s="500"/>
      <c r="AT21" s="500"/>
      <c r="AU21" s="500"/>
      <c r="AV21" s="500"/>
      <c r="AW21" s="500"/>
      <c r="AX21" s="500"/>
      <c r="AY21" s="500"/>
      <c r="AZ21" s="500"/>
      <c r="BA21" s="500"/>
      <c r="BB21" s="500"/>
    </row>
    <row s="965" customFormat="1" customHeight="1" ht="19.5975">
      <c r="A22" s="403"/>
      <c r="B22" s="788"/>
      <c r="C22" s="179"/>
      <c r="D22" s="179"/>
      <c r="E22" s="797">
        <v>20.1</v>
      </c>
      <c r="F22" s="179"/>
      <c r="T22" s="179"/>
      <c r="U22" s="179"/>
      <c r="V22" s="179"/>
      <c r="W22" s="179"/>
      <c r="X22" s="179"/>
      <c r="Y22" s="179"/>
      <c r="Z22" s="179"/>
      <c r="AB22" s="391" t="s">
        <v>33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197"/>
    </row>
    <row customHeight="1" ht="11.0175">
      <c r="E23" s="797">
        <v>11.3</v>
      </c>
      <c r="AI23" s="500"/>
      <c r="AJ23" s="500"/>
      <c r="AK23" s="500"/>
      <c r="AL23" s="500"/>
      <c r="AM23" s="500"/>
      <c r="AN23" s="500"/>
      <c r="AO23" s="500"/>
      <c r="AP23" s="500"/>
      <c r="AQ23" s="500"/>
      <c r="AR23" s="500"/>
      <c r="AS23" s="500"/>
      <c r="AT23" s="500"/>
      <c r="AU23" s="500"/>
      <c r="AV23" s="500"/>
      <c r="AW23" s="500"/>
      <c r="AX23" s="500"/>
      <c r="AY23" s="500"/>
      <c r="AZ23" s="500"/>
      <c r="BA23" s="500"/>
      <c r="BB23" s="500"/>
    </row>
    <row s="965" customFormat="1" customHeight="1" ht="14.625">
      <c r="A24" s="403"/>
      <c r="B24" s="788"/>
      <c r="C24" s="179"/>
      <c r="D24" s="179"/>
      <c r="E24" s="797">
        <v>15</v>
      </c>
      <c r="F24" s="179"/>
      <c r="T24" s="179"/>
      <c r="U24" s="179"/>
      <c r="V24" s="179"/>
      <c r="W24" s="179"/>
      <c r="X24" s="179"/>
      <c r="Y24" s="179"/>
      <c r="Z24" s="179"/>
      <c r="AB24" s="1473" t="s">
        <v>594</v>
      </c>
      <c r="AC24" s="1473"/>
      <c r="AD24" s="1473"/>
      <c r="AE24" s="1473"/>
      <c r="AF24" s="1473"/>
      <c r="AG24" s="1473"/>
      <c r="AH24" s="1473"/>
      <c r="AI24" s="1473"/>
      <c r="AJ24" s="1473"/>
      <c r="AK24" s="1473"/>
      <c r="AL24" s="1473"/>
      <c r="AM24" s="1473"/>
      <c r="AN24" s="1473"/>
      <c r="AO24" s="1473"/>
      <c r="AP24" s="1473"/>
      <c r="AQ24" s="1473"/>
      <c r="AR24" s="1473"/>
      <c r="AS24" s="1473"/>
      <c r="AT24" s="1473"/>
      <c r="AU24" s="1473"/>
      <c r="AV24" s="1473"/>
      <c r="AW24" s="1473"/>
      <c r="AX24" s="1473"/>
      <c r="AY24" s="1473"/>
      <c r="AZ24" s="1473"/>
      <c r="BA24" s="1473"/>
      <c r="BB24" s="1473"/>
      <c r="BC24" s="1473"/>
      <c r="BF24" s="1197"/>
    </row>
    <row s="215" customFormat="1" customHeight="1" ht="14.625">
      <c r="A25" s="332"/>
      <c r="B25" s="792"/>
      <c r="C25" s="171"/>
      <c r="D25" s="171"/>
      <c r="E25" s="803">
        <v>15</v>
      </c>
      <c r="F25" s="171"/>
      <c r="T25" s="171"/>
      <c r="U25" s="171"/>
      <c r="V25" s="179"/>
      <c r="W25" s="171"/>
      <c r="X25" s="171"/>
      <c r="Y25" s="171"/>
      <c r="Z25" s="171"/>
      <c r="AB25" s="1475" t="s">
        <v>386</v>
      </c>
      <c r="AC25" s="1476" t="s">
        <v>440</v>
      </c>
      <c r="AD25" s="1468" t="s">
        <v>441</v>
      </c>
      <c r="AE25" s="412" t="str">
        <f>god-2&amp;" год"</f>
        <v>2024 год</v>
      </c>
      <c r="AF25" s="1361" t="str">
        <f>god-2&amp;" год"</f>
        <v>2024 год</v>
      </c>
      <c r="AG25" s="412" t="str">
        <f>god-2&amp;" год"</f>
        <v>2024 год</v>
      </c>
      <c r="AH25" s="174" t="str">
        <f>god-1&amp;" год"</f>
        <v>2025 год</v>
      </c>
      <c r="AI25" s="1356" t="str">
        <f>god&amp;" год"</f>
        <v>2026 год</v>
      </c>
      <c r="AJ25" s="1356" t="str">
        <f>god+1&amp;" год"</f>
        <v>2027 год</v>
      </c>
      <c r="AK25" s="1356" t="str">
        <f>god+2&amp;" год"</f>
        <v>2028 год</v>
      </c>
      <c r="AL25" s="1356" t="str">
        <f>god+3&amp;" год"</f>
        <v>2029 год</v>
      </c>
      <c r="AM25" s="1356" t="str">
        <f>god+4&amp;" год"</f>
        <v>2030 год</v>
      </c>
      <c r="AN25" s="1356" t="str">
        <f>god+5&amp;" год"</f>
        <v>2031 год</v>
      </c>
      <c r="AO25" s="1356" t="str">
        <f>god+6&amp;" год"</f>
        <v>2032 год</v>
      </c>
      <c r="AP25" s="1356" t="str">
        <f>god+7&amp;" год"</f>
        <v>2033 год</v>
      </c>
      <c r="AQ25" s="1356" t="str">
        <f>god+8&amp;" год"</f>
        <v>2034 год</v>
      </c>
      <c r="AR25" s="1356"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474" t="s">
        <v>595</v>
      </c>
      <c r="BF25" s="1148"/>
    </row>
    <row s="215" customFormat="1" customHeight="1" ht="68.1525">
      <c r="A26" s="332"/>
      <c r="B26" s="792"/>
      <c r="C26" s="171"/>
      <c r="D26" s="171"/>
      <c r="E26" s="803">
        <v>69.9</v>
      </c>
      <c r="F26" s="171"/>
      <c r="T26" s="171"/>
      <c r="U26" s="171"/>
      <c r="V26" s="179"/>
      <c r="W26" s="171"/>
      <c r="X26" s="171"/>
      <c r="Y26" s="171"/>
      <c r="Z26" s="171"/>
      <c r="AB26" s="1475"/>
      <c r="AC26" s="1477"/>
      <c r="AD26" s="1468"/>
      <c r="AE26" s="170" t="s">
        <v>402</v>
      </c>
      <c r="AF26" s="1356" t="s">
        <v>596</v>
      </c>
      <c r="AG26" s="170" t="s">
        <v>597</v>
      </c>
      <c r="AH26" s="170" t="s">
        <v>402</v>
      </c>
      <c r="AI26" s="1357" t="s">
        <v>403</v>
      </c>
      <c r="AJ26" s="1357" t="s">
        <v>403</v>
      </c>
      <c r="AK26" s="1357" t="s">
        <v>403</v>
      </c>
      <c r="AL26" s="1357" t="s">
        <v>403</v>
      </c>
      <c r="AM26" s="1357" t="s">
        <v>403</v>
      </c>
      <c r="AN26" s="1357" t="s">
        <v>403</v>
      </c>
      <c r="AO26" s="1357" t="s">
        <v>403</v>
      </c>
      <c r="AP26" s="1357" t="s">
        <v>403</v>
      </c>
      <c r="AQ26" s="1357" t="s">
        <v>403</v>
      </c>
      <c r="AR26" s="1357" t="s">
        <v>403</v>
      </c>
      <c r="AS26" s="413" t="s">
        <v>402</v>
      </c>
      <c r="AT26" s="413" t="s">
        <v>402</v>
      </c>
      <c r="AU26" s="413" t="s">
        <v>402</v>
      </c>
      <c r="AV26" s="413" t="s">
        <v>402</v>
      </c>
      <c r="AW26" s="413" t="s">
        <v>402</v>
      </c>
      <c r="AX26" s="413" t="s">
        <v>402</v>
      </c>
      <c r="AY26" s="413" t="s">
        <v>402</v>
      </c>
      <c r="AZ26" s="413" t="s">
        <v>402</v>
      </c>
      <c r="BA26" s="413" t="s">
        <v>402</v>
      </c>
      <c r="BB26" s="413" t="s">
        <v>402</v>
      </c>
      <c r="BC26" s="1474"/>
      <c r="BF26" s="1148"/>
    </row>
    <row s="215" customFormat="1" customHeight="1" ht="69.75" hidden="1">
      <c r="A27" s="332"/>
      <c r="B27" s="792"/>
      <c r="C27" s="171"/>
      <c r="D27" s="171"/>
      <c r="E27" s="803">
        <v>0</v>
      </c>
      <c r="F27" s="171"/>
      <c r="T27" s="171"/>
      <c r="U27" s="171"/>
      <c r="V27" s="179"/>
      <c r="W27" s="171"/>
      <c r="X27" s="171"/>
      <c r="Y27" s="171"/>
      <c r="Z27" s="171"/>
      <c r="AB27" s="524"/>
      <c r="AC27" s="523"/>
      <c r="AD27" s="374"/>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48"/>
    </row>
    <row customHeight="1" ht="11.115" hidden="1">
      <c r="E28" s="797">
        <v>11.4</v>
      </c>
      <c r="F28" s="922" cm="1" t="str">
        <f t="array" ref="F28:F28">X28</f>
        <v>0</v>
      </c>
      <c r="G28" s="213" cm="1" t="str">
        <f t="array" ref="G28:G28">INDEX('Общие сведения'!$AL$169:$AL$202,MATCH($F28,'Общие сведения'!$Z$169:$Z$202,0))</f>
        <v>0</v>
      </c>
      <c r="H28" s="213" cm="1" t="str">
        <f t="array" ref="H28:H28">INDEX('Общие сведения'!$AK$169:$AK$202,MATCH($F28,'Общие сведения'!$Z$169:$Z$202,0))</f>
        <v>0</v>
      </c>
      <c r="T28" s="808">
        <f>AND(X28&gt;0,G28&lt;&gt;"передача тепловой энергии")</f>
        <v>0</v>
      </c>
      <c r="V28" s="175" t="s">
        <v>310</v>
      </c>
      <c r="X28" s="175">
        <v>0</v>
      </c>
      <c r="AB28" s="466" cm="1" t="str">
        <f t="array" ref="AB28:AB28">INDEX('Общие сведения'!$AG$169:$AG$202,MATCH($F28,'Общие сведения'!$Z$169:$Z$202,0))</f>
        <v>Тариф 0 (Теплоснабжение) - </v>
      </c>
      <c r="AC28" s="263"/>
      <c r="AD28" s="263"/>
      <c r="AE28" s="263"/>
      <c r="AF28" s="263"/>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97">
        <v>17.1</v>
      </c>
      <c r="F29" s="922" cm="1" t="str">
        <f t="array" ref="F29:F29">OFFSET(G29,-1,-1)</f>
        <v>0</v>
      </c>
      <c r="T29" s="808" cm="1" t="str">
        <f t="array" ref="T29:T29">T28</f>
        <v>false</v>
      </c>
      <c r="AB29" s="325" t="s">
        <v>336</v>
      </c>
      <c r="AC29" s="163" t="s">
        <v>598</v>
      </c>
      <c r="AD29" s="169" t="s">
        <v>599</v>
      </c>
      <c r="AE29" s="367">
        <f>AE30+AE33+AE36</f>
        <v>0</v>
      </c>
      <c r="AF29" s="367">
        <f>AF30+AF33+AF36</f>
        <v>0</v>
      </c>
      <c r="AG29" s="367">
        <f>AG30+AG33+AG36</f>
        <v>0</v>
      </c>
      <c r="AH29" s="367">
        <f>AH30+AH33+AH36</f>
        <v>0</v>
      </c>
      <c r="AI29" s="367">
        <f>AI30+AI33+AI36</f>
        <v>0</v>
      </c>
      <c r="AJ29" s="367">
        <f>AJ30+AJ33+AJ36</f>
        <v>0</v>
      </c>
      <c r="AK29" s="367">
        <f>AK30+AK33+AK36</f>
        <v>0</v>
      </c>
      <c r="AL29" s="367">
        <f>AL30+AL33+AL36</f>
        <v>0</v>
      </c>
      <c r="AM29" s="367">
        <f>AM30+AM33+AM36</f>
        <v>0</v>
      </c>
      <c r="AN29" s="367">
        <f>AN30+AN33+AN36</f>
        <v>0</v>
      </c>
      <c r="AO29" s="367">
        <f>AO30+AO33+AO36</f>
        <v>0</v>
      </c>
      <c r="AP29" s="367">
        <f>AP30+AP33+AP36</f>
        <v>0</v>
      </c>
      <c r="AQ29" s="367">
        <f>AQ30+AQ33+AQ36</f>
        <v>0</v>
      </c>
      <c r="AR29" s="367">
        <f>AR30+AR33+AR36</f>
        <v>0</v>
      </c>
      <c r="AS29" s="367">
        <f>AS30+AS33+AS36</f>
        <v>0</v>
      </c>
      <c r="AT29" s="367">
        <f>AT30+AT33+AT36</f>
        <v>0</v>
      </c>
      <c r="AU29" s="367">
        <f>AU30+AU33+AU36</f>
        <v>0</v>
      </c>
      <c r="AV29" s="367">
        <f>AV30+AV33+AV36</f>
        <v>0</v>
      </c>
      <c r="AW29" s="367">
        <f>AW30+AW33+AW36</f>
        <v>0</v>
      </c>
      <c r="AX29" s="367">
        <f>AX30+AX33+AX36</f>
        <v>0</v>
      </c>
      <c r="AY29" s="367">
        <f>AY30+AY33+AY36</f>
        <v>0</v>
      </c>
      <c r="AZ29" s="367">
        <f>AZ30+AZ33+AZ36</f>
        <v>0</v>
      </c>
      <c r="BA29" s="367">
        <f>BA30+BA33+BA36</f>
        <v>0</v>
      </c>
      <c r="BB29" s="367">
        <f>BB30+BB33+BB36</f>
        <v>0</v>
      </c>
      <c r="BC29" s="73"/>
      <c r="BF29" s="1198" t="s">
        <v>600</v>
      </c>
    </row>
    <row customHeight="1" ht="16.672500000000003" hidden="1">
      <c r="E30" s="797">
        <v>17.1</v>
      </c>
      <c r="F30" s="922" cm="1" t="str">
        <f t="array" ref="F30:F30">OFFSET(G30,-1,-1)</f>
        <v>0</v>
      </c>
      <c r="T30" s="808" cm="1" t="str">
        <f t="array" ref="T30:T30">T29</f>
        <v>false</v>
      </c>
      <c r="AB30" s="157" t="str">
        <f>AB29&amp;".1"</f>
        <v>1.1</v>
      </c>
      <c r="AC30" s="164" t="s">
        <v>601</v>
      </c>
      <c r="AD30" s="169" t="s">
        <v>599</v>
      </c>
      <c r="AE30" s="367">
        <f>AE31+AE32</f>
        <v>0</v>
      </c>
      <c r="AF30" s="367">
        <f>AF31+AF32</f>
        <v>0</v>
      </c>
      <c r="AG30" s="367">
        <f>AG31+AG32</f>
        <v>0</v>
      </c>
      <c r="AH30" s="367">
        <f>AH31+AH32</f>
        <v>0</v>
      </c>
      <c r="AI30" s="367">
        <f>AI31+AI32</f>
        <v>0</v>
      </c>
      <c r="AJ30" s="367">
        <f>AJ31+AJ32</f>
        <v>0</v>
      </c>
      <c r="AK30" s="367">
        <f>AK31+AK32</f>
        <v>0</v>
      </c>
      <c r="AL30" s="367">
        <f>AL31+AL32</f>
        <v>0</v>
      </c>
      <c r="AM30" s="367">
        <f>AM31+AM32</f>
        <v>0</v>
      </c>
      <c r="AN30" s="367">
        <f>AN31+AN32</f>
        <v>0</v>
      </c>
      <c r="AO30" s="367">
        <f>AO31+AO32</f>
        <v>0</v>
      </c>
      <c r="AP30" s="367">
        <f>AP31+AP32</f>
        <v>0</v>
      </c>
      <c r="AQ30" s="367">
        <f>AQ31+AQ32</f>
        <v>0</v>
      </c>
      <c r="AR30" s="367">
        <f>AR31+AR32</f>
        <v>0</v>
      </c>
      <c r="AS30" s="367">
        <f>AS31+AS32</f>
        <v>0</v>
      </c>
      <c r="AT30" s="367">
        <f>AT31+AT32</f>
        <v>0</v>
      </c>
      <c r="AU30" s="367">
        <f>AU31+AU32</f>
        <v>0</v>
      </c>
      <c r="AV30" s="367">
        <f>AV31+AV32</f>
        <v>0</v>
      </c>
      <c r="AW30" s="367">
        <f>AW31+AW32</f>
        <v>0</v>
      </c>
      <c r="AX30" s="367">
        <f>AX31+AX32</f>
        <v>0</v>
      </c>
      <c r="AY30" s="367">
        <f>AY31+AY32</f>
        <v>0</v>
      </c>
      <c r="AZ30" s="367">
        <f>AZ31+AZ32</f>
        <v>0</v>
      </c>
      <c r="BA30" s="367">
        <f>BA31+BA32</f>
        <v>0</v>
      </c>
      <c r="BB30" s="367">
        <f>BB31+BB32</f>
        <v>0</v>
      </c>
      <c r="BC30" s="73"/>
      <c r="BF30" s="1198" t="s">
        <v>602</v>
      </c>
    </row>
    <row customHeight="1" ht="16.672500000000003" hidden="1">
      <c r="E31" s="797">
        <v>17.1</v>
      </c>
      <c r="F31" s="922" cm="1" t="str">
        <f t="array" ref="F31:F31">OFFSET(G31,-1,-1)</f>
        <v>0</v>
      </c>
      <c r="T31" s="808" cm="1" t="str">
        <f t="array" ref="T31:T31">T30</f>
        <v>false</v>
      </c>
      <c r="AB31" s="157" t="str">
        <f>AB30&amp;".1"</f>
        <v>1.1.1</v>
      </c>
      <c r="AC31" s="562" t="s">
        <v>603</v>
      </c>
      <c r="AD31" s="169" t="s">
        <v>599</v>
      </c>
      <c r="AE31" s="74"/>
      <c r="AF31" s="74"/>
      <c r="AG31" s="74"/>
      <c r="AH31" s="74"/>
      <c r="AI31" s="1713"/>
      <c r="AJ31" s="74"/>
      <c r="AK31" s="74"/>
      <c r="AL31" s="74"/>
      <c r="AM31" s="74"/>
      <c r="AN31" s="74"/>
      <c r="AO31" s="74"/>
      <c r="AP31" s="74"/>
      <c r="AQ31" s="74"/>
      <c r="AR31" s="74"/>
      <c r="AS31" s="1713"/>
      <c r="AT31" s="74"/>
      <c r="AU31" s="74"/>
      <c r="AV31" s="74"/>
      <c r="AW31" s="74"/>
      <c r="AX31" s="74"/>
      <c r="AY31" s="74"/>
      <c r="AZ31" s="74"/>
      <c r="BA31" s="74"/>
      <c r="BB31" s="74"/>
      <c r="BC31" s="73"/>
      <c r="BF31" s="1198" t="s">
        <v>604</v>
      </c>
    </row>
    <row customHeight="1" ht="16.672500000000003" hidden="1">
      <c r="E32" s="797">
        <v>17.1</v>
      </c>
      <c r="F32" s="922" cm="1" t="str">
        <f t="array" ref="F32:F32">OFFSET(G32,-1,-1)</f>
        <v>0</v>
      </c>
      <c r="T32" s="808" cm="1" t="str">
        <f t="array" ref="T32:T32">T31</f>
        <v>false</v>
      </c>
      <c r="AB32" s="157" t="str">
        <f>AB30&amp;".2"</f>
        <v>1.1.2</v>
      </c>
      <c r="AC32" s="562" t="s">
        <v>605</v>
      </c>
      <c r="AD32" s="169" t="s">
        <v>599</v>
      </c>
      <c r="AE32" s="74"/>
      <c r="AF32" s="74"/>
      <c r="AG32" s="74"/>
      <c r="AH32" s="74"/>
      <c r="AI32" s="1713"/>
      <c r="AJ32" s="74"/>
      <c r="AK32" s="74"/>
      <c r="AL32" s="74"/>
      <c r="AM32" s="74"/>
      <c r="AN32" s="74"/>
      <c r="AO32" s="74"/>
      <c r="AP32" s="74"/>
      <c r="AQ32" s="74"/>
      <c r="AR32" s="74"/>
      <c r="AS32" s="1713"/>
      <c r="AT32" s="74"/>
      <c r="AU32" s="74"/>
      <c r="AV32" s="74"/>
      <c r="AW32" s="74"/>
      <c r="AX32" s="74"/>
      <c r="AY32" s="74"/>
      <c r="AZ32" s="74"/>
      <c r="BA32" s="74"/>
      <c r="BB32" s="74"/>
      <c r="BC32" s="73"/>
      <c r="BF32" s="1198" t="s">
        <v>606</v>
      </c>
    </row>
    <row customHeight="1" ht="16.672500000000003" hidden="1">
      <c r="E33" s="797">
        <v>17.1</v>
      </c>
      <c r="F33" s="922" cm="1" t="str">
        <f t="array" ref="F33:F33">OFFSET(G33,-1,-1)</f>
        <v>0</v>
      </c>
      <c r="T33" s="808" cm="1" t="str">
        <f t="array" ref="T33:T33">T32</f>
        <v>false</v>
      </c>
      <c r="AB33" s="157" t="str">
        <f>AB29&amp;".2"</f>
        <v>1.2</v>
      </c>
      <c r="AC33" s="164" t="s">
        <v>607</v>
      </c>
      <c r="AD33" s="169" t="s">
        <v>599</v>
      </c>
      <c r="AE33" s="367">
        <f>AE34+AE35</f>
        <v>0</v>
      </c>
      <c r="AF33" s="367">
        <f>AF34+AF35</f>
        <v>0</v>
      </c>
      <c r="AG33" s="367">
        <f>AG34+AG35</f>
        <v>0</v>
      </c>
      <c r="AH33" s="367">
        <f>AH34+AH35</f>
        <v>0</v>
      </c>
      <c r="AI33" s="367">
        <f>AI34+AI35</f>
        <v>0</v>
      </c>
      <c r="AJ33" s="367">
        <f>AJ34+AJ35</f>
        <v>0</v>
      </c>
      <c r="AK33" s="367">
        <f>AK34+AK35</f>
        <v>0</v>
      </c>
      <c r="AL33" s="367">
        <f>AL34+AL35</f>
        <v>0</v>
      </c>
      <c r="AM33" s="367">
        <f>AM34+AM35</f>
        <v>0</v>
      </c>
      <c r="AN33" s="367">
        <f>AN34+AN35</f>
        <v>0</v>
      </c>
      <c r="AO33" s="367">
        <f>AO34+AO35</f>
        <v>0</v>
      </c>
      <c r="AP33" s="367">
        <f>AP34+AP35</f>
        <v>0</v>
      </c>
      <c r="AQ33" s="367">
        <f>AQ34+AQ35</f>
        <v>0</v>
      </c>
      <c r="AR33" s="367">
        <f>AR34+AR35</f>
        <v>0</v>
      </c>
      <c r="AS33" s="367">
        <f>AS34+AS35</f>
        <v>0</v>
      </c>
      <c r="AT33" s="367">
        <f>AT34+AT35</f>
        <v>0</v>
      </c>
      <c r="AU33" s="367">
        <f>AU34+AU35</f>
        <v>0</v>
      </c>
      <c r="AV33" s="367">
        <f>AV34+AV35</f>
        <v>0</v>
      </c>
      <c r="AW33" s="367">
        <f>AW34+AW35</f>
        <v>0</v>
      </c>
      <c r="AX33" s="367">
        <f>AX34+AX35</f>
        <v>0</v>
      </c>
      <c r="AY33" s="367">
        <f>AY34+AY35</f>
        <v>0</v>
      </c>
      <c r="AZ33" s="367">
        <f>AZ34+AZ35</f>
        <v>0</v>
      </c>
      <c r="BA33" s="367">
        <f>BA34+BA35</f>
        <v>0</v>
      </c>
      <c r="BB33" s="367">
        <f>BB34+BB35</f>
        <v>0</v>
      </c>
      <c r="BC33" s="73"/>
      <c r="BF33" s="1198" t="s">
        <v>608</v>
      </c>
    </row>
    <row customHeight="1" ht="16.672500000000003" hidden="1">
      <c r="E34" s="797">
        <v>17.1</v>
      </c>
      <c r="F34" s="922" cm="1" t="str">
        <f t="array" ref="F34:F34">OFFSET(G34,-1,-1)</f>
        <v>0</v>
      </c>
      <c r="T34" s="808" cm="1" t="str">
        <f t="array" ref="T34:T34">T33</f>
        <v>false</v>
      </c>
      <c r="AB34" s="157" t="str">
        <f>AB33&amp;".1"</f>
        <v>1.2.1</v>
      </c>
      <c r="AC34" s="562" t="s">
        <v>603</v>
      </c>
      <c r="AD34" s="169" t="s">
        <v>599</v>
      </c>
      <c r="AE34" s="74"/>
      <c r="AF34" s="74"/>
      <c r="AG34" s="74"/>
      <c r="AH34" s="74"/>
      <c r="AI34" s="1713"/>
      <c r="AJ34" s="74"/>
      <c r="AK34" s="74"/>
      <c r="AL34" s="74"/>
      <c r="AM34" s="74"/>
      <c r="AN34" s="74"/>
      <c r="AO34" s="74"/>
      <c r="AP34" s="74"/>
      <c r="AQ34" s="74"/>
      <c r="AR34" s="74"/>
      <c r="AS34" s="1713"/>
      <c r="AT34" s="74"/>
      <c r="AU34" s="74"/>
      <c r="AV34" s="74"/>
      <c r="AW34" s="74"/>
      <c r="AX34" s="74"/>
      <c r="AY34" s="74"/>
      <c r="AZ34" s="74"/>
      <c r="BA34" s="74"/>
      <c r="BB34" s="74"/>
      <c r="BC34" s="73"/>
      <c r="BF34" s="1198" t="s">
        <v>609</v>
      </c>
    </row>
    <row customHeight="1" ht="16.672500000000003" hidden="1">
      <c r="E35" s="797">
        <v>17.1</v>
      </c>
      <c r="F35" s="922" cm="1" t="str">
        <f t="array" ref="F35:F35">OFFSET(G35,-1,-1)</f>
        <v>0</v>
      </c>
      <c r="T35" s="808" cm="1" t="str">
        <f t="array" ref="T35:T35">T34</f>
        <v>false</v>
      </c>
      <c r="AB35" s="157" t="str">
        <f>AB33&amp;".2"</f>
        <v>1.2.2</v>
      </c>
      <c r="AC35" s="562" t="s">
        <v>605</v>
      </c>
      <c r="AD35" s="169" t="s">
        <v>599</v>
      </c>
      <c r="AE35" s="74"/>
      <c r="AF35" s="74"/>
      <c r="AG35" s="74"/>
      <c r="AH35" s="74"/>
      <c r="AI35" s="1713"/>
      <c r="AJ35" s="74"/>
      <c r="AK35" s="74"/>
      <c r="AL35" s="74"/>
      <c r="AM35" s="74"/>
      <c r="AN35" s="74"/>
      <c r="AO35" s="74"/>
      <c r="AP35" s="74"/>
      <c r="AQ35" s="74"/>
      <c r="AR35" s="74"/>
      <c r="AS35" s="1713"/>
      <c r="AT35" s="74"/>
      <c r="AU35" s="74"/>
      <c r="AV35" s="74"/>
      <c r="AW35" s="74"/>
      <c r="AX35" s="74"/>
      <c r="AY35" s="74"/>
      <c r="AZ35" s="74"/>
      <c r="BA35" s="74"/>
      <c r="BB35" s="74"/>
      <c r="BC35" s="73"/>
      <c r="BF35" s="1198" t="s">
        <v>610</v>
      </c>
    </row>
    <row customHeight="1" ht="16.672500000000003" hidden="1">
      <c r="E36" s="797">
        <v>17.1</v>
      </c>
      <c r="F36" s="922" cm="1" t="str">
        <f t="array" ref="F36:F36">OFFSET(G36,-1,-1)</f>
        <v>0</v>
      </c>
      <c r="T36" s="808" cm="1" t="str">
        <f t="array" ref="T36:T36">T35</f>
        <v>false</v>
      </c>
      <c r="AB36" s="157" t="str">
        <f>AB29&amp;".3"</f>
        <v>1.3</v>
      </c>
      <c r="AC36" s="164" t="s">
        <v>611</v>
      </c>
      <c r="AD36" s="169" t="s">
        <v>599</v>
      </c>
      <c r="AE36" s="74"/>
      <c r="AF36" s="74"/>
      <c r="AG36" s="74"/>
      <c r="AH36" s="74"/>
      <c r="AI36" s="1713"/>
      <c r="AJ36" s="74"/>
      <c r="AK36" s="74"/>
      <c r="AL36" s="74"/>
      <c r="AM36" s="74"/>
      <c r="AN36" s="74"/>
      <c r="AO36" s="74"/>
      <c r="AP36" s="74"/>
      <c r="AQ36" s="74"/>
      <c r="AR36" s="74"/>
      <c r="AS36" s="1713"/>
      <c r="AT36" s="74"/>
      <c r="AU36" s="74"/>
      <c r="AV36" s="74"/>
      <c r="AW36" s="74"/>
      <c r="AX36" s="74"/>
      <c r="AY36" s="74"/>
      <c r="AZ36" s="74"/>
      <c r="BA36" s="74"/>
      <c r="BB36" s="74"/>
      <c r="BC36" s="73"/>
      <c r="BF36" s="1198" t="s">
        <v>612</v>
      </c>
    </row>
    <row customHeight="1" ht="16.672500000000003" hidden="1">
      <c r="E37" s="797">
        <v>17.1</v>
      </c>
      <c r="F37" s="922" cm="1" t="str">
        <f t="array" ref="F37:F37">OFFSET(G37,-1,-1)</f>
        <v>0</v>
      </c>
      <c r="T37" s="808" cm="1" t="str">
        <f t="array" ref="T37:T37">T36</f>
        <v>false</v>
      </c>
      <c r="AB37" s="173" t="s">
        <v>426</v>
      </c>
      <c r="AC37" s="848" t="s">
        <v>613</v>
      </c>
      <c r="AD37" s="169" t="s">
        <v>599</v>
      </c>
      <c r="AE37" s="367">
        <f>AE38+AE41+AE44</f>
        <v>0</v>
      </c>
      <c r="AF37" s="367">
        <f>AF38+AF41+AF44</f>
        <v>0</v>
      </c>
      <c r="AG37" s="367">
        <f>AG38+AG41+AG44</f>
        <v>0</v>
      </c>
      <c r="AH37" s="367">
        <f>AH38+AH41+AH44</f>
        <v>0</v>
      </c>
      <c r="AI37" s="367">
        <f>AI38+AI41+AI44</f>
        <v>0</v>
      </c>
      <c r="AJ37" s="367">
        <f>AJ38+AJ41+AJ44</f>
        <v>0</v>
      </c>
      <c r="AK37" s="367">
        <f>AK38+AK41+AK44</f>
        <v>0</v>
      </c>
      <c r="AL37" s="367">
        <f>AL38+AL41+AL44</f>
        <v>0</v>
      </c>
      <c r="AM37" s="367">
        <f>AM38+AM41+AM44</f>
        <v>0</v>
      </c>
      <c r="AN37" s="367">
        <f>AN38+AN41+AN44</f>
        <v>0</v>
      </c>
      <c r="AO37" s="367">
        <f>AO38+AO41+AO44</f>
        <v>0</v>
      </c>
      <c r="AP37" s="367">
        <f>AP38+AP41+AP44</f>
        <v>0</v>
      </c>
      <c r="AQ37" s="367">
        <f>AQ38+AQ41+AQ44</f>
        <v>0</v>
      </c>
      <c r="AR37" s="367">
        <f>AR38+AR41+AR44</f>
        <v>0</v>
      </c>
      <c r="AS37" s="367">
        <f>AS38+AS41+AS44</f>
        <v>0</v>
      </c>
      <c r="AT37" s="367">
        <f>AT38+AT41+AT44</f>
        <v>0</v>
      </c>
      <c r="AU37" s="367">
        <f>AU38+AU41+AU44</f>
        <v>0</v>
      </c>
      <c r="AV37" s="367">
        <f>AV38+AV41+AV44</f>
        <v>0</v>
      </c>
      <c r="AW37" s="367">
        <f>AW38+AW41+AW44</f>
        <v>0</v>
      </c>
      <c r="AX37" s="367">
        <f>AX38+AX41+AX44</f>
        <v>0</v>
      </c>
      <c r="AY37" s="367">
        <f>AY38+AY41+AY44</f>
        <v>0</v>
      </c>
      <c r="AZ37" s="367">
        <f>AZ38+AZ41+AZ44</f>
        <v>0</v>
      </c>
      <c r="BA37" s="367">
        <f>BA38+BA41+BA44</f>
        <v>0</v>
      </c>
      <c r="BB37" s="367">
        <f>BB38+BB41+BB44</f>
        <v>0</v>
      </c>
      <c r="BC37" s="73"/>
      <c r="BF37" s="1198" t="s">
        <v>614</v>
      </c>
    </row>
    <row customHeight="1" ht="16.672500000000003" hidden="1">
      <c r="E38" s="797">
        <v>17.1</v>
      </c>
      <c r="F38" s="922" cm="1" t="str">
        <f t="array" ref="F38:F38">OFFSET(G38,-1,-1)</f>
        <v>0</v>
      </c>
      <c r="T38" s="808" cm="1" t="str">
        <f t="array" ref="T38:T38">T37</f>
        <v>false</v>
      </c>
      <c r="AB38" s="157" t="str">
        <f>AB37&amp;".1"</f>
        <v>2.1</v>
      </c>
      <c r="AC38" s="164" t="s">
        <v>601</v>
      </c>
      <c r="AD38" s="169" t="s">
        <v>599</v>
      </c>
      <c r="AE38" s="367">
        <f>AE39+AE40</f>
        <v>0</v>
      </c>
      <c r="AF38" s="367">
        <f>AF39+AF40</f>
        <v>0</v>
      </c>
      <c r="AG38" s="367">
        <f>AG39+AG40</f>
        <v>0</v>
      </c>
      <c r="AH38" s="367">
        <f>AH39+AH40</f>
        <v>0</v>
      </c>
      <c r="AI38" s="367">
        <f>AI39+AI40</f>
        <v>0</v>
      </c>
      <c r="AJ38" s="367">
        <f>AJ39+AJ40</f>
        <v>0</v>
      </c>
      <c r="AK38" s="367">
        <f>AK39+AK40</f>
        <v>0</v>
      </c>
      <c r="AL38" s="367">
        <f>AL39+AL40</f>
        <v>0</v>
      </c>
      <c r="AM38" s="367">
        <f>AM39+AM40</f>
        <v>0</v>
      </c>
      <c r="AN38" s="367">
        <f>AN39+AN40</f>
        <v>0</v>
      </c>
      <c r="AO38" s="367">
        <f>AO39+AO40</f>
        <v>0</v>
      </c>
      <c r="AP38" s="367">
        <f>AP39+AP40</f>
        <v>0</v>
      </c>
      <c r="AQ38" s="367">
        <f>AQ39+AQ40</f>
        <v>0</v>
      </c>
      <c r="AR38" s="367">
        <f>AR39+AR40</f>
        <v>0</v>
      </c>
      <c r="AS38" s="367">
        <f>AS39+AS40</f>
        <v>0</v>
      </c>
      <c r="AT38" s="367">
        <f>AT39+AT40</f>
        <v>0</v>
      </c>
      <c r="AU38" s="367">
        <f>AU39+AU40</f>
        <v>0</v>
      </c>
      <c r="AV38" s="367">
        <f>AV39+AV40</f>
        <v>0</v>
      </c>
      <c r="AW38" s="367">
        <f>AW39+AW40</f>
        <v>0</v>
      </c>
      <c r="AX38" s="367">
        <f>AX39+AX40</f>
        <v>0</v>
      </c>
      <c r="AY38" s="367">
        <f>AY39+AY40</f>
        <v>0</v>
      </c>
      <c r="AZ38" s="367">
        <f>AZ39+AZ40</f>
        <v>0</v>
      </c>
      <c r="BA38" s="367">
        <f>BA39+BA40</f>
        <v>0</v>
      </c>
      <c r="BB38" s="367">
        <f>BB39+BB40</f>
        <v>0</v>
      </c>
      <c r="BC38" s="73"/>
      <c r="BF38" s="1198" t="s">
        <v>615</v>
      </c>
    </row>
    <row customHeight="1" ht="16.672500000000003" hidden="1">
      <c r="E39" s="797">
        <v>17.1</v>
      </c>
      <c r="F39" s="922" cm="1" t="str">
        <f t="array" ref="F39:F39">OFFSET(G39,-1,-1)</f>
        <v>0</v>
      </c>
      <c r="T39" s="808" cm="1" t="str">
        <f t="array" ref="T39:T39">T38</f>
        <v>false</v>
      </c>
      <c r="AB39" s="157" t="str">
        <f>AB38&amp;".1"</f>
        <v>2.1.1</v>
      </c>
      <c r="AC39" s="562" t="s">
        <v>603</v>
      </c>
      <c r="AD39" s="169" t="s">
        <v>599</v>
      </c>
      <c r="AE39" s="74"/>
      <c r="AF39" s="74"/>
      <c r="AG39" s="74"/>
      <c r="AH39" s="74"/>
      <c r="AI39" s="1713"/>
      <c r="AJ39" s="74"/>
      <c r="AK39" s="74"/>
      <c r="AL39" s="74"/>
      <c r="AM39" s="74"/>
      <c r="AN39" s="74"/>
      <c r="AO39" s="74"/>
      <c r="AP39" s="74"/>
      <c r="AQ39" s="74"/>
      <c r="AR39" s="74"/>
      <c r="AS39" s="1713"/>
      <c r="AT39" s="74"/>
      <c r="AU39" s="74"/>
      <c r="AV39" s="74"/>
      <c r="AW39" s="74"/>
      <c r="AX39" s="74"/>
      <c r="AY39" s="74"/>
      <c r="AZ39" s="74"/>
      <c r="BA39" s="74"/>
      <c r="BB39" s="74"/>
      <c r="BC39" s="73"/>
      <c r="BF39" s="1198" t="s">
        <v>616</v>
      </c>
    </row>
    <row customHeight="1" ht="16.672500000000003" hidden="1">
      <c r="E40" s="797">
        <v>17.1</v>
      </c>
      <c r="F40" s="922" cm="1" t="str">
        <f t="array" ref="F40:F40">OFFSET(G40,-1,-1)</f>
        <v>0</v>
      </c>
      <c r="T40" s="808" cm="1" t="str">
        <f t="array" ref="T40:T40">T39</f>
        <v>false</v>
      </c>
      <c r="AB40" s="157" t="str">
        <f>AB38&amp;".2"</f>
        <v>2.1.2</v>
      </c>
      <c r="AC40" s="562" t="s">
        <v>605</v>
      </c>
      <c r="AD40" s="169" t="s">
        <v>599</v>
      </c>
      <c r="AE40" s="74"/>
      <c r="AF40" s="74"/>
      <c r="AG40" s="74"/>
      <c r="AH40" s="74"/>
      <c r="AI40" s="1713"/>
      <c r="AJ40" s="74"/>
      <c r="AK40" s="74"/>
      <c r="AL40" s="74"/>
      <c r="AM40" s="74"/>
      <c r="AN40" s="74"/>
      <c r="AO40" s="74"/>
      <c r="AP40" s="74"/>
      <c r="AQ40" s="74"/>
      <c r="AR40" s="74"/>
      <c r="AS40" s="1713"/>
      <c r="AT40" s="74"/>
      <c r="AU40" s="74"/>
      <c r="AV40" s="74"/>
      <c r="AW40" s="74"/>
      <c r="AX40" s="74"/>
      <c r="AY40" s="74"/>
      <c r="AZ40" s="74"/>
      <c r="BA40" s="74"/>
      <c r="BB40" s="74"/>
      <c r="BC40" s="73"/>
      <c r="BF40" s="1198" t="s">
        <v>617</v>
      </c>
    </row>
    <row customHeight="1" ht="16.672500000000003" hidden="1">
      <c r="E41" s="797">
        <v>17.1</v>
      </c>
      <c r="F41" s="922" cm="1" t="str">
        <f t="array" ref="F41:F41">OFFSET(G41,-1,-1)</f>
        <v>0</v>
      </c>
      <c r="T41" s="808" cm="1" t="str">
        <f t="array" ref="T41:T41">T40</f>
        <v>false</v>
      </c>
      <c r="AB41" s="157" t="str">
        <f>AB38&amp;".2"</f>
        <v>2.1.2</v>
      </c>
      <c r="AC41" s="164" t="s">
        <v>607</v>
      </c>
      <c r="AD41" s="169" t="s">
        <v>599</v>
      </c>
      <c r="AE41" s="367">
        <f>AE42+AE43</f>
        <v>0</v>
      </c>
      <c r="AF41" s="367">
        <f>AF42+AF43</f>
        <v>0</v>
      </c>
      <c r="AG41" s="367">
        <f>AG42+AG43</f>
        <v>0</v>
      </c>
      <c r="AH41" s="367">
        <f>AH42+AH43</f>
        <v>0</v>
      </c>
      <c r="AI41" s="367">
        <f>AI42+AI43</f>
        <v>0</v>
      </c>
      <c r="AJ41" s="367">
        <f>AJ42+AJ43</f>
        <v>0</v>
      </c>
      <c r="AK41" s="367">
        <f>AK42+AK43</f>
        <v>0</v>
      </c>
      <c r="AL41" s="367">
        <f>AL42+AL43</f>
        <v>0</v>
      </c>
      <c r="AM41" s="367">
        <f>AM42+AM43</f>
        <v>0</v>
      </c>
      <c r="AN41" s="367">
        <f>AN42+AN43</f>
        <v>0</v>
      </c>
      <c r="AO41" s="367">
        <f>AO42+AO43</f>
        <v>0</v>
      </c>
      <c r="AP41" s="367">
        <f>AP42+AP43</f>
        <v>0</v>
      </c>
      <c r="AQ41" s="367">
        <f>AQ42+AQ43</f>
        <v>0</v>
      </c>
      <c r="AR41" s="367">
        <f>AR42+AR43</f>
        <v>0</v>
      </c>
      <c r="AS41" s="367">
        <f>AS42+AS43</f>
        <v>0</v>
      </c>
      <c r="AT41" s="367">
        <f>AT42+AT43</f>
        <v>0</v>
      </c>
      <c r="AU41" s="367">
        <f>AU42+AU43</f>
        <v>0</v>
      </c>
      <c r="AV41" s="367">
        <f>AV42+AV43</f>
        <v>0</v>
      </c>
      <c r="AW41" s="367">
        <f>AW42+AW43</f>
        <v>0</v>
      </c>
      <c r="AX41" s="367">
        <f>AX42+AX43</f>
        <v>0</v>
      </c>
      <c r="AY41" s="367">
        <f>AY42+AY43</f>
        <v>0</v>
      </c>
      <c r="AZ41" s="367">
        <f>AZ42+AZ43</f>
        <v>0</v>
      </c>
      <c r="BA41" s="367">
        <f>BA42+BA43</f>
        <v>0</v>
      </c>
      <c r="BB41" s="367">
        <f>BB42+BB43</f>
        <v>0</v>
      </c>
      <c r="BC41" s="73"/>
      <c r="BF41" s="1198" t="s">
        <v>618</v>
      </c>
    </row>
    <row customHeight="1" ht="16.672500000000003" hidden="1">
      <c r="E42" s="797">
        <v>17.1</v>
      </c>
      <c r="F42" s="922" cm="1" t="str">
        <f t="array" ref="F42:F42">OFFSET(G42,-1,-1)</f>
        <v>0</v>
      </c>
      <c r="T42" s="808" cm="1" t="str">
        <f t="array" ref="T42:T42">T41</f>
        <v>false</v>
      </c>
      <c r="AB42" s="157" t="str">
        <f>AB41&amp;".1"</f>
        <v>2.1.2.1</v>
      </c>
      <c r="AC42" s="562" t="s">
        <v>603</v>
      </c>
      <c r="AD42" s="169" t="s">
        <v>599</v>
      </c>
      <c r="AE42" s="74"/>
      <c r="AF42" s="74"/>
      <c r="AG42" s="74"/>
      <c r="AH42" s="74"/>
      <c r="AI42" s="1713"/>
      <c r="AJ42" s="74"/>
      <c r="AK42" s="74"/>
      <c r="AL42" s="74"/>
      <c r="AM42" s="74"/>
      <c r="AN42" s="74"/>
      <c r="AO42" s="74"/>
      <c r="AP42" s="74"/>
      <c r="AQ42" s="74"/>
      <c r="AR42" s="74"/>
      <c r="AS42" s="1713"/>
      <c r="AT42" s="74"/>
      <c r="AU42" s="74"/>
      <c r="AV42" s="74"/>
      <c r="AW42" s="74"/>
      <c r="AX42" s="74"/>
      <c r="AY42" s="74"/>
      <c r="AZ42" s="74"/>
      <c r="BA42" s="74"/>
      <c r="BB42" s="74"/>
      <c r="BC42" s="73"/>
      <c r="BF42" s="1198" t="s">
        <v>619</v>
      </c>
    </row>
    <row customHeight="1" ht="16.672500000000003" hidden="1">
      <c r="E43" s="797">
        <v>17.1</v>
      </c>
      <c r="F43" s="922" cm="1" t="str">
        <f t="array" ref="F43:F43">OFFSET(G43,-1,-1)</f>
        <v>0</v>
      </c>
      <c r="T43" s="808" cm="1" t="str">
        <f t="array" ref="T43:T43">T42</f>
        <v>false</v>
      </c>
      <c r="AB43" s="157" t="str">
        <f>AB41&amp;".2"</f>
        <v>2.1.2.2</v>
      </c>
      <c r="AC43" s="562" t="s">
        <v>605</v>
      </c>
      <c r="AD43" s="851" t="s">
        <v>599</v>
      </c>
      <c r="AE43" s="75"/>
      <c r="AF43" s="74"/>
      <c r="AG43" s="75"/>
      <c r="AH43" s="74"/>
      <c r="AI43" s="1714"/>
      <c r="AJ43" s="74"/>
      <c r="AK43" s="75"/>
      <c r="AL43" s="74"/>
      <c r="AM43" s="75"/>
      <c r="AN43" s="74"/>
      <c r="AO43" s="75"/>
      <c r="AP43" s="74"/>
      <c r="AQ43" s="75"/>
      <c r="AR43" s="74"/>
      <c r="AS43" s="1714"/>
      <c r="AT43" s="74"/>
      <c r="AU43" s="75"/>
      <c r="AV43" s="74"/>
      <c r="AW43" s="75"/>
      <c r="AX43" s="74"/>
      <c r="AY43" s="75"/>
      <c r="AZ43" s="74"/>
      <c r="BA43" s="75"/>
      <c r="BB43" s="74"/>
      <c r="BC43" s="73"/>
      <c r="BF43" s="1198" t="s">
        <v>620</v>
      </c>
    </row>
    <row customHeight="1" ht="16.672500000000003" hidden="1">
      <c r="E44" s="797">
        <v>17.1</v>
      </c>
      <c r="F44" s="922" cm="1" t="str">
        <f t="array" ref="F44:F44">OFFSET(G44,-1,-1)</f>
        <v>0</v>
      </c>
      <c r="T44" s="808" cm="1" t="str">
        <f t="array" ref="T44:T44">T43</f>
        <v>false</v>
      </c>
      <c r="AB44" s="157" t="str">
        <f>AB37&amp;".3"</f>
        <v>2.3</v>
      </c>
      <c r="AC44" s="724" t="s">
        <v>611</v>
      </c>
      <c r="AD44" s="169" t="s">
        <v>599</v>
      </c>
      <c r="AE44" s="74"/>
      <c r="AF44" s="76"/>
      <c r="AG44" s="74"/>
      <c r="AH44" s="76"/>
      <c r="AI44" s="1713"/>
      <c r="AJ44" s="76"/>
      <c r="AK44" s="74"/>
      <c r="AL44" s="76"/>
      <c r="AM44" s="74"/>
      <c r="AN44" s="76"/>
      <c r="AO44" s="74"/>
      <c r="AP44" s="76"/>
      <c r="AQ44" s="74"/>
      <c r="AR44" s="76"/>
      <c r="AS44" s="1713"/>
      <c r="AT44" s="76"/>
      <c r="AU44" s="74"/>
      <c r="AV44" s="76"/>
      <c r="AW44" s="74"/>
      <c r="AX44" s="76"/>
      <c r="AY44" s="74"/>
      <c r="AZ44" s="76"/>
      <c r="BA44" s="74"/>
      <c r="BB44" s="76"/>
      <c r="BC44" s="73"/>
      <c r="BF44" s="1198" t="s">
        <v>621</v>
      </c>
    </row>
    <row customHeight="1" ht="29.25" hidden="1">
      <c r="E45" s="797">
        <v>30</v>
      </c>
      <c r="F45" s="922" cm="1" t="str">
        <f t="array" ref="F45:F45">OFFSET(G45,-1,-1)</f>
        <v>0</v>
      </c>
      <c r="T45" s="808" cm="1" t="str">
        <f t="array" ref="T45:T45">T44</f>
        <v>false</v>
      </c>
      <c r="AB45" s="325" t="s">
        <v>429</v>
      </c>
      <c r="AC45" s="163" t="s">
        <v>622</v>
      </c>
      <c r="AD45" s="169" t="s">
        <v>599</v>
      </c>
      <c r="AE45" s="367">
        <f>AE46+AE49+AE52</f>
        <v>0</v>
      </c>
      <c r="AF45" s="855">
        <f>AF46+AF49+AF52</f>
        <v>0</v>
      </c>
      <c r="AG45" s="367">
        <f>AG46+AG49+AG52</f>
        <v>0</v>
      </c>
      <c r="AH45" s="367">
        <f>AH46+AH49+AH52</f>
        <v>0</v>
      </c>
      <c r="AI45" s="367">
        <f>AI46+AI49+AI52</f>
        <v>0</v>
      </c>
      <c r="AJ45" s="367">
        <f>AJ46+AJ49+AJ52</f>
        <v>0</v>
      </c>
      <c r="AK45" s="367">
        <f>AK46+AK49+AK52</f>
        <v>0</v>
      </c>
      <c r="AL45" s="367">
        <f>AL46+AL49+AL52</f>
        <v>0</v>
      </c>
      <c r="AM45" s="367">
        <f>AM46+AM49+AM52</f>
        <v>0</v>
      </c>
      <c r="AN45" s="367">
        <f>AN46+AN49+AN52</f>
        <v>0</v>
      </c>
      <c r="AO45" s="367">
        <f>AO46+AO49+AO52</f>
        <v>0</v>
      </c>
      <c r="AP45" s="367">
        <f>AP46+AP49+AP52</f>
        <v>0</v>
      </c>
      <c r="AQ45" s="367">
        <f>AQ46+AQ49+AQ52</f>
        <v>0</v>
      </c>
      <c r="AR45" s="367">
        <f>AR46+AR49+AR52</f>
        <v>0</v>
      </c>
      <c r="AS45" s="367">
        <f>AS46+AS49+AS52</f>
        <v>0</v>
      </c>
      <c r="AT45" s="367">
        <f>AT46+AT49+AT52</f>
        <v>0</v>
      </c>
      <c r="AU45" s="367">
        <f>AU46+AU49+AU52</f>
        <v>0</v>
      </c>
      <c r="AV45" s="367">
        <f>AV46+AV49+AV52</f>
        <v>0</v>
      </c>
      <c r="AW45" s="367">
        <f>AW46+AW49+AW52</f>
        <v>0</v>
      </c>
      <c r="AX45" s="367">
        <f>AX46+AX49+AX52</f>
        <v>0</v>
      </c>
      <c r="AY45" s="367">
        <f>AY46+AY49+AY52</f>
        <v>0</v>
      </c>
      <c r="AZ45" s="367">
        <f>AZ46+AZ49+AZ52</f>
        <v>0</v>
      </c>
      <c r="BA45" s="367">
        <f>BA46+BA49+BA52</f>
        <v>0</v>
      </c>
      <c r="BB45" s="367">
        <f>BB46+BB49+BB52</f>
        <v>0</v>
      </c>
      <c r="BC45" s="73"/>
      <c r="BF45" s="1198" t="s">
        <v>623</v>
      </c>
    </row>
    <row customHeight="1" ht="16.672500000000003" hidden="1">
      <c r="E46" s="797">
        <v>17.1</v>
      </c>
      <c r="F46" s="922" cm="1" t="str">
        <f t="array" ref="F46:F46">OFFSET(G46,-1,-1)</f>
        <v>0</v>
      </c>
      <c r="T46" s="808" cm="1" t="str">
        <f t="array" ref="T46:T46">T45</f>
        <v>false</v>
      </c>
      <c r="AB46" s="847" t="str">
        <f>AB45&amp;".1"</f>
        <v>3.1</v>
      </c>
      <c r="AC46" s="724" t="s">
        <v>601</v>
      </c>
      <c r="AD46" s="169" t="s">
        <v>599</v>
      </c>
      <c r="AE46" s="367">
        <f>AE47+AE48</f>
        <v>0</v>
      </c>
      <c r="AF46" s="557">
        <f>AF47+AF48</f>
        <v>0</v>
      </c>
      <c r="AG46" s="557">
        <f>AG47+AG48</f>
        <v>0</v>
      </c>
      <c r="AH46" s="557">
        <f>AH47+AH48</f>
        <v>0</v>
      </c>
      <c r="AI46" s="557">
        <f>AI47+AI48</f>
        <v>0</v>
      </c>
      <c r="AJ46" s="557">
        <f>AJ47+AJ48</f>
        <v>0</v>
      </c>
      <c r="AK46" s="557">
        <f>AK47+AK48</f>
        <v>0</v>
      </c>
      <c r="AL46" s="557">
        <f>AL47+AL48</f>
        <v>0</v>
      </c>
      <c r="AM46" s="557">
        <f>AM47+AM48</f>
        <v>0</v>
      </c>
      <c r="AN46" s="557">
        <f>AN47+AN48</f>
        <v>0</v>
      </c>
      <c r="AO46" s="557">
        <f>AO47+AO48</f>
        <v>0</v>
      </c>
      <c r="AP46" s="557">
        <f>AP47+AP48</f>
        <v>0</v>
      </c>
      <c r="AQ46" s="557">
        <f>AQ47+AQ48</f>
        <v>0</v>
      </c>
      <c r="AR46" s="557">
        <f>AR47+AR48</f>
        <v>0</v>
      </c>
      <c r="AS46" s="557">
        <f>AS47+AS48</f>
        <v>0</v>
      </c>
      <c r="AT46" s="557">
        <f>AT47+AT48</f>
        <v>0</v>
      </c>
      <c r="AU46" s="557">
        <f>AU47+AU48</f>
        <v>0</v>
      </c>
      <c r="AV46" s="557">
        <f>AV47+AV48</f>
        <v>0</v>
      </c>
      <c r="AW46" s="557">
        <f>AW47+AW48</f>
        <v>0</v>
      </c>
      <c r="AX46" s="557">
        <f>AX47+AX48</f>
        <v>0</v>
      </c>
      <c r="AY46" s="557">
        <f>AY47+AY48</f>
        <v>0</v>
      </c>
      <c r="AZ46" s="557">
        <f>AZ47+AZ48</f>
        <v>0</v>
      </c>
      <c r="BA46" s="557">
        <f>BA47+BA48</f>
        <v>0</v>
      </c>
      <c r="BB46" s="557">
        <f>BB47+BB48</f>
        <v>0</v>
      </c>
      <c r="BC46" s="73"/>
      <c r="BF46" s="1198" t="s">
        <v>624</v>
      </c>
    </row>
    <row customHeight="1" ht="16.672500000000003" hidden="1">
      <c r="E47" s="797">
        <v>17.1</v>
      </c>
      <c r="F47" s="922" cm="1" t="str">
        <f t="array" ref="F47:F47">OFFSET(G47,-1,-1)</f>
        <v>0</v>
      </c>
      <c r="T47" s="808" cm="1" t="str">
        <f t="array" ref="T47:T47">T46</f>
        <v>false</v>
      </c>
      <c r="AB47" s="847" t="str">
        <f>AB46&amp;".1"</f>
        <v>3.1.1</v>
      </c>
      <c r="AC47" s="722" t="s">
        <v>603</v>
      </c>
      <c r="AD47" s="169" t="s">
        <v>599</v>
      </c>
      <c r="AE47" s="74">
        <f>AE31-AE39</f>
        <v>0</v>
      </c>
      <c r="AF47" s="74">
        <f>AF31-AF39</f>
        <v>0</v>
      </c>
      <c r="AG47" s="74">
        <f>AG31-AG39</f>
        <v>0</v>
      </c>
      <c r="AH47" s="74">
        <f>AH31-AH39</f>
        <v>0</v>
      </c>
      <c r="AI47" s="1713">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1713">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8" t="s">
        <v>625</v>
      </c>
    </row>
    <row customHeight="1" ht="16.672500000000003" hidden="1">
      <c r="E48" s="797">
        <v>17.1</v>
      </c>
      <c r="F48" s="922" cm="1" t="str">
        <f t="array" ref="F48:F48">OFFSET(G48,-1,-1)</f>
        <v>0</v>
      </c>
      <c r="T48" s="808" cm="1" t="str">
        <f t="array" ref="T48:T48">T47</f>
        <v>false</v>
      </c>
      <c r="AB48" s="847" t="str">
        <f>AB46&amp;".2"</f>
        <v>3.1.2</v>
      </c>
      <c r="AC48" s="722" t="s">
        <v>605</v>
      </c>
      <c r="AD48" s="169" t="s">
        <v>599</v>
      </c>
      <c r="AE48" s="74">
        <f>AE32-AE40</f>
        <v>0</v>
      </c>
      <c r="AF48" s="74">
        <f>AF32-AF40</f>
        <v>0</v>
      </c>
      <c r="AG48" s="74">
        <f>AG32-AG40</f>
        <v>0</v>
      </c>
      <c r="AH48" s="74">
        <f>AH32-AH40</f>
        <v>0</v>
      </c>
      <c r="AI48" s="1713">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1713">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8" t="s">
        <v>626</v>
      </c>
    </row>
    <row customHeight="1" ht="16.672500000000003" hidden="1">
      <c r="E49" s="797">
        <v>17.1</v>
      </c>
      <c r="F49" s="922" cm="1" t="str">
        <f t="array" ref="F49:F49">OFFSET(G49,-1,-1)</f>
        <v>0</v>
      </c>
      <c r="T49" s="808" cm="1" t="str">
        <f t="array" ref="T49:T49">T48</f>
        <v>false</v>
      </c>
      <c r="AB49" s="847" t="str">
        <f>AB45&amp;".2"</f>
        <v>3.2</v>
      </c>
      <c r="AC49" s="724" t="s">
        <v>607</v>
      </c>
      <c r="AD49" s="169" t="s">
        <v>599</v>
      </c>
      <c r="AE49" s="367">
        <f>AE50+AE51</f>
        <v>0</v>
      </c>
      <c r="AF49" s="367">
        <f>AF50+AF51</f>
        <v>0</v>
      </c>
      <c r="AG49" s="367">
        <f>AG50+AG51</f>
        <v>0</v>
      </c>
      <c r="AH49" s="367">
        <f>AH50+AH51</f>
        <v>0</v>
      </c>
      <c r="AI49" s="367">
        <f>AI50+AI51</f>
        <v>0</v>
      </c>
      <c r="AJ49" s="367">
        <f>AJ50+AJ51</f>
        <v>0</v>
      </c>
      <c r="AK49" s="367">
        <f>AK50+AK51</f>
        <v>0</v>
      </c>
      <c r="AL49" s="367">
        <f>AL50+AL51</f>
        <v>0</v>
      </c>
      <c r="AM49" s="367">
        <f>AM50+AM51</f>
        <v>0</v>
      </c>
      <c r="AN49" s="367">
        <f>AN50+AN51</f>
        <v>0</v>
      </c>
      <c r="AO49" s="367">
        <f>AO50+AO51</f>
        <v>0</v>
      </c>
      <c r="AP49" s="367">
        <f>AP50+AP51</f>
        <v>0</v>
      </c>
      <c r="AQ49" s="367">
        <f>AQ50+AQ51</f>
        <v>0</v>
      </c>
      <c r="AR49" s="367">
        <f>AR50+AR51</f>
        <v>0</v>
      </c>
      <c r="AS49" s="367">
        <f>AS50+AS51</f>
        <v>0</v>
      </c>
      <c r="AT49" s="367">
        <f>AT50+AT51</f>
        <v>0</v>
      </c>
      <c r="AU49" s="367">
        <f>AU50+AU51</f>
        <v>0</v>
      </c>
      <c r="AV49" s="367">
        <f>AV50+AV51</f>
        <v>0</v>
      </c>
      <c r="AW49" s="367">
        <f>AW50+AW51</f>
        <v>0</v>
      </c>
      <c r="AX49" s="367">
        <f>AX50+AX51</f>
        <v>0</v>
      </c>
      <c r="AY49" s="367">
        <f>AY50+AY51</f>
        <v>0</v>
      </c>
      <c r="AZ49" s="367">
        <f>AZ50+AZ51</f>
        <v>0</v>
      </c>
      <c r="BA49" s="367">
        <f>BA50+BA51</f>
        <v>0</v>
      </c>
      <c r="BB49" s="367">
        <f>BB50+BB51</f>
        <v>0</v>
      </c>
      <c r="BC49" s="73"/>
      <c r="BF49" s="1198" t="s">
        <v>627</v>
      </c>
    </row>
    <row customHeight="1" ht="16.672500000000003" hidden="1">
      <c r="E50" s="797">
        <v>17.1</v>
      </c>
      <c r="F50" s="922" cm="1" t="str">
        <f t="array" ref="F50:F50">OFFSET(G50,-1,-1)</f>
        <v>0</v>
      </c>
      <c r="T50" s="808" cm="1" t="str">
        <f t="array" ref="T50:T50">T49</f>
        <v>false</v>
      </c>
      <c r="AB50" s="847" t="str">
        <f>AB49&amp;".1"</f>
        <v>3.2.1</v>
      </c>
      <c r="AC50" s="722" t="s">
        <v>603</v>
      </c>
      <c r="AD50" s="169" t="s">
        <v>599</v>
      </c>
      <c r="AE50" s="74">
        <f>AE34-AE42</f>
        <v>0</v>
      </c>
      <c r="AF50" s="74">
        <f>AF34-AF42</f>
        <v>0</v>
      </c>
      <c r="AG50" s="74">
        <f>AG34-AG42</f>
        <v>0</v>
      </c>
      <c r="AH50" s="74">
        <f>AH34-AH42</f>
        <v>0</v>
      </c>
      <c r="AI50" s="1713">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1713">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8" t="s">
        <v>628</v>
      </c>
    </row>
    <row customHeight="1" ht="16.672500000000003" hidden="1">
      <c r="E51" s="797">
        <v>17.1</v>
      </c>
      <c r="F51" s="922" cm="1" t="str">
        <f t="array" ref="F51:F51">OFFSET(G51,-1,-1)</f>
        <v>0</v>
      </c>
      <c r="T51" s="808" cm="1" t="str">
        <f t="array" ref="T51:T51">T50</f>
        <v>false</v>
      </c>
      <c r="AB51" s="847" t="str">
        <f>AB49&amp;".2"</f>
        <v>3.2.2</v>
      </c>
      <c r="AC51" s="562" t="s">
        <v>605</v>
      </c>
      <c r="AD51" s="853" t="s">
        <v>599</v>
      </c>
      <c r="AE51" s="74">
        <f>AE35-AE43</f>
        <v>0</v>
      </c>
      <c r="AF51" s="74">
        <f>AF35-AF43</f>
        <v>0</v>
      </c>
      <c r="AG51" s="74">
        <f>AG35-AG43</f>
        <v>0</v>
      </c>
      <c r="AH51" s="74">
        <f>AH35-AH43</f>
        <v>0</v>
      </c>
      <c r="AI51" s="1713">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1713">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8" t="s">
        <v>629</v>
      </c>
    </row>
    <row customHeight="1" ht="16.672500000000003" hidden="1">
      <c r="E52" s="797">
        <v>17.1</v>
      </c>
      <c r="F52" s="922" cm="1" t="str">
        <f t="array" ref="F52:F52">OFFSET(G52,-1,-1)</f>
        <v>0</v>
      </c>
      <c r="T52" s="808" cm="1" t="str">
        <f t="array" ref="T52:T52">T51</f>
        <v>false</v>
      </c>
      <c r="AB52" s="847" t="str">
        <f>AB45&amp;".3"</f>
        <v>3.3</v>
      </c>
      <c r="AC52" s="559" t="s">
        <v>611</v>
      </c>
      <c r="AD52" s="170" t="s">
        <v>599</v>
      </c>
      <c r="AE52" s="74"/>
      <c r="AF52" s="74"/>
      <c r="AG52" s="74"/>
      <c r="AH52" s="74"/>
      <c r="AI52" s="1713"/>
      <c r="AJ52" s="74"/>
      <c r="AK52" s="74"/>
      <c r="AL52" s="74"/>
      <c r="AM52" s="74"/>
      <c r="AN52" s="74"/>
      <c r="AO52" s="74"/>
      <c r="AP52" s="74"/>
      <c r="AQ52" s="74"/>
      <c r="AR52" s="74"/>
      <c r="AS52" s="1713"/>
      <c r="AT52" s="74"/>
      <c r="AU52" s="74"/>
      <c r="AV52" s="74"/>
      <c r="AW52" s="74"/>
      <c r="AX52" s="74"/>
      <c r="AY52" s="74"/>
      <c r="AZ52" s="74"/>
      <c r="BA52" s="74"/>
      <c r="BB52" s="74"/>
      <c r="BC52" s="73"/>
      <c r="BF52" s="1198" t="s">
        <v>630</v>
      </c>
    </row>
    <row customHeight="1" ht="16.672500000000003" hidden="1">
      <c r="E53" s="797">
        <v>17.1</v>
      </c>
      <c r="F53" s="922" cm="1" t="str">
        <f t="array" ref="F53:F53">OFFSET(G53,-1,-1)</f>
        <v>0</v>
      </c>
      <c r="T53" s="808" cm="1" t="str">
        <f t="array" ref="T53:T53">T52</f>
        <v>false</v>
      </c>
      <c r="AB53" s="568" t="s">
        <v>432</v>
      </c>
      <c r="AC53" s="569" t="s">
        <v>631</v>
      </c>
      <c r="AD53" s="170" t="s">
        <v>599</v>
      </c>
      <c r="AE53" s="526">
        <f>AE54+AE55</f>
        <v>0</v>
      </c>
      <c r="AF53" s="526">
        <f>AF54+AF55</f>
        <v>0</v>
      </c>
      <c r="AG53" s="526">
        <f>AG54+AG55</f>
        <v>0</v>
      </c>
      <c r="AH53" s="526">
        <f>AH54+AH55</f>
        <v>0</v>
      </c>
      <c r="AI53" s="526">
        <f>AI54+AI55</f>
        <v>0</v>
      </c>
      <c r="AJ53" s="526">
        <f>AJ54+AJ55</f>
        <v>0</v>
      </c>
      <c r="AK53" s="526">
        <f>AK54+AK55</f>
        <v>0</v>
      </c>
      <c r="AL53" s="526">
        <f>AL54+AL55</f>
        <v>0</v>
      </c>
      <c r="AM53" s="526">
        <f>AM54+AM55</f>
        <v>0</v>
      </c>
      <c r="AN53" s="526">
        <f>AN54+AN55</f>
        <v>0</v>
      </c>
      <c r="AO53" s="526">
        <f>AO54+AO55</f>
        <v>0</v>
      </c>
      <c r="AP53" s="526">
        <f>AP54+AP55</f>
        <v>0</v>
      </c>
      <c r="AQ53" s="526">
        <f>AQ54+AQ55</f>
        <v>0</v>
      </c>
      <c r="AR53" s="526">
        <f>AR54+AR55</f>
        <v>0</v>
      </c>
      <c r="AS53" s="526">
        <f>AS54+AS55</f>
        <v>0</v>
      </c>
      <c r="AT53" s="526">
        <f>AT54+AT55</f>
        <v>0</v>
      </c>
      <c r="AU53" s="526">
        <f>AU54+AU55</f>
        <v>0</v>
      </c>
      <c r="AV53" s="526">
        <f>AV54+AV55</f>
        <v>0</v>
      </c>
      <c r="AW53" s="526">
        <f>AW54+AW55</f>
        <v>0</v>
      </c>
      <c r="AX53" s="526">
        <f>AX54+AX55</f>
        <v>0</v>
      </c>
      <c r="AY53" s="526">
        <f>AY54+AY55</f>
        <v>0</v>
      </c>
      <c r="AZ53" s="526">
        <f>AZ54+AZ55</f>
        <v>0</v>
      </c>
      <c r="BA53" s="526">
        <f>BA54+BA55</f>
        <v>0</v>
      </c>
      <c r="BB53" s="526">
        <f>BB54+BB55</f>
        <v>0</v>
      </c>
      <c r="BC53" s="73"/>
      <c r="BF53" s="1198" t="s">
        <v>632</v>
      </c>
    </row>
    <row customHeight="1" ht="16.672500000000003" hidden="1">
      <c r="E54" s="797">
        <v>17.1</v>
      </c>
      <c r="F54" s="922" cm="1" t="str">
        <f t="array" ref="F54:F54">OFFSET(G54,-1,-1)</f>
        <v>0</v>
      </c>
      <c r="T54" s="808" cm="1" t="str">
        <f t="array" ref="T54:T54">T53</f>
        <v>false</v>
      </c>
      <c r="AB54" s="847" t="str">
        <f>AB53&amp;".1"</f>
        <v>4.1</v>
      </c>
      <c r="AC54" s="559" t="s">
        <v>603</v>
      </c>
      <c r="AD54" s="170" t="s">
        <v>599</v>
      </c>
      <c r="AE54" s="77"/>
      <c r="AF54" s="77"/>
      <c r="AG54" s="77"/>
      <c r="AH54" s="77"/>
      <c r="AI54" s="1715"/>
      <c r="AJ54" s="77"/>
      <c r="AK54" s="77"/>
      <c r="AL54" s="77"/>
      <c r="AM54" s="77"/>
      <c r="AN54" s="77"/>
      <c r="AO54" s="77"/>
      <c r="AP54" s="77"/>
      <c r="AQ54" s="77"/>
      <c r="AR54" s="77"/>
      <c r="AS54" s="1715"/>
      <c r="AT54" s="77"/>
      <c r="AU54" s="77"/>
      <c r="AV54" s="77"/>
      <c r="AW54" s="77"/>
      <c r="AX54" s="77"/>
      <c r="AY54" s="77"/>
      <c r="AZ54" s="77"/>
      <c r="BA54" s="77"/>
      <c r="BB54" s="77"/>
      <c r="BC54" s="73"/>
      <c r="BF54" s="1198" t="s">
        <v>633</v>
      </c>
    </row>
    <row customHeight="1" ht="16.672500000000003" hidden="1">
      <c r="E55" s="797">
        <v>17.1</v>
      </c>
      <c r="F55" s="922" cm="1" t="str">
        <f t="array" ref="F55:F55">OFFSET(G55,-1,-1)</f>
        <v>0</v>
      </c>
      <c r="T55" s="808" cm="1" t="str">
        <f t="array" ref="T55:T55">T54</f>
        <v>false</v>
      </c>
      <c r="AB55" s="847" t="str">
        <f>AB53&amp;".2"</f>
        <v>4.2</v>
      </c>
      <c r="AC55" s="559" t="s">
        <v>605</v>
      </c>
      <c r="AD55" s="170" t="s">
        <v>599</v>
      </c>
      <c r="AE55" s="78"/>
      <c r="AF55" s="78"/>
      <c r="AG55" s="78"/>
      <c r="AH55" s="78"/>
      <c r="AI55" s="1716"/>
      <c r="AJ55" s="78"/>
      <c r="AK55" s="78"/>
      <c r="AL55" s="78"/>
      <c r="AM55" s="78"/>
      <c r="AN55" s="78"/>
      <c r="AO55" s="78"/>
      <c r="AP55" s="78"/>
      <c r="AQ55" s="78"/>
      <c r="AR55" s="78"/>
      <c r="AS55" s="1716"/>
      <c r="AT55" s="78"/>
      <c r="AU55" s="78"/>
      <c r="AV55" s="78"/>
      <c r="AW55" s="78"/>
      <c r="AX55" s="78"/>
      <c r="AY55" s="78"/>
      <c r="AZ55" s="78"/>
      <c r="BA55" s="78"/>
      <c r="BB55" s="78"/>
      <c r="BC55" s="69"/>
      <c r="BF55" s="1198" t="s">
        <v>634</v>
      </c>
    </row>
    <row customHeight="1" ht="16.672500000000003" hidden="1">
      <c r="E56" s="797">
        <v>17.1</v>
      </c>
      <c r="F56" s="922" cm="1" t="str">
        <f t="array" ref="F56:F56">OFFSET(G56,-1,-1)</f>
        <v>0</v>
      </c>
      <c r="T56" s="808" cm="1" t="str">
        <f t="array" ref="T56:T56">T55</f>
        <v>false</v>
      </c>
      <c r="AB56" s="856" t="s">
        <v>435</v>
      </c>
      <c r="AC56" s="527" t="s">
        <v>635</v>
      </c>
      <c r="AD56" s="413" t="s">
        <v>599</v>
      </c>
      <c r="AE56" s="74"/>
      <c r="AF56" s="74"/>
      <c r="AG56" s="74"/>
      <c r="AH56" s="74"/>
      <c r="AI56" s="1713"/>
      <c r="AJ56" s="74"/>
      <c r="AK56" s="74"/>
      <c r="AL56" s="74"/>
      <c r="AM56" s="74"/>
      <c r="AN56" s="74"/>
      <c r="AO56" s="74"/>
      <c r="AP56" s="74"/>
      <c r="AQ56" s="74"/>
      <c r="AR56" s="74"/>
      <c r="AS56" s="1713"/>
      <c r="AT56" s="74"/>
      <c r="AU56" s="74"/>
      <c r="AV56" s="74"/>
      <c r="AW56" s="74"/>
      <c r="AX56" s="74"/>
      <c r="AY56" s="74"/>
      <c r="AZ56" s="74"/>
      <c r="BA56" s="74"/>
      <c r="BB56" s="74"/>
      <c r="BC56" s="79"/>
      <c r="BF56" s="1198" t="s">
        <v>636</v>
      </c>
    </row>
    <row customHeight="1" ht="16.672500000000003" hidden="1">
      <c r="E57" s="797">
        <v>17.1</v>
      </c>
      <c r="F57" s="922" cm="1" t="str">
        <f t="array" ref="F57:F57">OFFSET(G57,-1,-1)</f>
        <v>0</v>
      </c>
      <c r="T57" s="808" cm="1" t="str">
        <f t="array" ref="T57:T57">T56</f>
        <v>false</v>
      </c>
      <c r="AB57" s="857" t="s">
        <v>637</v>
      </c>
      <c r="AC57" s="481" t="s">
        <v>638</v>
      </c>
      <c r="AD57" s="413" t="s">
        <v>599</v>
      </c>
      <c r="AE57" s="367">
        <f>AE45-AE56</f>
        <v>0</v>
      </c>
      <c r="AF57" s="367">
        <f>AF45-AF56</f>
        <v>0</v>
      </c>
      <c r="AG57" s="367">
        <f>AG45-AG56</f>
        <v>0</v>
      </c>
      <c r="AH57" s="367">
        <f>AH45-AH56</f>
        <v>0</v>
      </c>
      <c r="AI57" s="367">
        <f>AI45-AI56</f>
        <v>0</v>
      </c>
      <c r="AJ57" s="367">
        <f>AJ45-AJ56</f>
        <v>0</v>
      </c>
      <c r="AK57" s="367">
        <f>AK45-AK56</f>
        <v>0</v>
      </c>
      <c r="AL57" s="367">
        <f>AL45-AL56</f>
        <v>0</v>
      </c>
      <c r="AM57" s="367">
        <f>AM45-AM56</f>
        <v>0</v>
      </c>
      <c r="AN57" s="367">
        <f>AN45-AN56</f>
        <v>0</v>
      </c>
      <c r="AO57" s="367">
        <f>AO45-AO56</f>
        <v>0</v>
      </c>
      <c r="AP57" s="367">
        <f>AP45-AP56</f>
        <v>0</v>
      </c>
      <c r="AQ57" s="367">
        <f>AQ45-AQ56</f>
        <v>0</v>
      </c>
      <c r="AR57" s="367">
        <f>AR45-AR56</f>
        <v>0</v>
      </c>
      <c r="AS57" s="367">
        <f>AS45-AS56</f>
        <v>0</v>
      </c>
      <c r="AT57" s="367">
        <f>AT45-AT56</f>
        <v>0</v>
      </c>
      <c r="AU57" s="367">
        <f>AU45-AU56</f>
        <v>0</v>
      </c>
      <c r="AV57" s="367">
        <f>AV45-AV56</f>
        <v>0</v>
      </c>
      <c r="AW57" s="367">
        <f>AW45-AW56</f>
        <v>0</v>
      </c>
      <c r="AX57" s="367">
        <f>AX45-AX56</f>
        <v>0</v>
      </c>
      <c r="AY57" s="367">
        <f>AY45-AY56</f>
        <v>0</v>
      </c>
      <c r="AZ57" s="367">
        <f>AZ45-AZ56</f>
        <v>0</v>
      </c>
      <c r="BA57" s="367">
        <f>BA45-BA56</f>
        <v>0</v>
      </c>
      <c r="BB57" s="367">
        <f>BB45-BB56</f>
        <v>0</v>
      </c>
      <c r="BC57" s="79"/>
      <c r="BF57" s="1198" t="s">
        <v>639</v>
      </c>
    </row>
    <row customHeight="1" ht="16.672500000000003" hidden="1">
      <c r="E58" s="797">
        <v>17.1</v>
      </c>
      <c r="F58" s="922" cm="1" t="str">
        <f t="array" ref="F58:F58">OFFSET(G58,-1,-1)</f>
        <v>0</v>
      </c>
      <c r="T58" s="808" cm="1" t="str">
        <f t="array" ref="T58:T58">T57</f>
        <v>false</v>
      </c>
      <c r="AB58" s="847" t="str">
        <f>AB57&amp;".1"</f>
        <v>6.1</v>
      </c>
      <c r="AC58" s="559" t="s">
        <v>603</v>
      </c>
      <c r="AD58" s="413" t="s">
        <v>599</v>
      </c>
      <c r="AE58" s="367">
        <f>AE57-AE66</f>
        <v>0</v>
      </c>
      <c r="AF58" s="367">
        <f>AF57-AF66</f>
        <v>0</v>
      </c>
      <c r="AG58" s="367">
        <f>AG57-AG66</f>
        <v>0</v>
      </c>
      <c r="AH58" s="367">
        <f>AH57-AH66</f>
        <v>0</v>
      </c>
      <c r="AI58" s="367">
        <f>AI57-AI66</f>
        <v>0</v>
      </c>
      <c r="AJ58" s="367">
        <f>AJ57-AJ66</f>
        <v>0</v>
      </c>
      <c r="AK58" s="367">
        <f>AK57-AK66</f>
        <v>0</v>
      </c>
      <c r="AL58" s="367">
        <f>AL57-AL66</f>
        <v>0</v>
      </c>
      <c r="AM58" s="367">
        <f>AM57-AM66</f>
        <v>0</v>
      </c>
      <c r="AN58" s="367">
        <f>AN57-AN66</f>
        <v>0</v>
      </c>
      <c r="AO58" s="367">
        <f>AO57-AO66</f>
        <v>0</v>
      </c>
      <c r="AP58" s="367">
        <f>AP57-AP66</f>
        <v>0</v>
      </c>
      <c r="AQ58" s="367">
        <f>AQ57-AQ66</f>
        <v>0</v>
      </c>
      <c r="AR58" s="367">
        <f>AR57-AR66</f>
        <v>0</v>
      </c>
      <c r="AS58" s="367">
        <f>AS57-AS66</f>
        <v>0</v>
      </c>
      <c r="AT58" s="367">
        <f>AT57-AT66</f>
        <v>0</v>
      </c>
      <c r="AU58" s="367">
        <f>AU57-AU66</f>
        <v>0</v>
      </c>
      <c r="AV58" s="367">
        <f>AV57-AV66</f>
        <v>0</v>
      </c>
      <c r="AW58" s="367">
        <f>AW57-AW66</f>
        <v>0</v>
      </c>
      <c r="AX58" s="367">
        <f>AX57-AX66</f>
        <v>0</v>
      </c>
      <c r="AY58" s="367">
        <f>AY57-AY66</f>
        <v>0</v>
      </c>
      <c r="AZ58" s="367">
        <f>AZ57-AZ66</f>
        <v>0</v>
      </c>
      <c r="BA58" s="367">
        <f>BA57-BA66</f>
        <v>0</v>
      </c>
      <c r="BB58" s="367">
        <f>BB57-BB66</f>
        <v>0</v>
      </c>
      <c r="BC58" s="79"/>
      <c r="BF58" s="1198" t="s">
        <v>640</v>
      </c>
    </row>
    <row customHeight="1" ht="16.672500000000003" hidden="1">
      <c r="E59" s="797">
        <v>17.1</v>
      </c>
      <c r="F59" s="922" cm="1" t="str">
        <f t="array" ref="F59:F59">OFFSET(G59,-1,-1)</f>
        <v>0</v>
      </c>
      <c r="T59" s="808" cm="1" t="str">
        <f t="array" ref="T59:T59">T58</f>
        <v>false</v>
      </c>
      <c r="AB59" s="847" t="str">
        <f>AB58&amp;".1"</f>
        <v>6.1.1</v>
      </c>
      <c r="AC59" s="684" t="s">
        <v>641</v>
      </c>
      <c r="AD59" s="170" t="s">
        <v>599</v>
      </c>
      <c r="AE59" s="74"/>
      <c r="AF59" s="74"/>
      <c r="AG59" s="74"/>
      <c r="AH59" s="74"/>
      <c r="AI59" s="1713"/>
      <c r="AJ59" s="74"/>
      <c r="AK59" s="74"/>
      <c r="AL59" s="74"/>
      <c r="AM59" s="74"/>
      <c r="AN59" s="74"/>
      <c r="AO59" s="74"/>
      <c r="AP59" s="74"/>
      <c r="AQ59" s="74"/>
      <c r="AR59" s="74"/>
      <c r="AS59" s="1713"/>
      <c r="AT59" s="74"/>
      <c r="AU59" s="74"/>
      <c r="AV59" s="74"/>
      <c r="AW59" s="74"/>
      <c r="AX59" s="74"/>
      <c r="AY59" s="74"/>
      <c r="AZ59" s="74"/>
      <c r="BA59" s="74"/>
      <c r="BB59" s="74"/>
      <c r="BC59" s="79"/>
      <c r="BF59" s="1198" t="s">
        <v>642</v>
      </c>
    </row>
    <row customHeight="1" ht="16.672500000000003" hidden="1">
      <c r="E60" s="797">
        <v>17.1</v>
      </c>
      <c r="F60" s="922" cm="1" t="str">
        <f t="array" ref="F60:F60">OFFSET(G60,-1,-1)</f>
        <v>0</v>
      </c>
      <c r="T60" s="808" cm="1" t="str">
        <f t="array" ref="T60:T60">T59</f>
        <v>false</v>
      </c>
      <c r="AB60" s="847" t="str">
        <f>AB58&amp;".2"</f>
        <v>6.1.2</v>
      </c>
      <c r="AC60" s="685" t="s">
        <v>643</v>
      </c>
      <c r="AD60" s="170" t="s">
        <v>599</v>
      </c>
      <c r="AE60" s="74">
        <f>SUM(AE61:AE64)</f>
        <v>0</v>
      </c>
      <c r="AF60" s="74">
        <f>SUM(AF61:AF64)</f>
        <v>0</v>
      </c>
      <c r="AG60" s="74">
        <f>SUM(AG61:AG64)</f>
        <v>0</v>
      </c>
      <c r="AH60" s="74">
        <f>SUM(AH61:AH64)</f>
        <v>0</v>
      </c>
      <c r="AI60" s="1713">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1713">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8" t="s">
        <v>644</v>
      </c>
    </row>
    <row customHeight="1" ht="16.672500000000003" hidden="1">
      <c r="E61" s="797">
        <v>17.1</v>
      </c>
      <c r="F61" s="922" cm="1" t="str">
        <f t="array" ref="F61:F61">OFFSET(G61,-1,-1)</f>
        <v>0</v>
      </c>
      <c r="T61" s="808" cm="1" t="str">
        <f t="array" ref="T61:T61">T60</f>
        <v>false</v>
      </c>
      <c r="AB61" s="847" t="str">
        <f>AB60&amp;".1"</f>
        <v>6.1.2.1</v>
      </c>
      <c r="AC61" s="686" t="s">
        <v>645</v>
      </c>
      <c r="AD61" s="413" t="s">
        <v>599</v>
      </c>
      <c r="AE61" s="74"/>
      <c r="AF61" s="74"/>
      <c r="AG61" s="74"/>
      <c r="AH61" s="74"/>
      <c r="AI61" s="1713"/>
      <c r="AJ61" s="74"/>
      <c r="AK61" s="74"/>
      <c r="AL61" s="74"/>
      <c r="AM61" s="74"/>
      <c r="AN61" s="74"/>
      <c r="AO61" s="74"/>
      <c r="AP61" s="74"/>
      <c r="AQ61" s="74"/>
      <c r="AR61" s="74"/>
      <c r="AS61" s="1713"/>
      <c r="AT61" s="74"/>
      <c r="AU61" s="74"/>
      <c r="AV61" s="74"/>
      <c r="AW61" s="74"/>
      <c r="AX61" s="74"/>
      <c r="AY61" s="74"/>
      <c r="AZ61" s="74"/>
      <c r="BA61" s="74"/>
      <c r="BB61" s="74"/>
      <c r="BC61" s="79"/>
      <c r="BF61" s="1198" t="s">
        <v>646</v>
      </c>
    </row>
    <row customHeight="1" ht="16.672500000000003" hidden="1">
      <c r="E62" s="797">
        <v>17.1</v>
      </c>
      <c r="F62" s="922" cm="1" t="str">
        <f t="array" ref="F62:F62">OFFSET(G62,-1,-1)</f>
        <v>0</v>
      </c>
      <c r="T62" s="808" cm="1" t="str">
        <f t="array" ref="T62:T62">T61</f>
        <v>false</v>
      </c>
      <c r="AB62" s="847" t="str">
        <f>AB60&amp;".2"</f>
        <v>6.1.2.2</v>
      </c>
      <c r="AC62" s="687" t="s">
        <v>647</v>
      </c>
      <c r="AD62" s="170" t="s">
        <v>599</v>
      </c>
      <c r="AE62" s="74"/>
      <c r="AF62" s="74"/>
      <c r="AG62" s="74"/>
      <c r="AH62" s="74"/>
      <c r="AI62" s="1713"/>
      <c r="AJ62" s="74"/>
      <c r="AK62" s="74"/>
      <c r="AL62" s="74"/>
      <c r="AM62" s="74"/>
      <c r="AN62" s="74"/>
      <c r="AO62" s="74"/>
      <c r="AP62" s="74"/>
      <c r="AQ62" s="74"/>
      <c r="AR62" s="74"/>
      <c r="AS62" s="1713"/>
      <c r="AT62" s="74"/>
      <c r="AU62" s="74"/>
      <c r="AV62" s="74"/>
      <c r="AW62" s="74"/>
      <c r="AX62" s="74"/>
      <c r="AY62" s="74"/>
      <c r="AZ62" s="74"/>
      <c r="BA62" s="74"/>
      <c r="BB62" s="74"/>
      <c r="BC62" s="79"/>
      <c r="BF62" s="1198" t="s">
        <v>648</v>
      </c>
    </row>
    <row customHeight="1" ht="16.672500000000003" hidden="1">
      <c r="E63" s="797">
        <v>17.1</v>
      </c>
      <c r="F63" s="922" cm="1" t="str">
        <f t="array" ref="F63:F63">OFFSET(G63,-1,-1)</f>
        <v>0</v>
      </c>
      <c r="T63" s="808" cm="1" t="str">
        <f t="array" ref="T63:T63">T62</f>
        <v>false</v>
      </c>
      <c r="AB63" s="847" t="str">
        <f>AB60&amp;".3"</f>
        <v>6.1.2.3</v>
      </c>
      <c r="AC63" s="687" t="s">
        <v>649</v>
      </c>
      <c r="AD63" s="170" t="s">
        <v>599</v>
      </c>
      <c r="AE63" s="74"/>
      <c r="AF63" s="74"/>
      <c r="AG63" s="74"/>
      <c r="AH63" s="74"/>
      <c r="AI63" s="1713"/>
      <c r="AJ63" s="74"/>
      <c r="AK63" s="74"/>
      <c r="AL63" s="74"/>
      <c r="AM63" s="74"/>
      <c r="AN63" s="74"/>
      <c r="AO63" s="74"/>
      <c r="AP63" s="74"/>
      <c r="AQ63" s="74"/>
      <c r="AR63" s="74"/>
      <c r="AS63" s="1713"/>
      <c r="AT63" s="74"/>
      <c r="AU63" s="74"/>
      <c r="AV63" s="74"/>
      <c r="AW63" s="74"/>
      <c r="AX63" s="74"/>
      <c r="AY63" s="74"/>
      <c r="AZ63" s="74"/>
      <c r="BA63" s="74"/>
      <c r="BB63" s="74"/>
      <c r="BC63" s="79"/>
      <c r="BF63" s="1198" t="s">
        <v>650</v>
      </c>
    </row>
    <row customHeight="1" ht="16.672500000000003" hidden="1">
      <c r="E64" s="797">
        <v>17.1</v>
      </c>
      <c r="F64" s="922" cm="1" t="str">
        <f t="array" ref="F64:F64">OFFSET(G64,-1,-1)</f>
        <v>0</v>
      </c>
      <c r="T64" s="808" cm="1" t="str">
        <f t="array" ref="T64:T64">T63</f>
        <v>false</v>
      </c>
      <c r="AB64" s="847" t="str">
        <f>AB60&amp;".4"</f>
        <v>6.1.2.4</v>
      </c>
      <c r="AC64" s="687" t="s">
        <v>651</v>
      </c>
      <c r="AD64" s="413" t="s">
        <v>599</v>
      </c>
      <c r="AE64" s="74"/>
      <c r="AF64" s="74"/>
      <c r="AG64" s="74"/>
      <c r="AH64" s="74"/>
      <c r="AI64" s="1713"/>
      <c r="AJ64" s="74"/>
      <c r="AK64" s="74"/>
      <c r="AL64" s="74"/>
      <c r="AM64" s="74"/>
      <c r="AN64" s="74"/>
      <c r="AO64" s="74"/>
      <c r="AP64" s="74"/>
      <c r="AQ64" s="74"/>
      <c r="AR64" s="74"/>
      <c r="AS64" s="1713"/>
      <c r="AT64" s="74"/>
      <c r="AU64" s="74"/>
      <c r="AV64" s="74"/>
      <c r="AW64" s="74"/>
      <c r="AX64" s="74"/>
      <c r="AY64" s="74"/>
      <c r="AZ64" s="74"/>
      <c r="BA64" s="74"/>
      <c r="BB64" s="74"/>
      <c r="BC64" s="79"/>
      <c r="BF64" s="1198" t="s">
        <v>652</v>
      </c>
    </row>
    <row customHeight="1" ht="16.672500000000003" hidden="1">
      <c r="E65" s="797">
        <v>17.1</v>
      </c>
      <c r="F65" s="922" cm="1" t="str">
        <f t="array" ref="F65:F65">OFFSET(G65,-1,-1)</f>
        <v>0</v>
      </c>
      <c r="T65" s="808" cm="1" t="str">
        <f t="array" ref="T65:T65">T64</f>
        <v>false</v>
      </c>
      <c r="AB65" s="847" t="str">
        <f>AB58&amp;".3"</f>
        <v>6.1.3</v>
      </c>
      <c r="AC65" s="1109" t="s">
        <v>653</v>
      </c>
      <c r="AD65" s="413" t="s">
        <v>599</v>
      </c>
      <c r="AE65" s="74">
        <f>AE58-AE59-AE60</f>
        <v>0</v>
      </c>
      <c r="AF65" s="74">
        <f>AF58-AF59-AF60</f>
        <v>0</v>
      </c>
      <c r="AG65" s="74">
        <f>AG58-AG59-AG60</f>
        <v>0</v>
      </c>
      <c r="AH65" s="74">
        <f>AH58-AH59-AH60</f>
        <v>0</v>
      </c>
      <c r="AI65" s="1713">
        <f>AI58-AI59-AI60</f>
        <v>0</v>
      </c>
      <c r="AJ65" s="74">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1713">
        <f>AS58-AS59-AS60</f>
        <v>0</v>
      </c>
      <c r="AT65" s="74">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8" t="s">
        <v>654</v>
      </c>
    </row>
    <row customHeight="1" ht="16.672500000000003" hidden="1">
      <c r="E66" s="797">
        <v>17.1</v>
      </c>
      <c r="F66" s="922" cm="1" t="str">
        <f t="array" ref="F66:F66">OFFSET(G66,-1,-1)</f>
        <v>0</v>
      </c>
      <c r="T66" s="808" cm="1" t="str">
        <f t="array" ref="T66:T66">T65</f>
        <v>false</v>
      </c>
      <c r="AB66" s="847" t="str">
        <f>AB57&amp;".2"</f>
        <v>6.2</v>
      </c>
      <c r="AC66" s="559" t="s">
        <v>605</v>
      </c>
      <c r="AD66" s="413" t="s">
        <v>599</v>
      </c>
      <c r="AE66" s="74"/>
      <c r="AF66" s="74"/>
      <c r="AG66" s="74"/>
      <c r="AH66" s="74"/>
      <c r="AI66" s="1713"/>
      <c r="AJ66" s="74"/>
      <c r="AK66" s="74"/>
      <c r="AL66" s="74"/>
      <c r="AM66" s="74"/>
      <c r="AN66" s="74"/>
      <c r="AO66" s="74"/>
      <c r="AP66" s="74"/>
      <c r="AQ66" s="74"/>
      <c r="AR66" s="74"/>
      <c r="AS66" s="1713"/>
      <c r="AT66" s="74"/>
      <c r="AU66" s="74"/>
      <c r="AV66" s="74"/>
      <c r="AW66" s="74"/>
      <c r="AX66" s="74"/>
      <c r="AY66" s="74"/>
      <c r="AZ66" s="74"/>
      <c r="BA66" s="74"/>
      <c r="BB66" s="74"/>
      <c r="BC66" s="79"/>
      <c r="BF66" s="1198" t="s">
        <v>655</v>
      </c>
    </row>
    <row customHeight="1" ht="16.672500000000003" hidden="1">
      <c r="E67" s="797">
        <v>17.1</v>
      </c>
      <c r="F67" s="922" cm="1" t="str">
        <f t="array" ref="F67:F67">OFFSET(G67,-1,-1)</f>
        <v>0</v>
      </c>
      <c r="T67" s="808" cm="1" t="str">
        <f t="array" ref="T67:T67">T66</f>
        <v>false</v>
      </c>
      <c r="AB67" s="568" t="s">
        <v>656</v>
      </c>
      <c r="AC67" s="569" t="s">
        <v>657</v>
      </c>
      <c r="AD67" s="413" t="s">
        <v>599</v>
      </c>
      <c r="AE67" s="367">
        <f>SUM(AE68:AE69)</f>
        <v>0</v>
      </c>
      <c r="AF67" s="367">
        <f>SUM(AF68:AF69)</f>
        <v>0</v>
      </c>
      <c r="AG67" s="367">
        <f>SUM(AG68:AG69)</f>
        <v>0</v>
      </c>
      <c r="AH67" s="367">
        <f>SUM(AH68:AH69)</f>
        <v>0</v>
      </c>
      <c r="AI67" s="367">
        <f>SUM(AI68:AI69)</f>
        <v>0</v>
      </c>
      <c r="AJ67" s="367">
        <f>SUM(AJ68:AJ69)</f>
        <v>0</v>
      </c>
      <c r="AK67" s="367">
        <f>SUM(AK68:AK69)</f>
        <v>0</v>
      </c>
      <c r="AL67" s="367">
        <f>SUM(AL68:AL69)</f>
        <v>0</v>
      </c>
      <c r="AM67" s="367">
        <f>SUM(AM68:AM69)</f>
        <v>0</v>
      </c>
      <c r="AN67" s="367">
        <f>SUM(AN68:AN69)</f>
        <v>0</v>
      </c>
      <c r="AO67" s="367">
        <f>SUM(AO68:AO69)</f>
        <v>0</v>
      </c>
      <c r="AP67" s="367">
        <f>SUM(AP68:AP69)</f>
        <v>0</v>
      </c>
      <c r="AQ67" s="367">
        <f>SUM(AQ68:AQ69)</f>
        <v>0</v>
      </c>
      <c r="AR67" s="367">
        <f>SUM(AR68:AR69)</f>
        <v>0</v>
      </c>
      <c r="AS67" s="367">
        <f>SUM(AS68:AS69)</f>
        <v>0</v>
      </c>
      <c r="AT67" s="367">
        <f>SUM(AT68:AT69)</f>
        <v>0</v>
      </c>
      <c r="AU67" s="367">
        <f>SUM(AU68:AU69)</f>
        <v>0</v>
      </c>
      <c r="AV67" s="367">
        <f>SUM(AV68:AV69)</f>
        <v>0</v>
      </c>
      <c r="AW67" s="367">
        <f>SUM(AW68:AW69)</f>
        <v>0</v>
      </c>
      <c r="AX67" s="367">
        <f>SUM(AX68:AX69)</f>
        <v>0</v>
      </c>
      <c r="AY67" s="367">
        <f>SUM(AY68:AY69)</f>
        <v>0</v>
      </c>
      <c r="AZ67" s="367">
        <f>SUM(AZ68:AZ69)</f>
        <v>0</v>
      </c>
      <c r="BA67" s="367">
        <f>SUM(BA68:BA69)</f>
        <v>0</v>
      </c>
      <c r="BB67" s="367">
        <f>SUM(BB68:BB69)</f>
        <v>0</v>
      </c>
      <c r="BC67" s="79"/>
      <c r="BF67" s="1198" t="s">
        <v>658</v>
      </c>
    </row>
    <row customHeight="1" ht="16.672500000000003" hidden="1">
      <c r="E68" s="797">
        <v>17.1</v>
      </c>
      <c r="F68" s="922" cm="1" t="str">
        <f t="array" ref="F68:F68">OFFSET(G68,-1,-1)</f>
        <v>0</v>
      </c>
      <c r="T68" s="808" cm="1" t="str">
        <f t="array" ref="T68:T68">T67</f>
        <v>false</v>
      </c>
      <c r="AB68" s="847" t="str">
        <f>AB67&amp;".1"</f>
        <v>7.1</v>
      </c>
      <c r="AC68" s="559" t="s">
        <v>603</v>
      </c>
      <c r="AD68" s="413" t="s">
        <v>599</v>
      </c>
      <c r="AE68" s="74">
        <f>AE65+AE54</f>
        <v>0</v>
      </c>
      <c r="AF68" s="74">
        <f>AF65+AF54</f>
        <v>0</v>
      </c>
      <c r="AG68" s="74">
        <f>AG65+AG54</f>
        <v>0</v>
      </c>
      <c r="AH68" s="74">
        <f>AH65+AH54</f>
        <v>0</v>
      </c>
      <c r="AI68" s="1713">
        <f>AI65+AI54</f>
        <v>0</v>
      </c>
      <c r="AJ68" s="74">
        <f>AJ65+AJ54</f>
        <v>0</v>
      </c>
      <c r="AK68" s="74">
        <f>AK65+AK54</f>
        <v>0</v>
      </c>
      <c r="AL68" s="74">
        <f>AL65+AL54</f>
        <v>0</v>
      </c>
      <c r="AM68" s="74">
        <f>AM65+AM54</f>
        <v>0</v>
      </c>
      <c r="AN68" s="74">
        <f>AN65+AN54</f>
        <v>0</v>
      </c>
      <c r="AO68" s="74">
        <f>AO65+AO54</f>
        <v>0</v>
      </c>
      <c r="AP68" s="74">
        <f>AP65+AP54</f>
        <v>0</v>
      </c>
      <c r="AQ68" s="74">
        <f>AQ65+AQ54</f>
        <v>0</v>
      </c>
      <c r="AR68" s="74">
        <f>AR65+AR54</f>
        <v>0</v>
      </c>
      <c r="AS68" s="1713">
        <f>AS65+AS54</f>
        <v>0</v>
      </c>
      <c r="AT68" s="74">
        <f>AT65+AT54</f>
        <v>0</v>
      </c>
      <c r="AU68" s="74">
        <f>AU65+AU54</f>
        <v>0</v>
      </c>
      <c r="AV68" s="74">
        <f>AV65+AV54</f>
        <v>0</v>
      </c>
      <c r="AW68" s="74">
        <f>AW65+AW54</f>
        <v>0</v>
      </c>
      <c r="AX68" s="74">
        <f>AX65+AX54</f>
        <v>0</v>
      </c>
      <c r="AY68" s="74">
        <f>AY65+AY54</f>
        <v>0</v>
      </c>
      <c r="AZ68" s="74">
        <f>AZ65+AZ54</f>
        <v>0</v>
      </c>
      <c r="BA68" s="74">
        <f>BA65+BA54</f>
        <v>0</v>
      </c>
      <c r="BB68" s="74">
        <f>BB65+BB54</f>
        <v>0</v>
      </c>
      <c r="BC68" s="79"/>
      <c r="BF68" s="1198" t="s">
        <v>659</v>
      </c>
    </row>
    <row customHeight="1" ht="16.672500000000003" hidden="1">
      <c r="E69" s="797">
        <v>17.1</v>
      </c>
      <c r="F69" s="922" cm="1" t="str">
        <f t="array" ref="F69:F69">OFFSET(G69,-1,-1)</f>
        <v>0</v>
      </c>
      <c r="T69" s="808" cm="1" t="str">
        <f t="array" ref="T69:T69">T68</f>
        <v>false</v>
      </c>
      <c r="AB69" s="847" t="str">
        <f>AB67&amp;".2"</f>
        <v>7.2</v>
      </c>
      <c r="AC69" s="559" t="s">
        <v>605</v>
      </c>
      <c r="AD69" s="413" t="s">
        <v>599</v>
      </c>
      <c r="AE69" s="74">
        <f>AE66+AE55</f>
        <v>0</v>
      </c>
      <c r="AF69" s="74">
        <f>AF66+AF55</f>
        <v>0</v>
      </c>
      <c r="AG69" s="74">
        <f>AG66+AG55</f>
        <v>0</v>
      </c>
      <c r="AH69" s="74">
        <f>AH66+AH55</f>
        <v>0</v>
      </c>
      <c r="AI69" s="1713">
        <f>AI66+AI55</f>
        <v>0</v>
      </c>
      <c r="AJ69" s="74">
        <f>AJ66+AJ55</f>
        <v>0</v>
      </c>
      <c r="AK69" s="74">
        <f>AK66+AK55</f>
        <v>0</v>
      </c>
      <c r="AL69" s="74">
        <f>AL66+AL55</f>
        <v>0</v>
      </c>
      <c r="AM69" s="74">
        <f>AM66+AM55</f>
        <v>0</v>
      </c>
      <c r="AN69" s="74">
        <f>AN66+AN55</f>
        <v>0</v>
      </c>
      <c r="AO69" s="74">
        <f>AO66+AO55</f>
        <v>0</v>
      </c>
      <c r="AP69" s="74">
        <f>AP66+AP55</f>
        <v>0</v>
      </c>
      <c r="AQ69" s="74">
        <f>AQ66+AQ55</f>
        <v>0</v>
      </c>
      <c r="AR69" s="74">
        <f>AR66+AR55</f>
        <v>0</v>
      </c>
      <c r="AS69" s="1713">
        <f>AS66+AS55</f>
        <v>0</v>
      </c>
      <c r="AT69" s="74">
        <f>AT66+AT55</f>
        <v>0</v>
      </c>
      <c r="AU69" s="74">
        <f>AU66+AU55</f>
        <v>0</v>
      </c>
      <c r="AV69" s="74">
        <f>AV66+AV55</f>
        <v>0</v>
      </c>
      <c r="AW69" s="74">
        <f>AW66+AW55</f>
        <v>0</v>
      </c>
      <c r="AX69" s="74">
        <f>AX66+AX55</f>
        <v>0</v>
      </c>
      <c r="AY69" s="74">
        <f>AY66+AY55</f>
        <v>0</v>
      </c>
      <c r="AZ69" s="74">
        <f>AZ66+AZ55</f>
        <v>0</v>
      </c>
      <c r="BA69" s="74">
        <f>BA66+BA55</f>
        <v>0</v>
      </c>
      <c r="BB69" s="74">
        <f>BB66+BB55</f>
        <v>0</v>
      </c>
      <c r="BC69" s="79"/>
      <c r="BF69" s="1198" t="s">
        <v>660</v>
      </c>
    </row>
    <row customHeight="1" ht="33.6375" hidden="1">
      <c r="E70" s="797">
        <v>34.5</v>
      </c>
      <c r="F70" s="922" cm="1" t="str">
        <f t="array" ref="F70:F70">OFFSET(G70,-1,-1)</f>
        <v>0</v>
      </c>
      <c r="T70" s="808" cm="1" t="str">
        <f t="array" ref="T70:T70">T69</f>
        <v>false</v>
      </c>
      <c r="AB70" s="568" t="s">
        <v>661</v>
      </c>
      <c r="AC70" s="569" t="s">
        <v>662</v>
      </c>
      <c r="AD70" s="413" t="s">
        <v>599</v>
      </c>
      <c r="AE70" s="367">
        <f>SUM(AE71,AE73)</f>
        <v>0</v>
      </c>
      <c r="AF70" s="367">
        <f>SUM(AF71,AF73)</f>
        <v>0</v>
      </c>
      <c r="AG70" s="367">
        <f>SUM(AG71,AG73)</f>
        <v>0</v>
      </c>
      <c r="AH70" s="367">
        <f>SUM(AH71,AH73)</f>
        <v>0</v>
      </c>
      <c r="AI70" s="367">
        <f>SUM(AI71,AI73)</f>
        <v>0</v>
      </c>
      <c r="AJ70" s="367">
        <f>SUM(AJ71,AJ73)</f>
        <v>0</v>
      </c>
      <c r="AK70" s="367">
        <f>SUM(AK71,AK73)</f>
        <v>0</v>
      </c>
      <c r="AL70" s="367">
        <f>SUM(AL71,AL73)</f>
        <v>0</v>
      </c>
      <c r="AM70" s="367">
        <f>SUM(AM71,AM73)</f>
        <v>0</v>
      </c>
      <c r="AN70" s="367">
        <f>SUM(AN71,AN73)</f>
        <v>0</v>
      </c>
      <c r="AO70" s="367">
        <f>SUM(AO71,AO73)</f>
        <v>0</v>
      </c>
      <c r="AP70" s="367">
        <f>SUM(AP71,AP73)</f>
        <v>0</v>
      </c>
      <c r="AQ70" s="367">
        <f>SUM(AQ71,AQ73)</f>
        <v>0</v>
      </c>
      <c r="AR70" s="367">
        <f>SUM(AR71,AR73)</f>
        <v>0</v>
      </c>
      <c r="AS70" s="367">
        <f>SUM(AS71,AS73)</f>
        <v>0</v>
      </c>
      <c r="AT70" s="367">
        <f>SUM(AT71,AT73)</f>
        <v>0</v>
      </c>
      <c r="AU70" s="367">
        <f>SUM(AU71,AU73)</f>
        <v>0</v>
      </c>
      <c r="AV70" s="367">
        <f>SUM(AV71,AV73)</f>
        <v>0</v>
      </c>
      <c r="AW70" s="367">
        <f>SUM(AW71,AW73)</f>
        <v>0</v>
      </c>
      <c r="AX70" s="367">
        <f>SUM(AX71,AX73)</f>
        <v>0</v>
      </c>
      <c r="AY70" s="367">
        <f>SUM(AY71,AY73)</f>
        <v>0</v>
      </c>
      <c r="AZ70" s="367">
        <f>SUM(AZ71,AZ73)</f>
        <v>0</v>
      </c>
      <c r="BA70" s="367">
        <f>SUM(BA71,BA73)</f>
        <v>0</v>
      </c>
      <c r="BB70" s="367">
        <f>SUM(BB71,BB73)</f>
        <v>0</v>
      </c>
      <c r="BC70" s="79"/>
      <c r="BF70" s="1198" t="s">
        <v>663</v>
      </c>
    </row>
    <row customHeight="1" ht="16.672500000000003" hidden="1">
      <c r="E71" s="797">
        <v>17.1</v>
      </c>
      <c r="F71" s="922" cm="1" t="str">
        <f t="array" ref="F71:F71">OFFSET(G71,-1,-1)</f>
        <v>0</v>
      </c>
      <c r="T71" s="808" cm="1" t="str">
        <f t="array" ref="T71:T71">T70</f>
        <v>false</v>
      </c>
      <c r="AB71" s="847" t="str">
        <f>AB70&amp;".1"</f>
        <v>8.1</v>
      </c>
      <c r="AC71" s="559" t="s">
        <v>603</v>
      </c>
      <c r="AD71" s="413" t="s">
        <v>599</v>
      </c>
      <c r="AE71" s="74"/>
      <c r="AF71" s="74"/>
      <c r="AG71" s="74"/>
      <c r="AH71" s="74"/>
      <c r="AI71" s="1713"/>
      <c r="AJ71" s="74"/>
      <c r="AK71" s="74"/>
      <c r="AL71" s="74"/>
      <c r="AM71" s="74"/>
      <c r="AN71" s="74"/>
      <c r="AO71" s="74"/>
      <c r="AP71" s="74"/>
      <c r="AQ71" s="74"/>
      <c r="AR71" s="74"/>
      <c r="AS71" s="1713"/>
      <c r="AT71" s="74"/>
      <c r="AU71" s="74"/>
      <c r="AV71" s="74"/>
      <c r="AW71" s="74"/>
      <c r="AX71" s="74"/>
      <c r="AY71" s="74"/>
      <c r="AZ71" s="74"/>
      <c r="BA71" s="74"/>
      <c r="BB71" s="74"/>
      <c r="BC71" s="79"/>
      <c r="BF71" s="1198" t="s">
        <v>664</v>
      </c>
    </row>
    <row customHeight="1" ht="16.672500000000003" hidden="1">
      <c r="E72" s="797">
        <v>17.1</v>
      </c>
      <c r="F72" s="922" cm="1" t="str">
        <f t="array" ref="F72:F72">OFFSET(G72,-1,-1)</f>
        <v>0</v>
      </c>
      <c r="T72" s="808" cm="1" t="str">
        <f t="array" ref="T72:T72">T71</f>
        <v>false</v>
      </c>
      <c r="AB72" s="847" t="str">
        <f>AB71&amp;".1"</f>
        <v>8.1.1</v>
      </c>
      <c r="AC72" s="683" t="s">
        <v>665</v>
      </c>
      <c r="AD72" s="413" t="s">
        <v>498</v>
      </c>
      <c r="AE72" s="1044">
        <f>_xlfn.IFERROR(AE71/AE68,0)</f>
        <v>0</v>
      </c>
      <c r="AF72" s="1044">
        <f>_xlfn.IFERROR(AF71/AF68,0)</f>
        <v>0</v>
      </c>
      <c r="AG72" s="1044">
        <f>_xlfn.IFERROR(AG71/AG68,0)</f>
        <v>0</v>
      </c>
      <c r="AH72" s="1044">
        <f>_xlfn.IFERROR(AH71/AH68,0)</f>
        <v>0</v>
      </c>
      <c r="AI72" s="1044">
        <f>_xlfn.IFERROR(AI71/AI68,0)</f>
        <v>0</v>
      </c>
      <c r="AJ72" s="1044">
        <f>_xlfn.IFERROR(AJ71/AJ68,0)</f>
        <v>0</v>
      </c>
      <c r="AK72" s="1044">
        <f>_xlfn.IFERROR(AK71/AK68,0)</f>
        <v>0</v>
      </c>
      <c r="AL72" s="1044">
        <f>_xlfn.IFERROR(AL71/AL68,0)</f>
        <v>0</v>
      </c>
      <c r="AM72" s="1044">
        <f>_xlfn.IFERROR(AM71/AM68,0)</f>
        <v>0</v>
      </c>
      <c r="AN72" s="1044">
        <f>_xlfn.IFERROR(AN71/AN68,0)</f>
        <v>0</v>
      </c>
      <c r="AO72" s="1044">
        <f>_xlfn.IFERROR(AO71/AO68,0)</f>
        <v>0</v>
      </c>
      <c r="AP72" s="1044">
        <f>_xlfn.IFERROR(AP71/AP68,0)</f>
        <v>0</v>
      </c>
      <c r="AQ72" s="1044">
        <f>_xlfn.IFERROR(AQ71/AQ68,0)</f>
        <v>0</v>
      </c>
      <c r="AR72" s="1044">
        <f>_xlfn.IFERROR(AR71/AR68,0)</f>
        <v>0</v>
      </c>
      <c r="AS72" s="1044">
        <f>_xlfn.IFERROR(AS71/AS68,0)</f>
        <v>0</v>
      </c>
      <c r="AT72" s="1044">
        <f>_xlfn.IFERROR(AT71/AT68,0)</f>
        <v>0</v>
      </c>
      <c r="AU72" s="1044">
        <f>_xlfn.IFERROR(AU71/AU68,0)</f>
        <v>0</v>
      </c>
      <c r="AV72" s="1044">
        <f>_xlfn.IFERROR(AV71/AV68,0)</f>
        <v>0</v>
      </c>
      <c r="AW72" s="1044">
        <f>_xlfn.IFERROR(AW71/AW68,0)</f>
        <v>0</v>
      </c>
      <c r="AX72" s="1044">
        <f>_xlfn.IFERROR(AX71/AX68,0)</f>
        <v>0</v>
      </c>
      <c r="AY72" s="1044">
        <f>_xlfn.IFERROR(AY71/AY68,0)</f>
        <v>0</v>
      </c>
      <c r="AZ72" s="1044">
        <f>_xlfn.IFERROR(AZ71/AZ68,0)</f>
        <v>0</v>
      </c>
      <c r="BA72" s="1044">
        <f>_xlfn.IFERROR(BA71/BA68,0)</f>
        <v>0</v>
      </c>
      <c r="BB72" s="1044">
        <f>_xlfn.IFERROR(BB71/BB68,0)</f>
        <v>0</v>
      </c>
      <c r="BC72" s="79"/>
      <c r="BF72" s="1198" t="s">
        <v>666</v>
      </c>
    </row>
    <row customHeight="1" ht="16.672500000000003" hidden="1">
      <c r="E73" s="797">
        <v>17.1</v>
      </c>
      <c r="F73" s="922" cm="1" t="str">
        <f t="array" ref="F73:F73">OFFSET(G73,-1,-1)</f>
        <v>0</v>
      </c>
      <c r="T73" s="808" cm="1" t="str">
        <f t="array" ref="T73:T73">T72</f>
        <v>false</v>
      </c>
      <c r="AB73" s="847" t="str">
        <f>AB70&amp;".2"</f>
        <v>8.2</v>
      </c>
      <c r="AC73" s="559" t="s">
        <v>605</v>
      </c>
      <c r="AD73" s="413" t="s">
        <v>599</v>
      </c>
      <c r="AE73" s="74"/>
      <c r="AF73" s="74"/>
      <c r="AG73" s="74"/>
      <c r="AH73" s="74"/>
      <c r="AI73" s="1713"/>
      <c r="AJ73" s="74"/>
      <c r="AK73" s="74"/>
      <c r="AL73" s="74"/>
      <c r="AM73" s="74"/>
      <c r="AN73" s="74"/>
      <c r="AO73" s="74"/>
      <c r="AP73" s="74"/>
      <c r="AQ73" s="74"/>
      <c r="AR73" s="74"/>
      <c r="AS73" s="1713"/>
      <c r="AT73" s="74"/>
      <c r="AU73" s="74"/>
      <c r="AV73" s="74"/>
      <c r="AW73" s="74"/>
      <c r="AX73" s="74"/>
      <c r="AY73" s="74"/>
      <c r="AZ73" s="74"/>
      <c r="BA73" s="74"/>
      <c r="BB73" s="74"/>
      <c r="BC73" s="79"/>
      <c r="BF73" s="1198" t="s">
        <v>667</v>
      </c>
    </row>
    <row customHeight="1" ht="16.672500000000003" hidden="1">
      <c r="E74" s="797">
        <v>17.1</v>
      </c>
      <c r="F74" s="922" cm="1" t="str">
        <f t="array" ref="F74:F74">OFFSET(G74,-1,-1)</f>
        <v>0</v>
      </c>
      <c r="T74" s="808" cm="1" t="str">
        <f t="array" ref="T74:T74">T73</f>
        <v>false</v>
      </c>
      <c r="AB74" s="847" t="str">
        <f>AB73&amp;".1"</f>
        <v>8.2.1</v>
      </c>
      <c r="AC74" s="683" t="s">
        <v>665</v>
      </c>
      <c r="AD74" s="170" t="s">
        <v>498</v>
      </c>
      <c r="AE74" s="1107">
        <f>_xlfn.IFERROR(AE73/AE69,0)</f>
        <v>0</v>
      </c>
      <c r="AF74" s="1107">
        <f>_xlfn.IFERROR(AF73/AF69,0)</f>
        <v>0</v>
      </c>
      <c r="AG74" s="1107">
        <f>_xlfn.IFERROR(AG73/AG69,0)</f>
        <v>0</v>
      </c>
      <c r="AH74" s="1107">
        <f>_xlfn.IFERROR(AH73/AH69,0)</f>
        <v>0</v>
      </c>
      <c r="AI74" s="1107">
        <f>_xlfn.IFERROR(AI73/AI69,0)</f>
        <v>0</v>
      </c>
      <c r="AJ74" s="1107">
        <f>_xlfn.IFERROR(AJ73/AJ69,0)</f>
        <v>0</v>
      </c>
      <c r="AK74" s="1107">
        <f>_xlfn.IFERROR(AK73/AK69,0)</f>
        <v>0</v>
      </c>
      <c r="AL74" s="1107">
        <f>_xlfn.IFERROR(AL73/AL69,0)</f>
        <v>0</v>
      </c>
      <c r="AM74" s="1107">
        <f>_xlfn.IFERROR(AM73/AM69,0)</f>
        <v>0</v>
      </c>
      <c r="AN74" s="1107">
        <f>_xlfn.IFERROR(AN73/AN69,0)</f>
        <v>0</v>
      </c>
      <c r="AO74" s="1107">
        <f>_xlfn.IFERROR(AO73/AO69,0)</f>
        <v>0</v>
      </c>
      <c r="AP74" s="1107">
        <f>_xlfn.IFERROR(AP73/AP69,0)</f>
        <v>0</v>
      </c>
      <c r="AQ74" s="1107">
        <f>_xlfn.IFERROR(AQ73/AQ69,0)</f>
        <v>0</v>
      </c>
      <c r="AR74" s="1107">
        <f>_xlfn.IFERROR(AR73/AR69,0)</f>
        <v>0</v>
      </c>
      <c r="AS74" s="1107">
        <f>_xlfn.IFERROR(AS73/AS69,0)</f>
        <v>0</v>
      </c>
      <c r="AT74" s="1107">
        <f>_xlfn.IFERROR(AT73/AT69,0)</f>
        <v>0</v>
      </c>
      <c r="AU74" s="1107">
        <f>_xlfn.IFERROR(AU73/AU69,0)</f>
        <v>0</v>
      </c>
      <c r="AV74" s="1107">
        <f>_xlfn.IFERROR(AV73/AV69,0)</f>
        <v>0</v>
      </c>
      <c r="AW74" s="1107">
        <f>_xlfn.IFERROR(AW73/AW69,0)</f>
        <v>0</v>
      </c>
      <c r="AX74" s="1107">
        <f>_xlfn.IFERROR(AX73/AX69,0)</f>
        <v>0</v>
      </c>
      <c r="AY74" s="1107">
        <f>_xlfn.IFERROR(AY73/AY69,0)</f>
        <v>0</v>
      </c>
      <c r="AZ74" s="1107">
        <f>_xlfn.IFERROR(AZ73/AZ69,0)</f>
        <v>0</v>
      </c>
      <c r="BA74" s="1107">
        <f>_xlfn.IFERROR(BA73/BA69,0)</f>
        <v>0</v>
      </c>
      <c r="BB74" s="1107">
        <f>_xlfn.IFERROR(BB73/BB69,0)</f>
        <v>0</v>
      </c>
      <c r="BC74" s="80"/>
      <c r="BF74" s="1198" t="s">
        <v>668</v>
      </c>
    </row>
    <row customHeight="1" ht="16.672500000000003" hidden="1">
      <c r="E75" s="797">
        <v>17.1</v>
      </c>
      <c r="F75" s="922" cm="1" t="str">
        <f t="array" ref="F75:F75">OFFSET(G75,-1,-1)</f>
        <v>0</v>
      </c>
      <c r="T75" s="808" cm="1" t="str">
        <f t="array" ref="T75:T75">T74</f>
        <v>false</v>
      </c>
      <c r="AB75" s="482" t="s">
        <v>669</v>
      </c>
      <c r="AC75" s="481" t="s">
        <v>670</v>
      </c>
      <c r="AD75" s="170" t="s">
        <v>599</v>
      </c>
      <c r="AE75" s="526">
        <f>AE67-AE70</f>
        <v>0</v>
      </c>
      <c r="AF75" s="526">
        <f>AF67-AF70</f>
        <v>0</v>
      </c>
      <c r="AG75" s="526">
        <f>AG67-AG70</f>
        <v>0</v>
      </c>
      <c r="AH75" s="526">
        <f>AH67-AH70</f>
        <v>0</v>
      </c>
      <c r="AI75" s="526">
        <f>AI67-AI70</f>
        <v>0</v>
      </c>
      <c r="AJ75" s="526">
        <f>AJ67-AJ70</f>
        <v>0</v>
      </c>
      <c r="AK75" s="526">
        <f>AK67-AK70</f>
        <v>0</v>
      </c>
      <c r="AL75" s="526">
        <f>AL67-AL70</f>
        <v>0</v>
      </c>
      <c r="AM75" s="526">
        <f>AM67-AM70</f>
        <v>0</v>
      </c>
      <c r="AN75" s="526">
        <f>AN67-AN70</f>
        <v>0</v>
      </c>
      <c r="AO75" s="526">
        <f>AO67-AO70</f>
        <v>0</v>
      </c>
      <c r="AP75" s="526">
        <f>AP67-AP70</f>
        <v>0</v>
      </c>
      <c r="AQ75" s="526">
        <f>AQ67-AQ70</f>
        <v>0</v>
      </c>
      <c r="AR75" s="526">
        <f>AR67-AR70</f>
        <v>0</v>
      </c>
      <c r="AS75" s="526">
        <f>AS67-AS70</f>
        <v>0</v>
      </c>
      <c r="AT75" s="526">
        <f>AT67-AT70</f>
        <v>0</v>
      </c>
      <c r="AU75" s="526">
        <f>AU67-AU70</f>
        <v>0</v>
      </c>
      <c r="AV75" s="526">
        <f>AV67-AV70</f>
        <v>0</v>
      </c>
      <c r="AW75" s="526">
        <f>AW67-AW70</f>
        <v>0</v>
      </c>
      <c r="AX75" s="526">
        <f>AX67-AX70</f>
        <v>0</v>
      </c>
      <c r="AY75" s="526">
        <f>AY67-AY70</f>
        <v>0</v>
      </c>
      <c r="AZ75" s="526">
        <f>AZ67-AZ70</f>
        <v>0</v>
      </c>
      <c r="BA75" s="526">
        <f>BA67-BA70</f>
        <v>0</v>
      </c>
      <c r="BB75" s="526">
        <f>BB67-BB70</f>
        <v>0</v>
      </c>
      <c r="BC75" s="73"/>
      <c r="BF75" s="1198" t="s">
        <v>671</v>
      </c>
    </row>
    <row customHeight="1" ht="16.672500000000003" hidden="1">
      <c r="E76" s="797">
        <v>17.1</v>
      </c>
      <c r="F76" s="922" cm="1" t="str">
        <f t="array" ref="F76:F76">OFFSET(G76,-1,-1)</f>
        <v>0</v>
      </c>
      <c r="T76" s="808" cm="1" t="str">
        <f t="array" ref="T76:T76">T75</f>
        <v>false</v>
      </c>
      <c r="AB76" s="847" t="str">
        <f>AB75&amp;".1"</f>
        <v>9.1</v>
      </c>
      <c r="AC76" s="559" t="s">
        <v>603</v>
      </c>
      <c r="AD76" s="170" t="s">
        <v>599</v>
      </c>
      <c r="AE76" s="77">
        <f>AE68-AE71</f>
        <v>0</v>
      </c>
      <c r="AF76" s="77">
        <f>AF68-AF71</f>
        <v>0</v>
      </c>
      <c r="AG76" s="77">
        <f>AG68-AG71</f>
        <v>0</v>
      </c>
      <c r="AH76" s="77">
        <f>AH68-AH71</f>
        <v>0</v>
      </c>
      <c r="AI76" s="1715">
        <f>AI68-AI71</f>
        <v>0</v>
      </c>
      <c r="AJ76" s="77">
        <f>AJ68-AJ71</f>
        <v>0</v>
      </c>
      <c r="AK76" s="77">
        <f>AK68-AK71</f>
        <v>0</v>
      </c>
      <c r="AL76" s="77">
        <f>AL68-AL71</f>
        <v>0</v>
      </c>
      <c r="AM76" s="77">
        <f>AM68-AM71</f>
        <v>0</v>
      </c>
      <c r="AN76" s="77">
        <f>AN68-AN71</f>
        <v>0</v>
      </c>
      <c r="AO76" s="77">
        <f>AO68-AO71</f>
        <v>0</v>
      </c>
      <c r="AP76" s="77">
        <f>AP68-AP71</f>
        <v>0</v>
      </c>
      <c r="AQ76" s="77">
        <f>AQ68-AQ71</f>
        <v>0</v>
      </c>
      <c r="AR76" s="77">
        <f>AR68-AR71</f>
        <v>0</v>
      </c>
      <c r="AS76" s="1715">
        <f>AS68-AS71</f>
        <v>0</v>
      </c>
      <c r="AT76" s="77">
        <f>AT68-AT71</f>
        <v>0</v>
      </c>
      <c r="AU76" s="77">
        <f>AU68-AU71</f>
        <v>0</v>
      </c>
      <c r="AV76" s="77">
        <f>AV68-AV71</f>
        <v>0</v>
      </c>
      <c r="AW76" s="77">
        <f>AW68-AW71</f>
        <v>0</v>
      </c>
      <c r="AX76" s="77">
        <f>AX68-AX71</f>
        <v>0</v>
      </c>
      <c r="AY76" s="77">
        <f>AY68-AY71</f>
        <v>0</v>
      </c>
      <c r="AZ76" s="77">
        <f>AZ68-AZ71</f>
        <v>0</v>
      </c>
      <c r="BA76" s="77">
        <f>BA68-BA71</f>
        <v>0</v>
      </c>
      <c r="BB76" s="77">
        <f>BB68-BB71</f>
        <v>0</v>
      </c>
      <c r="BC76" s="73"/>
      <c r="BF76" s="1198" t="s">
        <v>672</v>
      </c>
    </row>
    <row customHeight="1" ht="16.672500000000003" hidden="1">
      <c r="E77" s="797">
        <v>17.1</v>
      </c>
      <c r="F77" s="922" cm="1" t="str">
        <f t="array" ref="F77:F77">OFFSET(G77,-1,-1)</f>
        <v>0</v>
      </c>
      <c r="T77" s="808" cm="1" t="str">
        <f t="array" ref="T77:T77">T76</f>
        <v>false</v>
      </c>
      <c r="AB77" s="847" t="str">
        <f>AB76&amp;".1"</f>
        <v>9.1.1</v>
      </c>
      <c r="AC77" s="684" t="s">
        <v>641</v>
      </c>
      <c r="AD77" s="170" t="s">
        <v>599</v>
      </c>
      <c r="AE77" s="77"/>
      <c r="AF77" s="77"/>
      <c r="AG77" s="77"/>
      <c r="AH77" s="77"/>
      <c r="AI77" s="1715"/>
      <c r="AJ77" s="77"/>
      <c r="AK77" s="77"/>
      <c r="AL77" s="77"/>
      <c r="AM77" s="77"/>
      <c r="AN77" s="77"/>
      <c r="AO77" s="77"/>
      <c r="AP77" s="77"/>
      <c r="AQ77" s="77"/>
      <c r="AR77" s="77"/>
      <c r="AS77" s="1715"/>
      <c r="AT77" s="77"/>
      <c r="AU77" s="77"/>
      <c r="AV77" s="77"/>
      <c r="AW77" s="77"/>
      <c r="AX77" s="77"/>
      <c r="AY77" s="77"/>
      <c r="AZ77" s="77"/>
      <c r="BA77" s="77"/>
      <c r="BB77" s="77"/>
      <c r="BC77" s="73"/>
      <c r="BF77" s="1198" t="s">
        <v>673</v>
      </c>
    </row>
    <row customHeight="1" ht="16.672500000000003" hidden="1">
      <c r="E78" s="797">
        <v>17.1</v>
      </c>
      <c r="F78" s="922" cm="1" t="str">
        <f t="array" ref="F78:F78">OFFSET(G78,-1,-1)</f>
        <v>0</v>
      </c>
      <c r="T78" s="808" cm="1" t="str">
        <f t="array" ref="T78:T78">T77</f>
        <v>false</v>
      </c>
      <c r="AB78" s="847" t="str">
        <f>AB76&amp;".2"</f>
        <v>9.1.2</v>
      </c>
      <c r="AC78" s="685" t="s">
        <v>643</v>
      </c>
      <c r="AD78" s="170" t="s">
        <v>599</v>
      </c>
      <c r="AE78" s="81">
        <f>AE79+AE80+AE81+AE82</f>
        <v>0</v>
      </c>
      <c r="AF78" s="81">
        <f>AF79+AF80+AF81+AF82</f>
        <v>0</v>
      </c>
      <c r="AG78" s="81">
        <f>AG79+AG80+AG81+AG82</f>
        <v>0</v>
      </c>
      <c r="AH78" s="81">
        <f>AH79+AH80+AH81+AH82</f>
        <v>0</v>
      </c>
      <c r="AI78" s="1717">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717">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8" t="s">
        <v>674</v>
      </c>
    </row>
    <row customHeight="1" ht="16.672500000000003" hidden="1">
      <c r="E79" s="797">
        <v>17.1</v>
      </c>
      <c r="F79" s="922" cm="1" t="str">
        <f t="array" ref="F79:F79">OFFSET(G79,-1,-1)</f>
        <v>0</v>
      </c>
      <c r="T79" s="808" cm="1" t="str">
        <f t="array" ref="T79:T79">T78</f>
        <v>false</v>
      </c>
      <c r="AB79" s="847" t="str">
        <f>AB78&amp;".1"</f>
        <v>9.1.2.1</v>
      </c>
      <c r="AC79" s="686" t="s">
        <v>645</v>
      </c>
      <c r="AD79" s="413" t="s">
        <v>599</v>
      </c>
      <c r="AE79" s="82"/>
      <c r="AF79" s="82"/>
      <c r="AG79" s="82"/>
      <c r="AH79" s="82"/>
      <c r="AI79" s="1718"/>
      <c r="AJ79" s="82"/>
      <c r="AK79" s="82"/>
      <c r="AL79" s="82"/>
      <c r="AM79" s="82"/>
      <c r="AN79" s="82"/>
      <c r="AO79" s="82"/>
      <c r="AP79" s="82"/>
      <c r="AQ79" s="82"/>
      <c r="AR79" s="82"/>
      <c r="AS79" s="1718"/>
      <c r="AT79" s="82"/>
      <c r="AU79" s="82"/>
      <c r="AV79" s="82"/>
      <c r="AW79" s="82"/>
      <c r="AX79" s="82"/>
      <c r="AY79" s="82"/>
      <c r="AZ79" s="82"/>
      <c r="BA79" s="82"/>
      <c r="BB79" s="82"/>
      <c r="BC79" s="73"/>
      <c r="BF79" s="1198" t="s">
        <v>675</v>
      </c>
    </row>
    <row customHeight="1" ht="16.672500000000003" hidden="1">
      <c r="E80" s="797">
        <v>17.1</v>
      </c>
      <c r="F80" s="922" cm="1" t="str">
        <f t="array" ref="F80:F80">OFFSET(G80,-1,-1)</f>
        <v>0</v>
      </c>
      <c r="T80" s="808" cm="1" t="str">
        <f t="array" ref="T80:T80">T79</f>
        <v>false</v>
      </c>
      <c r="AB80" s="847" t="str">
        <f>AB78&amp;".2"</f>
        <v>9.1.2.2</v>
      </c>
      <c r="AC80" s="687" t="s">
        <v>647</v>
      </c>
      <c r="AD80" s="170" t="s">
        <v>599</v>
      </c>
      <c r="AE80" s="77"/>
      <c r="AF80" s="77"/>
      <c r="AG80" s="77"/>
      <c r="AH80" s="77"/>
      <c r="AI80" s="1715"/>
      <c r="AJ80" s="77"/>
      <c r="AK80" s="77"/>
      <c r="AL80" s="77"/>
      <c r="AM80" s="77"/>
      <c r="AN80" s="77"/>
      <c r="AO80" s="77"/>
      <c r="AP80" s="77"/>
      <c r="AQ80" s="77"/>
      <c r="AR80" s="77"/>
      <c r="AS80" s="1715"/>
      <c r="AT80" s="77"/>
      <c r="AU80" s="77"/>
      <c r="AV80" s="77"/>
      <c r="AW80" s="77"/>
      <c r="AX80" s="77"/>
      <c r="AY80" s="77"/>
      <c r="AZ80" s="77"/>
      <c r="BA80" s="77"/>
      <c r="BB80" s="77"/>
      <c r="BC80" s="73"/>
      <c r="BF80" s="1198" t="s">
        <v>676</v>
      </c>
    </row>
    <row customHeight="1" ht="16.672500000000003" hidden="1">
      <c r="E81" s="797">
        <v>17.1</v>
      </c>
      <c r="F81" s="922" cm="1" t="str">
        <f t="array" ref="F81:F81">OFFSET(G81,-1,-1)</f>
        <v>0</v>
      </c>
      <c r="T81" s="808" cm="1" t="str">
        <f t="array" ref="T81:T81">T80</f>
        <v>false</v>
      </c>
      <c r="AB81" s="847" t="str">
        <f>AB78&amp;".3"</f>
        <v>9.1.2.3</v>
      </c>
      <c r="AC81" s="687" t="s">
        <v>649</v>
      </c>
      <c r="AD81" s="170" t="s">
        <v>599</v>
      </c>
      <c r="AE81" s="78"/>
      <c r="AF81" s="78"/>
      <c r="AG81" s="78"/>
      <c r="AH81" s="78"/>
      <c r="AI81" s="1716"/>
      <c r="AJ81" s="78"/>
      <c r="AK81" s="78"/>
      <c r="AL81" s="78"/>
      <c r="AM81" s="78"/>
      <c r="AN81" s="78"/>
      <c r="AO81" s="78"/>
      <c r="AP81" s="78"/>
      <c r="AQ81" s="78"/>
      <c r="AR81" s="78"/>
      <c r="AS81" s="1716"/>
      <c r="AT81" s="78"/>
      <c r="AU81" s="78"/>
      <c r="AV81" s="78"/>
      <c r="AW81" s="78"/>
      <c r="AX81" s="78"/>
      <c r="AY81" s="78"/>
      <c r="AZ81" s="78"/>
      <c r="BA81" s="78"/>
      <c r="BB81" s="78"/>
      <c r="BC81" s="73"/>
      <c r="BF81" s="1198" t="s">
        <v>677</v>
      </c>
    </row>
    <row customHeight="1" ht="16.672500000000003" hidden="1">
      <c r="E82" s="797">
        <v>17.1</v>
      </c>
      <c r="F82" s="922" cm="1" t="str">
        <f t="array" ref="F82:F82">OFFSET(G82,-1,-1)</f>
        <v>0</v>
      </c>
      <c r="T82" s="808" cm="1" t="str">
        <f t="array" ref="T82:T82">T81</f>
        <v>false</v>
      </c>
      <c r="AB82" s="847" t="str">
        <f>AB78&amp;".4"</f>
        <v>9.1.2.4</v>
      </c>
      <c r="AC82" s="687" t="s">
        <v>651</v>
      </c>
      <c r="AD82" s="413" t="s">
        <v>599</v>
      </c>
      <c r="AE82" s="74"/>
      <c r="AF82" s="76"/>
      <c r="AG82" s="74"/>
      <c r="AH82" s="74"/>
      <c r="AI82" s="1713"/>
      <c r="AJ82" s="74"/>
      <c r="AK82" s="74"/>
      <c r="AL82" s="74"/>
      <c r="AM82" s="74"/>
      <c r="AN82" s="74"/>
      <c r="AO82" s="74"/>
      <c r="AP82" s="74"/>
      <c r="AQ82" s="74"/>
      <c r="AR82" s="74"/>
      <c r="AS82" s="1713"/>
      <c r="AT82" s="74"/>
      <c r="AU82" s="74"/>
      <c r="AV82" s="74"/>
      <c r="AW82" s="74"/>
      <c r="AX82" s="74"/>
      <c r="AY82" s="74"/>
      <c r="AZ82" s="74"/>
      <c r="BA82" s="74"/>
      <c r="BB82" s="74"/>
      <c r="BC82" s="73"/>
      <c r="BF82" s="1198" t="s">
        <v>678</v>
      </c>
    </row>
    <row customHeight="1" ht="16.672500000000003" hidden="1">
      <c r="E83" s="797">
        <v>17.1</v>
      </c>
      <c r="F83" s="922" cm="1" t="str">
        <f t="array" ref="F83:F83">OFFSET(G83,-1,-1)</f>
        <v>0</v>
      </c>
      <c r="T83" s="808" cm="1" t="str">
        <f t="array" ref="T83:T83">T82</f>
        <v>false</v>
      </c>
      <c r="AB83" s="847" t="str">
        <f>AB75&amp;".2"</f>
        <v>9.2</v>
      </c>
      <c r="AC83" s="559" t="s">
        <v>605</v>
      </c>
      <c r="AD83" s="413" t="s">
        <v>599</v>
      </c>
      <c r="AE83" s="74">
        <f>AE69-AE73</f>
        <v>0</v>
      </c>
      <c r="AF83" s="74">
        <f>AF69-AF73</f>
        <v>0</v>
      </c>
      <c r="AG83" s="74">
        <f>AG69-AG73</f>
        <v>0</v>
      </c>
      <c r="AH83" s="74">
        <f>AH69-AH73</f>
        <v>0</v>
      </c>
      <c r="AI83" s="1713">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1713">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8" t="s">
        <v>679</v>
      </c>
    </row>
    <row customHeight="1" ht="16.672500000000003" hidden="1">
      <c r="E84" s="797">
        <v>17.1</v>
      </c>
      <c r="F84" s="922" cm="1" t="str">
        <f t="array" ref="F84:F84">OFFSET(G84,-1,-1)</f>
        <v>0</v>
      </c>
      <c r="T84" s="808" cm="1" t="str">
        <f t="array" ref="T84:T84">T83</f>
        <v>false</v>
      </c>
      <c r="AB84" s="487" t="s">
        <v>680</v>
      </c>
      <c r="AC84" s="684" t="s">
        <v>641</v>
      </c>
      <c r="AD84" s="413" t="s">
        <v>599</v>
      </c>
      <c r="AE84" s="74"/>
      <c r="AF84" s="74"/>
      <c r="AG84" s="74"/>
      <c r="AH84" s="74"/>
      <c r="AI84" s="1713"/>
      <c r="AJ84" s="74"/>
      <c r="AK84" s="74"/>
      <c r="AL84" s="74"/>
      <c r="AM84" s="74"/>
      <c r="AN84" s="74"/>
      <c r="AO84" s="74"/>
      <c r="AP84" s="74"/>
      <c r="AQ84" s="74"/>
      <c r="AR84" s="74"/>
      <c r="AS84" s="1713"/>
      <c r="AT84" s="74"/>
      <c r="AU84" s="74"/>
      <c r="AV84" s="74"/>
      <c r="AW84" s="74"/>
      <c r="AX84" s="74"/>
      <c r="AY84" s="74"/>
      <c r="AZ84" s="74"/>
      <c r="BA84" s="74"/>
      <c r="BB84" s="74"/>
      <c r="BC84" s="73"/>
      <c r="BF84" s="1198" t="s">
        <v>681</v>
      </c>
    </row>
    <row customHeight="1" ht="16.672500000000003" hidden="1">
      <c r="E85" s="797">
        <v>17.1</v>
      </c>
      <c r="F85" s="922" cm="1" t="str">
        <f t="array" ref="F85:F85">OFFSET(G85,-1,-1)</f>
        <v>0</v>
      </c>
      <c r="T85" s="808" cm="1" t="str">
        <f t="array" ref="T85:T85">T84</f>
        <v>false</v>
      </c>
      <c r="AB85" s="488" t="s">
        <v>682</v>
      </c>
      <c r="AC85" s="685" t="s">
        <v>643</v>
      </c>
      <c r="AD85" s="170" t="s">
        <v>599</v>
      </c>
      <c r="AE85" s="690">
        <f>SUM(AE86:AE89)</f>
        <v>0</v>
      </c>
      <c r="AF85" s="690">
        <f>SUM(AF86:AF89)</f>
        <v>0</v>
      </c>
      <c r="AG85" s="690">
        <f>SUM(AG86:AG89)</f>
        <v>0</v>
      </c>
      <c r="AH85" s="690">
        <f>SUM(AH86:AH89)</f>
        <v>0</v>
      </c>
      <c r="AI85" s="690">
        <f>SUM(AI86:AI89)</f>
        <v>0</v>
      </c>
      <c r="AJ85" s="690">
        <f>SUM(AJ86:AJ89)</f>
        <v>0</v>
      </c>
      <c r="AK85" s="690">
        <f>SUM(AK86:AK89)</f>
        <v>0</v>
      </c>
      <c r="AL85" s="690">
        <f>SUM(AL86:AL89)</f>
        <v>0</v>
      </c>
      <c r="AM85" s="690">
        <f>SUM(AM86:AM89)</f>
        <v>0</v>
      </c>
      <c r="AN85" s="690">
        <f>SUM(AN86:AN89)</f>
        <v>0</v>
      </c>
      <c r="AO85" s="690">
        <f>SUM(AO86:AO89)</f>
        <v>0</v>
      </c>
      <c r="AP85" s="690">
        <f>SUM(AP86:AP89)</f>
        <v>0</v>
      </c>
      <c r="AQ85" s="690">
        <f>SUM(AQ86:AQ89)</f>
        <v>0</v>
      </c>
      <c r="AR85" s="690">
        <f>SUM(AR86:AR89)</f>
        <v>0</v>
      </c>
      <c r="AS85" s="690">
        <f>SUM(AS86:AS89)</f>
        <v>0</v>
      </c>
      <c r="AT85" s="690">
        <f>SUM(AT86:AT89)</f>
        <v>0</v>
      </c>
      <c r="AU85" s="690">
        <f>SUM(AU86:AU89)</f>
        <v>0</v>
      </c>
      <c r="AV85" s="690">
        <f>SUM(AV86:AV89)</f>
        <v>0</v>
      </c>
      <c r="AW85" s="690">
        <f>SUM(AW86:AW89)</f>
        <v>0</v>
      </c>
      <c r="AX85" s="690">
        <f>SUM(AX86:AX89)</f>
        <v>0</v>
      </c>
      <c r="AY85" s="690">
        <f>SUM(AY86:AY89)</f>
        <v>0</v>
      </c>
      <c r="AZ85" s="690">
        <f>SUM(AZ86:AZ89)</f>
        <v>0</v>
      </c>
      <c r="BA85" s="690">
        <f>SUM(BA86:BA89)</f>
        <v>0</v>
      </c>
      <c r="BB85" s="690">
        <f>SUM(BB86:BB89)</f>
        <v>0</v>
      </c>
      <c r="BC85" s="73"/>
      <c r="BF85" s="1198" t="s">
        <v>683</v>
      </c>
    </row>
    <row customHeight="1" ht="16.672500000000003" hidden="1">
      <c r="E86" s="797">
        <v>17.1</v>
      </c>
      <c r="F86" s="922" cm="1" t="str">
        <f t="array" ref="F86:F86">OFFSET(G86,-1,-1)</f>
        <v>0</v>
      </c>
      <c r="T86" s="808" cm="1" t="str">
        <f t="array" ref="T86:T86">T85</f>
        <v>false</v>
      </c>
      <c r="AB86" s="487" t="s">
        <v>684</v>
      </c>
      <c r="AC86" s="686" t="s">
        <v>645</v>
      </c>
      <c r="AD86" s="413" t="s">
        <v>599</v>
      </c>
      <c r="AE86" s="82"/>
      <c r="AF86" s="82"/>
      <c r="AG86" s="82"/>
      <c r="AH86" s="82"/>
      <c r="AI86" s="1718"/>
      <c r="AJ86" s="82"/>
      <c r="AK86" s="82"/>
      <c r="AL86" s="82"/>
      <c r="AM86" s="82"/>
      <c r="AN86" s="82"/>
      <c r="AO86" s="82"/>
      <c r="AP86" s="82"/>
      <c r="AQ86" s="82"/>
      <c r="AR86" s="82"/>
      <c r="AS86" s="1718"/>
      <c r="AT86" s="82"/>
      <c r="AU86" s="82"/>
      <c r="AV86" s="82"/>
      <c r="AW86" s="82"/>
      <c r="AX86" s="82"/>
      <c r="AY86" s="82"/>
      <c r="AZ86" s="82"/>
      <c r="BA86" s="82"/>
      <c r="BB86" s="82"/>
      <c r="BC86" s="73"/>
      <c r="BF86" s="1198" t="s">
        <v>685</v>
      </c>
    </row>
    <row customHeight="1" ht="16.672500000000003" hidden="1">
      <c r="E87" s="797">
        <v>17.1</v>
      </c>
      <c r="F87" s="922" cm="1" t="str">
        <f t="array" ref="F87:F87">OFFSET(G87,-1,-1)</f>
        <v>0</v>
      </c>
      <c r="T87" s="808" cm="1" t="str">
        <f t="array" ref="T87:T87">T86</f>
        <v>false</v>
      </c>
      <c r="AB87" s="487" t="s">
        <v>686</v>
      </c>
      <c r="AC87" s="687" t="s">
        <v>647</v>
      </c>
      <c r="AD87" s="170" t="s">
        <v>599</v>
      </c>
      <c r="AE87" s="78"/>
      <c r="AF87" s="78"/>
      <c r="AG87" s="78"/>
      <c r="AH87" s="78"/>
      <c r="AI87" s="1716"/>
      <c r="AJ87" s="78"/>
      <c r="AK87" s="78"/>
      <c r="AL87" s="78"/>
      <c r="AM87" s="78"/>
      <c r="AN87" s="78"/>
      <c r="AO87" s="78"/>
      <c r="AP87" s="78"/>
      <c r="AQ87" s="78"/>
      <c r="AR87" s="78"/>
      <c r="AS87" s="1716"/>
      <c r="AT87" s="78"/>
      <c r="AU87" s="78"/>
      <c r="AV87" s="78"/>
      <c r="AW87" s="78"/>
      <c r="AX87" s="78"/>
      <c r="AY87" s="78"/>
      <c r="AZ87" s="78"/>
      <c r="BA87" s="78"/>
      <c r="BB87" s="78"/>
      <c r="BC87" s="73"/>
      <c r="BF87" s="1198" t="s">
        <v>687</v>
      </c>
    </row>
    <row customHeight="1" ht="16.672500000000003" hidden="1">
      <c r="E88" s="797">
        <v>17.1</v>
      </c>
      <c r="F88" s="922" cm="1" t="str">
        <f t="array" ref="F88:F88">OFFSET(G88,-1,-1)</f>
        <v>0</v>
      </c>
      <c r="T88" s="808" cm="1" t="str">
        <f t="array" ref="T88:T88">T87</f>
        <v>false</v>
      </c>
      <c r="AB88" s="858" t="s">
        <v>688</v>
      </c>
      <c r="AC88" s="687" t="s">
        <v>649</v>
      </c>
      <c r="AD88" s="413" t="s">
        <v>599</v>
      </c>
      <c r="AE88" s="74"/>
      <c r="AF88" s="74"/>
      <c r="AG88" s="74"/>
      <c r="AH88" s="74"/>
      <c r="AI88" s="1713"/>
      <c r="AJ88" s="74"/>
      <c r="AK88" s="74"/>
      <c r="AL88" s="74"/>
      <c r="AM88" s="74"/>
      <c r="AN88" s="74"/>
      <c r="AO88" s="74"/>
      <c r="AP88" s="74"/>
      <c r="AQ88" s="74"/>
      <c r="AR88" s="74"/>
      <c r="AS88" s="1713"/>
      <c r="AT88" s="74"/>
      <c r="AU88" s="74"/>
      <c r="AV88" s="74"/>
      <c r="AW88" s="74"/>
      <c r="AX88" s="74"/>
      <c r="AY88" s="74"/>
      <c r="AZ88" s="74"/>
      <c r="BA88" s="74"/>
      <c r="BB88" s="74"/>
      <c r="BC88" s="73"/>
      <c r="BF88" s="1198" t="s">
        <v>689</v>
      </c>
    </row>
    <row customHeight="1" ht="16.672500000000003" hidden="1">
      <c r="E89" s="797">
        <v>17.1</v>
      </c>
      <c r="F89" s="922" cm="1" t="str">
        <f t="array" ref="F89:F89">OFFSET(G89,-1,-1)</f>
        <v>0</v>
      </c>
      <c r="T89" s="808" cm="1" t="str">
        <f t="array" ref="T89:T89">T88</f>
        <v>false</v>
      </c>
      <c r="AB89" s="859" t="s">
        <v>690</v>
      </c>
      <c r="AC89" s="687" t="s">
        <v>651</v>
      </c>
      <c r="AD89" s="413" t="s">
        <v>599</v>
      </c>
      <c r="AE89" s="74"/>
      <c r="AF89" s="74"/>
      <c r="AG89" s="74"/>
      <c r="AH89" s="74"/>
      <c r="AI89" s="1713"/>
      <c r="AJ89" s="74"/>
      <c r="AK89" s="74"/>
      <c r="AL89" s="74"/>
      <c r="AM89" s="74"/>
      <c r="AN89" s="74"/>
      <c r="AO89" s="74"/>
      <c r="AP89" s="74"/>
      <c r="AQ89" s="74"/>
      <c r="AR89" s="74"/>
      <c r="AS89" s="1713"/>
      <c r="AT89" s="74"/>
      <c r="AU89" s="74"/>
      <c r="AV89" s="74"/>
      <c r="AW89" s="74"/>
      <c r="AX89" s="74"/>
      <c r="AY89" s="74"/>
      <c r="AZ89" s="74"/>
      <c r="BA89" s="74"/>
      <c r="BB89" s="74"/>
      <c r="BC89" s="73"/>
      <c r="BF89" s="1198" t="s">
        <v>691</v>
      </c>
    </row>
    <row customHeight="1" ht="24.862499999999997" hidden="1">
      <c r="E90" s="797">
        <v>25.5</v>
      </c>
      <c r="F90" s="922" cm="1" t="str">
        <f t="array" ref="F90:F90">OFFSET(G90,-1,-1)</f>
        <v>0</v>
      </c>
      <c r="O90" s="739" t="s">
        <v>692</v>
      </c>
      <c r="T90" s="808">
        <f>AND(T89,H28="двухставочный")</f>
        <v>0</v>
      </c>
      <c r="AB90" s="325" t="s">
        <v>693</v>
      </c>
      <c r="AC90" s="597" t="s">
        <v>694</v>
      </c>
      <c r="AD90" s="511" t="s">
        <v>695</v>
      </c>
      <c r="AE90" s="688">
        <f>SUM(AE91:AE94)</f>
        <v>0</v>
      </c>
      <c r="AF90" s="367">
        <f>SUM(AF91:AF94)</f>
        <v>0</v>
      </c>
      <c r="AG90" s="367">
        <f>SUM(AG91:AG94)</f>
        <v>0</v>
      </c>
      <c r="AH90" s="367">
        <f>SUM(AH91:AH94)</f>
        <v>0</v>
      </c>
      <c r="AI90" s="367">
        <f>SUM(AI91:AI94)</f>
        <v>0</v>
      </c>
      <c r="AJ90" s="367">
        <f>SUM(AJ91:AJ94)</f>
        <v>0</v>
      </c>
      <c r="AK90" s="367">
        <f>SUM(AK91:AK94)</f>
        <v>0</v>
      </c>
      <c r="AL90" s="367">
        <f>SUM(AL91:AL94)</f>
        <v>0</v>
      </c>
      <c r="AM90" s="367">
        <f>SUM(AM91:AM94)</f>
        <v>0</v>
      </c>
      <c r="AN90" s="367">
        <f>SUM(AN91:AN94)</f>
        <v>0</v>
      </c>
      <c r="AO90" s="367">
        <f>SUM(AO91:AO94)</f>
        <v>0</v>
      </c>
      <c r="AP90" s="367">
        <f>SUM(AP91:AP94)</f>
        <v>0</v>
      </c>
      <c r="AQ90" s="367">
        <f>SUM(AQ91:AQ94)</f>
        <v>0</v>
      </c>
      <c r="AR90" s="367">
        <f>SUM(AR91:AR94)</f>
        <v>0</v>
      </c>
      <c r="AS90" s="367">
        <f>SUM(AS91:AS94)</f>
        <v>0</v>
      </c>
      <c r="AT90" s="367">
        <f>SUM(AT91:AT94)</f>
        <v>0</v>
      </c>
      <c r="AU90" s="367">
        <f>SUM(AU91:AU94)</f>
        <v>0</v>
      </c>
      <c r="AV90" s="367">
        <f>SUM(AV91:AV94)</f>
        <v>0</v>
      </c>
      <c r="AW90" s="367">
        <f>SUM(AW91:AW94)</f>
        <v>0</v>
      </c>
      <c r="AX90" s="367">
        <f>SUM(AX91:AX94)</f>
        <v>0</v>
      </c>
      <c r="AY90" s="367">
        <f>SUM(AY91:AY94)</f>
        <v>0</v>
      </c>
      <c r="AZ90" s="367">
        <f>SUM(AZ91:AZ94)</f>
        <v>0</v>
      </c>
      <c r="BA90" s="367">
        <f>SUM(BA91:BA94)</f>
        <v>0</v>
      </c>
      <c r="BB90" s="367">
        <f>SUM(BB91:BB94)</f>
        <v>0</v>
      </c>
      <c r="BC90" s="73"/>
      <c r="BF90" s="1198" t="s">
        <v>696</v>
      </c>
    </row>
    <row customHeight="1" ht="16.672500000000003" hidden="1">
      <c r="E91" s="797">
        <v>17.1</v>
      </c>
      <c r="F91" s="922" cm="1" t="str">
        <f t="array" ref="F91:F91">OFFSET(G91,-1,-1)</f>
        <v>0</v>
      </c>
      <c r="O91" s="739" t="s">
        <v>692</v>
      </c>
      <c r="T91" s="808" cm="1" t="str">
        <f t="array" ref="T91:T91">T90</f>
        <v>false</v>
      </c>
      <c r="AB91" s="847" t="str">
        <f>AB90&amp;".1"</f>
        <v>10.1</v>
      </c>
      <c r="AC91" s="564" t="s">
        <v>645</v>
      </c>
      <c r="AD91" s="511" t="s">
        <v>695</v>
      </c>
      <c r="AE91" s="74"/>
      <c r="AF91" s="74"/>
      <c r="AG91" s="74"/>
      <c r="AH91" s="74"/>
      <c r="AI91" s="1713"/>
      <c r="AJ91" s="74"/>
      <c r="AK91" s="74"/>
      <c r="AL91" s="74"/>
      <c r="AM91" s="74"/>
      <c r="AN91" s="74"/>
      <c r="AO91" s="74"/>
      <c r="AP91" s="74"/>
      <c r="AQ91" s="74"/>
      <c r="AR91" s="74"/>
      <c r="AS91" s="1713"/>
      <c r="AT91" s="74"/>
      <c r="AU91" s="74"/>
      <c r="AV91" s="74"/>
      <c r="AW91" s="74"/>
      <c r="AX91" s="74"/>
      <c r="AY91" s="74"/>
      <c r="AZ91" s="74"/>
      <c r="BA91" s="74"/>
      <c r="BB91" s="83"/>
      <c r="BC91" s="73"/>
      <c r="BF91" s="1198" t="s">
        <v>697</v>
      </c>
    </row>
    <row customHeight="1" ht="16.672500000000003" hidden="1">
      <c r="E92" s="797">
        <v>17.1</v>
      </c>
      <c r="F92" s="922" cm="1" t="str">
        <f t="array" ref="F92:F92">OFFSET(G92,-1,-1)</f>
        <v>0</v>
      </c>
      <c r="O92" s="739" t="s">
        <v>692</v>
      </c>
      <c r="T92" s="808" cm="1" t="str">
        <f t="array" ref="T92:T92">T91</f>
        <v>false</v>
      </c>
      <c r="AB92" s="847" t="str">
        <f>AB90&amp;".2"</f>
        <v>10.2</v>
      </c>
      <c r="AC92" s="418" t="s">
        <v>647</v>
      </c>
      <c r="AD92" s="511" t="s">
        <v>695</v>
      </c>
      <c r="AE92" s="74"/>
      <c r="AF92" s="74"/>
      <c r="AG92" s="74"/>
      <c r="AH92" s="74"/>
      <c r="AI92" s="1713"/>
      <c r="AJ92" s="74"/>
      <c r="AK92" s="74"/>
      <c r="AL92" s="74"/>
      <c r="AM92" s="74"/>
      <c r="AN92" s="74"/>
      <c r="AO92" s="74"/>
      <c r="AP92" s="74"/>
      <c r="AQ92" s="74"/>
      <c r="AR92" s="74"/>
      <c r="AS92" s="1713"/>
      <c r="AT92" s="74"/>
      <c r="AU92" s="74"/>
      <c r="AV92" s="74"/>
      <c r="AW92" s="74"/>
      <c r="AX92" s="74"/>
      <c r="AY92" s="74"/>
      <c r="AZ92" s="74"/>
      <c r="BA92" s="74"/>
      <c r="BB92" s="83"/>
      <c r="BC92" s="73"/>
      <c r="BF92" s="1198" t="s">
        <v>698</v>
      </c>
    </row>
    <row customHeight="1" ht="16.672500000000003" hidden="1">
      <c r="E93" s="797">
        <v>17.1</v>
      </c>
      <c r="F93" s="922" cm="1" t="str">
        <f t="array" ref="F93:F93">OFFSET(G93,-1,-1)</f>
        <v>0</v>
      </c>
      <c r="O93" s="739" t="s">
        <v>692</v>
      </c>
      <c r="T93" s="808" cm="1" t="str">
        <f t="array" ref="T93:T93">T92</f>
        <v>false</v>
      </c>
      <c r="AB93" s="847" t="str">
        <f>AB90&amp;".3"</f>
        <v>10.3</v>
      </c>
      <c r="AC93" s="418" t="s">
        <v>649</v>
      </c>
      <c r="AD93" s="511" t="s">
        <v>695</v>
      </c>
      <c r="AE93" s="74"/>
      <c r="AF93" s="74"/>
      <c r="AG93" s="74"/>
      <c r="AH93" s="74"/>
      <c r="AI93" s="1713"/>
      <c r="AJ93" s="74"/>
      <c r="AK93" s="74"/>
      <c r="AL93" s="74"/>
      <c r="AM93" s="74"/>
      <c r="AN93" s="74"/>
      <c r="AO93" s="74"/>
      <c r="AP93" s="74"/>
      <c r="AQ93" s="74"/>
      <c r="AR93" s="74"/>
      <c r="AS93" s="1713"/>
      <c r="AT93" s="74"/>
      <c r="AU93" s="74"/>
      <c r="AV93" s="74"/>
      <c r="AW93" s="74"/>
      <c r="AX93" s="74"/>
      <c r="AY93" s="74"/>
      <c r="AZ93" s="74"/>
      <c r="BA93" s="74"/>
      <c r="BB93" s="83"/>
      <c r="BC93" s="73"/>
      <c r="BF93" s="1198" t="s">
        <v>699</v>
      </c>
    </row>
    <row customHeight="1" ht="16.672500000000003" hidden="1">
      <c r="E94" s="797">
        <v>17.1</v>
      </c>
      <c r="F94" s="922" cm="1" t="str">
        <f t="array" ref="F94:F94">OFFSET(G94,-1,-1)</f>
        <v>0</v>
      </c>
      <c r="O94" s="739" t="s">
        <v>692</v>
      </c>
      <c r="T94" s="808" cm="1" t="str">
        <f t="array" ref="T94:T94">T93</f>
        <v>false</v>
      </c>
      <c r="AB94" s="847" t="str">
        <f>AB90&amp;".4"</f>
        <v>10.4</v>
      </c>
      <c r="AC94" s="418" t="s">
        <v>651</v>
      </c>
      <c r="AD94" s="599" t="s">
        <v>695</v>
      </c>
      <c r="AE94" s="75"/>
      <c r="AF94" s="75"/>
      <c r="AG94" s="75"/>
      <c r="AH94" s="75"/>
      <c r="AI94" s="1714"/>
      <c r="AJ94" s="75"/>
      <c r="AK94" s="75"/>
      <c r="AL94" s="75"/>
      <c r="AM94" s="75"/>
      <c r="AN94" s="75"/>
      <c r="AO94" s="75"/>
      <c r="AP94" s="75"/>
      <c r="AQ94" s="75"/>
      <c r="AR94" s="75"/>
      <c r="AS94" s="1714"/>
      <c r="AT94" s="75"/>
      <c r="AU94" s="75"/>
      <c r="AV94" s="75"/>
      <c r="AW94" s="75"/>
      <c r="AX94" s="75"/>
      <c r="AY94" s="75"/>
      <c r="AZ94" s="75"/>
      <c r="BA94" s="75"/>
      <c r="BB94" s="84"/>
      <c r="BC94" s="69"/>
      <c r="BF94" s="1198" t="s">
        <v>700</v>
      </c>
    </row>
    <row customHeight="1" ht="52.650000000000006" hidden="1">
      <c r="E95" s="797">
        <v>54</v>
      </c>
      <c r="F95" s="922" cm="1" t="str">
        <f t="array" ref="F95:F95">OFFSET(G95,-1,-1)</f>
        <v>0</v>
      </c>
      <c r="O95" s="739" t="s">
        <v>692</v>
      </c>
      <c r="T95" s="808" cm="1" t="str">
        <f t="array" ref="T95:T95">T94</f>
        <v>false</v>
      </c>
      <c r="AB95" s="325" t="s">
        <v>701</v>
      </c>
      <c r="AC95" s="598" t="s">
        <v>702</v>
      </c>
      <c r="AD95" s="157"/>
      <c r="AE95" s="74"/>
      <c r="AF95" s="74"/>
      <c r="AG95" s="74"/>
      <c r="AH95" s="74"/>
      <c r="AI95" s="1713"/>
      <c r="AJ95" s="74"/>
      <c r="AK95" s="74"/>
      <c r="AL95" s="74"/>
      <c r="AM95" s="74"/>
      <c r="AN95" s="74"/>
      <c r="AO95" s="74"/>
      <c r="AP95" s="74"/>
      <c r="AQ95" s="74"/>
      <c r="AR95" s="74"/>
      <c r="AS95" s="1713"/>
      <c r="AT95" s="74"/>
      <c r="AU95" s="74"/>
      <c r="AV95" s="74"/>
      <c r="AW95" s="74"/>
      <c r="AX95" s="74"/>
      <c r="AY95" s="74"/>
      <c r="AZ95" s="74"/>
      <c r="BA95" s="74"/>
      <c r="BB95" s="74"/>
      <c r="BC95" s="79"/>
      <c r="BF95" s="1198" t="s">
        <v>703</v>
      </c>
    </row>
    <row s="1632" customFormat="1" customHeight="1" ht="10.5">
      <c r="A96" s="1186"/>
      <c r="B96" s="927"/>
      <c r="C96" s="1582"/>
      <c r="D96" s="1582"/>
      <c r="E96" s="797">
        <v>11.4</v>
      </c>
      <c r="F96" s="922" cm="1" t="str">
        <f t="array" ref="F96:F96">X96</f>
        <v>1</v>
      </c>
      <c r="G96" s="213"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3" cm="1" t="str">
        <f t="array" ref="H96:H96">INDEX('Общие сведения'!$AK$169:$AK$202,MATCH($F96,'Общие сведения'!$Z$169:$Z$202,0))</f>
        <v>одноставочный</v>
      </c>
      <c r="I96" s="500"/>
      <c r="J96" s="500"/>
      <c r="K96" s="500"/>
      <c r="L96" s="500"/>
      <c r="M96" s="500"/>
      <c r="N96" s="500"/>
      <c r="O96" s="500"/>
      <c r="P96" s="500"/>
      <c r="Q96" s="500"/>
      <c r="R96" s="500"/>
      <c r="S96" s="500"/>
      <c r="T96" s="808">
        <f>AND(X96&gt;0,G96&lt;&gt;"передача тепловой энергии")</f>
        <v>1</v>
      </c>
      <c r="U96" s="1582"/>
      <c r="V96" s="175" cm="1" t="str">
        <f t="array" ref="V96:V96">'Сценарии (МСА)'!$AB$35</f>
        <v>Тариф 1 (Теплоснабжение) - Тариф на тепловую энергию (мощность), поставляемую потребителям (Не определено)</v>
      </c>
      <c r="W96" s="1582"/>
      <c r="X96" s="175" t="s">
        <v>336</v>
      </c>
      <c r="Y96" s="1582"/>
      <c r="Z96" s="1582"/>
      <c r="AA96" s="500"/>
      <c r="AB96" s="466"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3"/>
      <c r="AD96" s="263"/>
      <c r="AE96" s="263"/>
      <c r="AF96" s="263"/>
      <c r="AG96" s="260"/>
      <c r="AH96" s="260"/>
      <c r="AI96" s="260"/>
      <c r="AJ96" s="260"/>
      <c r="AK96" s="260"/>
      <c r="AL96" s="260"/>
      <c r="AM96" s="260"/>
      <c r="AN96" s="260"/>
      <c r="AO96" s="260"/>
      <c r="AP96" s="260"/>
      <c r="AQ96" s="260"/>
      <c r="AR96" s="260"/>
      <c r="AS96" s="260"/>
      <c r="AT96" s="260"/>
      <c r="AU96" s="260"/>
      <c r="AV96" s="260"/>
      <c r="AW96" s="260"/>
      <c r="AX96" s="260"/>
      <c r="AY96" s="260"/>
      <c r="AZ96" s="260"/>
      <c r="BA96" s="260"/>
      <c r="BB96" s="260"/>
      <c r="BC96" s="260"/>
      <c r="BD96" s="500"/>
      <c r="BE96" s="500"/>
      <c r="BF96" s="1148"/>
    </row>
    <row s="1632" customFormat="1" customHeight="1" ht="16.5">
      <c r="A97" s="1186"/>
      <c r="B97" s="927"/>
      <c r="C97" s="1582"/>
      <c r="D97" s="1582"/>
      <c r="E97" s="797">
        <v>17.1</v>
      </c>
      <c r="F97" s="922" cm="1" t="str">
        <f t="array" ref="F97:F97">OFFSET(G97,-1,-1)</f>
        <v>1</v>
      </c>
      <c r="G97" s="500"/>
      <c r="H97" s="500"/>
      <c r="I97" s="500"/>
      <c r="J97" s="500"/>
      <c r="K97" s="500"/>
      <c r="L97" s="500"/>
      <c r="M97" s="500"/>
      <c r="N97" s="500"/>
      <c r="O97" s="500"/>
      <c r="P97" s="500"/>
      <c r="Q97" s="500"/>
      <c r="R97" s="500"/>
      <c r="S97" s="500"/>
      <c r="T97" s="808" cm="1" t="str">
        <f t="array" ref="T97:T97">T96</f>
        <v>true</v>
      </c>
      <c r="U97" s="1582"/>
      <c r="V97" s="1582"/>
      <c r="W97" s="1582"/>
      <c r="X97" s="1582"/>
      <c r="Y97" s="1582"/>
      <c r="Z97" s="1582"/>
      <c r="AA97" s="500"/>
      <c r="AB97" s="325" t="s">
        <v>336</v>
      </c>
      <c r="AC97" s="163" t="s">
        <v>598</v>
      </c>
      <c r="AD97" s="169" t="s">
        <v>599</v>
      </c>
      <c r="AE97" s="367">
        <f>AE98+AE101+AE104</f>
        <v>8443.64</v>
      </c>
      <c r="AF97" s="367">
        <f>AF98+AF101+AF104</f>
        <v>8456.95</v>
      </c>
      <c r="AG97" s="367">
        <f>AG98+AG101+AG104</f>
        <v>8456.95</v>
      </c>
      <c r="AH97" s="367">
        <f>AH98+AH101+AH104</f>
        <v>7326.65</v>
      </c>
      <c r="AI97" s="367">
        <f>AI98+AI101+AI104</f>
        <v>8296.9</v>
      </c>
      <c r="AJ97" s="367">
        <f>AJ98+AJ101+AJ104</f>
        <v>7326.65</v>
      </c>
      <c r="AK97" s="367">
        <f>AK98+AK101+AK104</f>
        <v>0</v>
      </c>
      <c r="AL97" s="367">
        <f>AL98+AL101+AL104</f>
        <v>0</v>
      </c>
      <c r="AM97" s="367">
        <f>AM98+AM101+AM104</f>
        <v>0</v>
      </c>
      <c r="AN97" s="367">
        <f>AN98+AN101+AN104</f>
        <v>0</v>
      </c>
      <c r="AO97" s="367">
        <f>AO98+AO101+AO104</f>
        <v>0</v>
      </c>
      <c r="AP97" s="367">
        <f>AP98+AP101+AP104</f>
        <v>0</v>
      </c>
      <c r="AQ97" s="367">
        <f>AQ98+AQ101+AQ104</f>
        <v>0</v>
      </c>
      <c r="AR97" s="367">
        <f>AR98+AR101+AR104</f>
        <v>0</v>
      </c>
      <c r="AS97" s="367">
        <f>AS98+AS101+AS104</f>
        <v>7326.65</v>
      </c>
      <c r="AT97" s="367">
        <f>AT98+AT101+AT104</f>
        <v>0</v>
      </c>
      <c r="AU97" s="367">
        <f>AU98+AU101+AU104</f>
        <v>0</v>
      </c>
      <c r="AV97" s="367">
        <f>AV98+AV101+AV104</f>
        <v>0</v>
      </c>
      <c r="AW97" s="367">
        <f>AW98+AW101+AW104</f>
        <v>0</v>
      </c>
      <c r="AX97" s="367">
        <f>AX98+AX101+AX104</f>
        <v>0</v>
      </c>
      <c r="AY97" s="367">
        <f>AY98+AY101+AY104</f>
        <v>0</v>
      </c>
      <c r="AZ97" s="367">
        <f>AZ98+AZ101+AZ104</f>
        <v>0</v>
      </c>
      <c r="BA97" s="367">
        <f>BA98+BA101+BA104</f>
        <v>0</v>
      </c>
      <c r="BB97" s="367">
        <f>BB98+BB101+BB104</f>
        <v>0</v>
      </c>
      <c r="BC97" s="1719"/>
      <c r="BD97" s="500"/>
      <c r="BE97" s="500"/>
      <c r="BF97" s="1198" t="s">
        <v>600</v>
      </c>
    </row>
    <row s="1632" customFormat="1" customHeight="1" ht="16.5">
      <c r="A98" s="1186"/>
      <c r="B98" s="927"/>
      <c r="C98" s="1582"/>
      <c r="D98" s="1582"/>
      <c r="E98" s="797">
        <v>17.1</v>
      </c>
      <c r="F98" s="922" cm="1" t="str">
        <f t="array" ref="F98:F98">OFFSET(G98,-1,-1)</f>
        <v>1</v>
      </c>
      <c r="G98" s="500"/>
      <c r="H98" s="500"/>
      <c r="I98" s="500"/>
      <c r="J98" s="500"/>
      <c r="K98" s="500"/>
      <c r="L98" s="500"/>
      <c r="M98" s="500"/>
      <c r="N98" s="500"/>
      <c r="O98" s="500"/>
      <c r="P98" s="500"/>
      <c r="Q98" s="500"/>
      <c r="R98" s="500"/>
      <c r="S98" s="500"/>
      <c r="T98" s="808" cm="1" t="str">
        <f t="array" ref="T98:T98">T97</f>
        <v>true</v>
      </c>
      <c r="U98" s="1582"/>
      <c r="V98" s="1582"/>
      <c r="W98" s="1582"/>
      <c r="X98" s="1582"/>
      <c r="Y98" s="1582"/>
      <c r="Z98" s="1582"/>
      <c r="AA98" s="500"/>
      <c r="AB98" s="157" t="str">
        <f>AB97&amp;".1"</f>
        <v>1.1</v>
      </c>
      <c r="AC98" s="164" t="s">
        <v>601</v>
      </c>
      <c r="AD98" s="169" t="s">
        <v>599</v>
      </c>
      <c r="AE98" s="367">
        <f>AE99+AE100</f>
        <v>0</v>
      </c>
      <c r="AF98" s="367">
        <f>AF99+AF100</f>
        <v>0</v>
      </c>
      <c r="AG98" s="367">
        <f>AG99+AG100</f>
        <v>0</v>
      </c>
      <c r="AH98" s="367">
        <f>AH99+AH100</f>
        <v>0</v>
      </c>
      <c r="AI98" s="367">
        <f>AI99+AI100</f>
        <v>0</v>
      </c>
      <c r="AJ98" s="367">
        <f>AJ99+AJ100</f>
        <v>0</v>
      </c>
      <c r="AK98" s="367">
        <f>AK99+AK100</f>
        <v>0</v>
      </c>
      <c r="AL98" s="367">
        <f>AL99+AL100</f>
        <v>0</v>
      </c>
      <c r="AM98" s="367">
        <f>AM99+AM100</f>
        <v>0</v>
      </c>
      <c r="AN98" s="367">
        <f>AN99+AN100</f>
        <v>0</v>
      </c>
      <c r="AO98" s="367">
        <f>AO99+AO100</f>
        <v>0</v>
      </c>
      <c r="AP98" s="367">
        <f>AP99+AP100</f>
        <v>0</v>
      </c>
      <c r="AQ98" s="367">
        <f>AQ99+AQ100</f>
        <v>0</v>
      </c>
      <c r="AR98" s="367">
        <f>AR99+AR100</f>
        <v>0</v>
      </c>
      <c r="AS98" s="367">
        <f>AS99+AS100</f>
        <v>0</v>
      </c>
      <c r="AT98" s="367">
        <f>AT99+AT100</f>
        <v>0</v>
      </c>
      <c r="AU98" s="367">
        <f>AU99+AU100</f>
        <v>0</v>
      </c>
      <c r="AV98" s="367">
        <f>AV99+AV100</f>
        <v>0</v>
      </c>
      <c r="AW98" s="367">
        <f>AW99+AW100</f>
        <v>0</v>
      </c>
      <c r="AX98" s="367">
        <f>AX99+AX100</f>
        <v>0</v>
      </c>
      <c r="AY98" s="367">
        <f>AY99+AY100</f>
        <v>0</v>
      </c>
      <c r="AZ98" s="367">
        <f>AZ99+AZ100</f>
        <v>0</v>
      </c>
      <c r="BA98" s="367">
        <f>BA99+BA100</f>
        <v>0</v>
      </c>
      <c r="BB98" s="367">
        <f>BB99+BB100</f>
        <v>0</v>
      </c>
      <c r="BC98" s="1719"/>
      <c r="BD98" s="500"/>
      <c r="BE98" s="500"/>
      <c r="BF98" s="1198" t="s">
        <v>602</v>
      </c>
    </row>
    <row s="1632" customFormat="1" customHeight="1" ht="16.5">
      <c r="A99" s="1186"/>
      <c r="B99" s="927"/>
      <c r="C99" s="1582"/>
      <c r="D99" s="1582"/>
      <c r="E99" s="797">
        <v>17.1</v>
      </c>
      <c r="F99" s="922" cm="1" t="str">
        <f t="array" ref="F99:F99">OFFSET(G99,-1,-1)</f>
        <v>1</v>
      </c>
      <c r="G99" s="500"/>
      <c r="H99" s="500"/>
      <c r="I99" s="500"/>
      <c r="J99" s="500"/>
      <c r="K99" s="500"/>
      <c r="L99" s="500"/>
      <c r="M99" s="500"/>
      <c r="N99" s="500"/>
      <c r="O99" s="500"/>
      <c r="P99" s="500"/>
      <c r="Q99" s="500"/>
      <c r="R99" s="500"/>
      <c r="S99" s="500"/>
      <c r="T99" s="808" cm="1" t="str">
        <f t="array" ref="T99:T99">T98</f>
        <v>true</v>
      </c>
      <c r="U99" s="1582"/>
      <c r="V99" s="1582"/>
      <c r="W99" s="1582"/>
      <c r="X99" s="1582"/>
      <c r="Y99" s="1582"/>
      <c r="Z99" s="1582"/>
      <c r="AA99" s="500"/>
      <c r="AB99" s="157" t="str">
        <f>AB98&amp;".1"</f>
        <v>1.1.1</v>
      </c>
      <c r="AC99" s="562" t="s">
        <v>603</v>
      </c>
      <c r="AD99" s="169" t="s">
        <v>599</v>
      </c>
      <c r="AE99" s="1713"/>
      <c r="AF99" s="1713"/>
      <c r="AG99" s="1713"/>
      <c r="AH99" s="1713"/>
      <c r="AI99" s="1713"/>
      <c r="AJ99" s="1713"/>
      <c r="AK99" s="1713"/>
      <c r="AL99" s="1713"/>
      <c r="AM99" s="1713"/>
      <c r="AN99" s="1713"/>
      <c r="AO99" s="1713"/>
      <c r="AP99" s="1713"/>
      <c r="AQ99" s="1713"/>
      <c r="AR99" s="1713"/>
      <c r="AS99" s="1713"/>
      <c r="AT99" s="1713"/>
      <c r="AU99" s="1713"/>
      <c r="AV99" s="1713"/>
      <c r="AW99" s="1713"/>
      <c r="AX99" s="1713"/>
      <c r="AY99" s="1713"/>
      <c r="AZ99" s="1713"/>
      <c r="BA99" s="1713"/>
      <c r="BB99" s="1713"/>
      <c r="BC99" s="1719"/>
      <c r="BD99" s="500"/>
      <c r="BE99" s="500"/>
      <c r="BF99" s="1198" t="s">
        <v>604</v>
      </c>
    </row>
    <row s="1632" customFormat="1" customHeight="1" ht="16.5">
      <c r="A100" s="1186"/>
      <c r="B100" s="927"/>
      <c r="C100" s="1582"/>
      <c r="D100" s="1582"/>
      <c r="E100" s="797">
        <v>17.1</v>
      </c>
      <c r="F100" s="922" cm="1" t="str">
        <f t="array" ref="F100:F100">OFFSET(G100,-1,-1)</f>
        <v>1</v>
      </c>
      <c r="G100" s="500"/>
      <c r="H100" s="500"/>
      <c r="I100" s="500"/>
      <c r="J100" s="500"/>
      <c r="K100" s="500"/>
      <c r="L100" s="500"/>
      <c r="M100" s="500"/>
      <c r="N100" s="500"/>
      <c r="O100" s="500"/>
      <c r="P100" s="500"/>
      <c r="Q100" s="500"/>
      <c r="R100" s="500"/>
      <c r="S100" s="500"/>
      <c r="T100" s="808" cm="1" t="str">
        <f t="array" ref="T100:T100">T99</f>
        <v>true</v>
      </c>
      <c r="U100" s="1582"/>
      <c r="V100" s="1582"/>
      <c r="W100" s="1582"/>
      <c r="X100" s="1582"/>
      <c r="Y100" s="1582"/>
      <c r="Z100" s="1582"/>
      <c r="AA100" s="500"/>
      <c r="AB100" s="157" t="str">
        <f>AB98&amp;".2"</f>
        <v>1.1.2</v>
      </c>
      <c r="AC100" s="562" t="s">
        <v>605</v>
      </c>
      <c r="AD100" s="169" t="s">
        <v>599</v>
      </c>
      <c r="AE100" s="1713"/>
      <c r="AF100" s="1713"/>
      <c r="AG100" s="1713"/>
      <c r="AH100" s="1713"/>
      <c r="AI100" s="1713"/>
      <c r="AJ100" s="1713"/>
      <c r="AK100" s="1713"/>
      <c r="AL100" s="1713"/>
      <c r="AM100" s="1713"/>
      <c r="AN100" s="1713"/>
      <c r="AO100" s="1713"/>
      <c r="AP100" s="1713"/>
      <c r="AQ100" s="1713"/>
      <c r="AR100" s="1713"/>
      <c r="AS100" s="1713"/>
      <c r="AT100" s="1713"/>
      <c r="AU100" s="1713"/>
      <c r="AV100" s="1713"/>
      <c r="AW100" s="1713"/>
      <c r="AX100" s="1713"/>
      <c r="AY100" s="1713"/>
      <c r="AZ100" s="1713"/>
      <c r="BA100" s="1713"/>
      <c r="BB100" s="1713"/>
      <c r="BC100" s="1719"/>
      <c r="BD100" s="500"/>
      <c r="BE100" s="500"/>
      <c r="BF100" s="1198" t="s">
        <v>606</v>
      </c>
    </row>
    <row s="1632" customFormat="1" customHeight="1" ht="16.5">
      <c r="A101" s="1186"/>
      <c r="B101" s="927"/>
      <c r="C101" s="1582"/>
      <c r="D101" s="1582"/>
      <c r="E101" s="797">
        <v>17.1</v>
      </c>
      <c r="F101" s="922" cm="1" t="str">
        <f t="array" ref="F101:F101">OFFSET(G101,-1,-1)</f>
        <v>1</v>
      </c>
      <c r="G101" s="500"/>
      <c r="H101" s="500"/>
      <c r="I101" s="500"/>
      <c r="J101" s="500"/>
      <c r="K101" s="500"/>
      <c r="L101" s="500"/>
      <c r="M101" s="500"/>
      <c r="N101" s="500"/>
      <c r="O101" s="500"/>
      <c r="P101" s="500"/>
      <c r="Q101" s="500"/>
      <c r="R101" s="500"/>
      <c r="S101" s="500"/>
      <c r="T101" s="808" cm="1" t="str">
        <f t="array" ref="T101:T101">T100</f>
        <v>true</v>
      </c>
      <c r="U101" s="1582"/>
      <c r="V101" s="1582"/>
      <c r="W101" s="1582"/>
      <c r="X101" s="1582"/>
      <c r="Y101" s="1582"/>
      <c r="Z101" s="1582"/>
      <c r="AA101" s="500"/>
      <c r="AB101" s="157" t="str">
        <f>AB97&amp;".2"</f>
        <v>1.2</v>
      </c>
      <c r="AC101" s="164" t="s">
        <v>607</v>
      </c>
      <c r="AD101" s="169" t="s">
        <v>599</v>
      </c>
      <c r="AE101" s="367">
        <f>AE102+AE103</f>
        <v>8443.64</v>
      </c>
      <c r="AF101" s="367">
        <f>AF102+AF103</f>
        <v>8456.95</v>
      </c>
      <c r="AG101" s="367">
        <f>AG102+AG103</f>
        <v>8456.95</v>
      </c>
      <c r="AH101" s="367">
        <f>AH102+AH103</f>
        <v>7326.65</v>
      </c>
      <c r="AI101" s="367">
        <f>AI102+AI103</f>
        <v>8296.9</v>
      </c>
      <c r="AJ101" s="367">
        <f>AJ102+AJ103</f>
        <v>7326.65</v>
      </c>
      <c r="AK101" s="367">
        <f>AK102+AK103</f>
        <v>0</v>
      </c>
      <c r="AL101" s="367">
        <f>AL102+AL103</f>
        <v>0</v>
      </c>
      <c r="AM101" s="367">
        <f>AM102+AM103</f>
        <v>0</v>
      </c>
      <c r="AN101" s="367">
        <f>AN102+AN103</f>
        <v>0</v>
      </c>
      <c r="AO101" s="367">
        <f>AO102+AO103</f>
        <v>0</v>
      </c>
      <c r="AP101" s="367">
        <f>AP102+AP103</f>
        <v>0</v>
      </c>
      <c r="AQ101" s="367">
        <f>AQ102+AQ103</f>
        <v>0</v>
      </c>
      <c r="AR101" s="367">
        <f>AR102+AR103</f>
        <v>0</v>
      </c>
      <c r="AS101" s="367">
        <f>AS102+AS103</f>
        <v>7326.65</v>
      </c>
      <c r="AT101" s="367">
        <f>AT102+AT103</f>
        <v>0</v>
      </c>
      <c r="AU101" s="367">
        <f>AU102+AU103</f>
        <v>0</v>
      </c>
      <c r="AV101" s="367">
        <f>AV102+AV103</f>
        <v>0</v>
      </c>
      <c r="AW101" s="367">
        <f>AW102+AW103</f>
        <v>0</v>
      </c>
      <c r="AX101" s="367">
        <f>AX102+AX103</f>
        <v>0</v>
      </c>
      <c r="AY101" s="367">
        <f>AY102+AY103</f>
        <v>0</v>
      </c>
      <c r="AZ101" s="367">
        <f>AZ102+AZ103</f>
        <v>0</v>
      </c>
      <c r="BA101" s="367">
        <f>BA102+BA103</f>
        <v>0</v>
      </c>
      <c r="BB101" s="367">
        <f>BB102+BB103</f>
        <v>0</v>
      </c>
      <c r="BC101" s="1719"/>
      <c r="BD101" s="500"/>
      <c r="BE101" s="500"/>
      <c r="BF101" s="1198" t="s">
        <v>608</v>
      </c>
    </row>
    <row s="1632" customFormat="1" customHeight="1" ht="16.5">
      <c r="A102" s="1186"/>
      <c r="B102" s="927"/>
      <c r="C102" s="1582"/>
      <c r="D102" s="1582"/>
      <c r="E102" s="797">
        <v>17.1</v>
      </c>
      <c r="F102" s="922" cm="1" t="str">
        <f t="array" ref="F102:F102">OFFSET(G102,-1,-1)</f>
        <v>1</v>
      </c>
      <c r="G102" s="500"/>
      <c r="H102" s="500"/>
      <c r="I102" s="500"/>
      <c r="J102" s="500"/>
      <c r="K102" s="500"/>
      <c r="L102" s="500"/>
      <c r="M102" s="500"/>
      <c r="N102" s="500"/>
      <c r="O102" s="500"/>
      <c r="P102" s="500"/>
      <c r="Q102" s="500"/>
      <c r="R102" s="500"/>
      <c r="S102" s="500"/>
      <c r="T102" s="808" cm="1" t="str">
        <f t="array" ref="T102:T102">T101</f>
        <v>true</v>
      </c>
      <c r="U102" s="1582"/>
      <c r="V102" s="1582"/>
      <c r="W102" s="1582"/>
      <c r="X102" s="1582"/>
      <c r="Y102" s="1582"/>
      <c r="Z102" s="1582"/>
      <c r="AA102" s="500"/>
      <c r="AB102" s="157" t="str">
        <f>AB101&amp;".1"</f>
        <v>1.2.1</v>
      </c>
      <c r="AC102" s="562" t="s">
        <v>603</v>
      </c>
      <c r="AD102" s="169" t="s">
        <v>599</v>
      </c>
      <c r="AE102" s="1713">
        <v>8443.64</v>
      </c>
      <c r="AF102" s="1713">
        <v>8456.95</v>
      </c>
      <c r="AG102" s="1713">
        <v>8456.95</v>
      </c>
      <c r="AH102" s="1713">
        <v>7326.65</v>
      </c>
      <c r="AI102" s="1713">
        <v>8296.9</v>
      </c>
      <c r="AJ102" s="1713">
        <v>7326.65</v>
      </c>
      <c r="AK102" s="1713"/>
      <c r="AL102" s="1713"/>
      <c r="AM102" s="1713"/>
      <c r="AN102" s="1713"/>
      <c r="AO102" s="1713"/>
      <c r="AP102" s="1713"/>
      <c r="AQ102" s="1713"/>
      <c r="AR102" s="1713"/>
      <c r="AS102" s="1713">
        <v>7326.65</v>
      </c>
      <c r="AT102" s="1713"/>
      <c r="AU102" s="1713"/>
      <c r="AV102" s="1713"/>
      <c r="AW102" s="1713"/>
      <c r="AX102" s="1713"/>
      <c r="AY102" s="1713"/>
      <c r="AZ102" s="1713"/>
      <c r="BA102" s="1713"/>
      <c r="BB102" s="1713"/>
      <c r="BC102" s="1719"/>
      <c r="BD102" s="500"/>
      <c r="BE102" s="500"/>
      <c r="BF102" s="1198" t="s">
        <v>609</v>
      </c>
    </row>
    <row s="1632" customFormat="1" customHeight="1" ht="16.5">
      <c r="A103" s="1186"/>
      <c r="B103" s="927"/>
      <c r="C103" s="1582"/>
      <c r="D103" s="1582"/>
      <c r="E103" s="797">
        <v>17.1</v>
      </c>
      <c r="F103" s="922" cm="1" t="str">
        <f t="array" ref="F103:F103">OFFSET(G103,-1,-1)</f>
        <v>1</v>
      </c>
      <c r="G103" s="500"/>
      <c r="H103" s="500"/>
      <c r="I103" s="500"/>
      <c r="J103" s="500"/>
      <c r="K103" s="500"/>
      <c r="L103" s="500"/>
      <c r="M103" s="500"/>
      <c r="N103" s="500"/>
      <c r="O103" s="500"/>
      <c r="P103" s="500"/>
      <c r="Q103" s="500"/>
      <c r="R103" s="500"/>
      <c r="S103" s="500"/>
      <c r="T103" s="808" cm="1" t="str">
        <f t="array" ref="T103:T103">T102</f>
        <v>true</v>
      </c>
      <c r="U103" s="1582"/>
      <c r="V103" s="1582"/>
      <c r="W103" s="1582"/>
      <c r="X103" s="1582"/>
      <c r="Y103" s="1582"/>
      <c r="Z103" s="1582"/>
      <c r="AA103" s="500"/>
      <c r="AB103" s="157" t="str">
        <f>AB101&amp;".2"</f>
        <v>1.2.2</v>
      </c>
      <c r="AC103" s="562" t="s">
        <v>605</v>
      </c>
      <c r="AD103" s="169" t="s">
        <v>599</v>
      </c>
      <c r="AE103" s="1713"/>
      <c r="AF103" s="1713"/>
      <c r="AG103" s="1713"/>
      <c r="AH103" s="1713"/>
      <c r="AI103" s="1713"/>
      <c r="AJ103" s="1713"/>
      <c r="AK103" s="1713"/>
      <c r="AL103" s="1713"/>
      <c r="AM103" s="1713"/>
      <c r="AN103" s="1713"/>
      <c r="AO103" s="1713"/>
      <c r="AP103" s="1713"/>
      <c r="AQ103" s="1713"/>
      <c r="AR103" s="1713"/>
      <c r="AS103" s="1713"/>
      <c r="AT103" s="1713"/>
      <c r="AU103" s="1713"/>
      <c r="AV103" s="1713"/>
      <c r="AW103" s="1713"/>
      <c r="AX103" s="1713"/>
      <c r="AY103" s="1713"/>
      <c r="AZ103" s="1713"/>
      <c r="BA103" s="1713"/>
      <c r="BB103" s="1713"/>
      <c r="BC103" s="1719"/>
      <c r="BD103" s="500"/>
      <c r="BE103" s="500"/>
      <c r="BF103" s="1198" t="s">
        <v>610</v>
      </c>
    </row>
    <row s="1632" customFormat="1" customHeight="1" ht="16.5">
      <c r="A104" s="1186"/>
      <c r="B104" s="927"/>
      <c r="C104" s="1582"/>
      <c r="D104" s="1582"/>
      <c r="E104" s="797">
        <v>17.1</v>
      </c>
      <c r="F104" s="922" cm="1" t="str">
        <f t="array" ref="F104:F104">OFFSET(G104,-1,-1)</f>
        <v>1</v>
      </c>
      <c r="G104" s="500"/>
      <c r="H104" s="500"/>
      <c r="I104" s="500"/>
      <c r="J104" s="500"/>
      <c r="K104" s="500"/>
      <c r="L104" s="500"/>
      <c r="M104" s="500"/>
      <c r="N104" s="500"/>
      <c r="O104" s="500"/>
      <c r="P104" s="500"/>
      <c r="Q104" s="500"/>
      <c r="R104" s="500"/>
      <c r="S104" s="500"/>
      <c r="T104" s="808" cm="1" t="str">
        <f t="array" ref="T104:T104">T103</f>
        <v>true</v>
      </c>
      <c r="U104" s="1582"/>
      <c r="V104" s="1582"/>
      <c r="W104" s="1582"/>
      <c r="X104" s="1582"/>
      <c r="Y104" s="1582"/>
      <c r="Z104" s="1582"/>
      <c r="AA104" s="500"/>
      <c r="AB104" s="157" t="str">
        <f>AB97&amp;".3"</f>
        <v>1.3</v>
      </c>
      <c r="AC104" s="164" t="s">
        <v>611</v>
      </c>
      <c r="AD104" s="169" t="s">
        <v>599</v>
      </c>
      <c r="AE104" s="1713"/>
      <c r="AF104" s="1713"/>
      <c r="AG104" s="1713"/>
      <c r="AH104" s="1713"/>
      <c r="AI104" s="1713"/>
      <c r="AJ104" s="1713"/>
      <c r="AK104" s="1713"/>
      <c r="AL104" s="1713"/>
      <c r="AM104" s="1713"/>
      <c r="AN104" s="1713"/>
      <c r="AO104" s="1713"/>
      <c r="AP104" s="1713"/>
      <c r="AQ104" s="1713"/>
      <c r="AR104" s="1713"/>
      <c r="AS104" s="1713"/>
      <c r="AT104" s="1713"/>
      <c r="AU104" s="1713"/>
      <c r="AV104" s="1713"/>
      <c r="AW104" s="1713"/>
      <c r="AX104" s="1713"/>
      <c r="AY104" s="1713"/>
      <c r="AZ104" s="1713"/>
      <c r="BA104" s="1713"/>
      <c r="BB104" s="1713"/>
      <c r="BC104" s="1719"/>
      <c r="BD104" s="500"/>
      <c r="BE104" s="500"/>
      <c r="BF104" s="1198" t="s">
        <v>612</v>
      </c>
    </row>
    <row s="1632" customFormat="1" customHeight="1" ht="16.5">
      <c r="A105" s="1186"/>
      <c r="B105" s="927"/>
      <c r="C105" s="1582"/>
      <c r="D105" s="1582"/>
      <c r="E105" s="797">
        <v>17.1</v>
      </c>
      <c r="F105" s="922" cm="1" t="str">
        <f t="array" ref="F105:F105">OFFSET(G105,-1,-1)</f>
        <v>1</v>
      </c>
      <c r="G105" s="500"/>
      <c r="H105" s="500"/>
      <c r="I105" s="500"/>
      <c r="J105" s="500"/>
      <c r="K105" s="500"/>
      <c r="L105" s="500"/>
      <c r="M105" s="500"/>
      <c r="N105" s="500"/>
      <c r="O105" s="500"/>
      <c r="P105" s="500"/>
      <c r="Q105" s="500"/>
      <c r="R105" s="500"/>
      <c r="S105" s="500"/>
      <c r="T105" s="808" cm="1" t="str">
        <f t="array" ref="T105:T105">T104</f>
        <v>true</v>
      </c>
      <c r="U105" s="1582"/>
      <c r="V105" s="1582"/>
      <c r="W105" s="1582"/>
      <c r="X105" s="1582"/>
      <c r="Y105" s="1582"/>
      <c r="Z105" s="1582"/>
      <c r="AA105" s="500"/>
      <c r="AB105" s="173" t="s">
        <v>426</v>
      </c>
      <c r="AC105" s="848" t="s">
        <v>613</v>
      </c>
      <c r="AD105" s="169" t="s">
        <v>599</v>
      </c>
      <c r="AE105" s="367">
        <f>AE106+AE109+AE112</f>
        <v>0</v>
      </c>
      <c r="AF105" s="367">
        <f>AF106+AF109+AF112</f>
        <v>0</v>
      </c>
      <c r="AG105" s="367">
        <f>AG106+AG109+AG112</f>
        <v>0</v>
      </c>
      <c r="AH105" s="367">
        <f>AH106+AH109+AH112</f>
        <v>0</v>
      </c>
      <c r="AI105" s="367">
        <f>AI106+AI109+AI112</f>
        <v>0</v>
      </c>
      <c r="AJ105" s="367">
        <f>AJ106+AJ109+AJ112</f>
        <v>0</v>
      </c>
      <c r="AK105" s="367">
        <f>AK106+AK109+AK112</f>
        <v>0</v>
      </c>
      <c r="AL105" s="367">
        <f>AL106+AL109+AL112</f>
        <v>0</v>
      </c>
      <c r="AM105" s="367">
        <f>AM106+AM109+AM112</f>
        <v>0</v>
      </c>
      <c r="AN105" s="367">
        <f>AN106+AN109+AN112</f>
        <v>0</v>
      </c>
      <c r="AO105" s="367">
        <f>AO106+AO109+AO112</f>
        <v>0</v>
      </c>
      <c r="AP105" s="367">
        <f>AP106+AP109+AP112</f>
        <v>0</v>
      </c>
      <c r="AQ105" s="367">
        <f>AQ106+AQ109+AQ112</f>
        <v>0</v>
      </c>
      <c r="AR105" s="367">
        <f>AR106+AR109+AR112</f>
        <v>0</v>
      </c>
      <c r="AS105" s="367">
        <f>AS106+AS109+AS112</f>
        <v>0</v>
      </c>
      <c r="AT105" s="367">
        <f>AT106+AT109+AT112</f>
        <v>0</v>
      </c>
      <c r="AU105" s="367">
        <f>AU106+AU109+AU112</f>
        <v>0</v>
      </c>
      <c r="AV105" s="367">
        <f>AV106+AV109+AV112</f>
        <v>0</v>
      </c>
      <c r="AW105" s="367">
        <f>AW106+AW109+AW112</f>
        <v>0</v>
      </c>
      <c r="AX105" s="367">
        <f>AX106+AX109+AX112</f>
        <v>0</v>
      </c>
      <c r="AY105" s="367">
        <f>AY106+AY109+AY112</f>
        <v>0</v>
      </c>
      <c r="AZ105" s="367">
        <f>AZ106+AZ109+AZ112</f>
        <v>0</v>
      </c>
      <c r="BA105" s="367">
        <f>BA106+BA109+BA112</f>
        <v>0</v>
      </c>
      <c r="BB105" s="367">
        <f>BB106+BB109+BB112</f>
        <v>0</v>
      </c>
      <c r="BC105" s="1719"/>
      <c r="BD105" s="500"/>
      <c r="BE105" s="500"/>
      <c r="BF105" s="1198" t="s">
        <v>614</v>
      </c>
    </row>
    <row s="1632" customFormat="1" customHeight="1" ht="16.5">
      <c r="A106" s="1186"/>
      <c r="B106" s="927"/>
      <c r="C106" s="1582"/>
      <c r="D106" s="1582"/>
      <c r="E106" s="797">
        <v>17.1</v>
      </c>
      <c r="F106" s="922" cm="1" t="str">
        <f t="array" ref="F106:F106">OFFSET(G106,-1,-1)</f>
        <v>1</v>
      </c>
      <c r="G106" s="500"/>
      <c r="H106" s="500"/>
      <c r="I106" s="500"/>
      <c r="J106" s="500"/>
      <c r="K106" s="500"/>
      <c r="L106" s="500"/>
      <c r="M106" s="500"/>
      <c r="N106" s="500"/>
      <c r="O106" s="500"/>
      <c r="P106" s="500"/>
      <c r="Q106" s="500"/>
      <c r="R106" s="500"/>
      <c r="S106" s="500"/>
      <c r="T106" s="808" cm="1" t="str">
        <f t="array" ref="T106:T106">T105</f>
        <v>true</v>
      </c>
      <c r="U106" s="1582"/>
      <c r="V106" s="1582"/>
      <c r="W106" s="1582"/>
      <c r="X106" s="1582"/>
      <c r="Y106" s="1582"/>
      <c r="Z106" s="1582"/>
      <c r="AA106" s="500"/>
      <c r="AB106" s="157" t="str">
        <f>AB105&amp;".1"</f>
        <v>2.1</v>
      </c>
      <c r="AC106" s="164" t="s">
        <v>601</v>
      </c>
      <c r="AD106" s="169" t="s">
        <v>599</v>
      </c>
      <c r="AE106" s="367">
        <f>AE107+AE108</f>
        <v>0</v>
      </c>
      <c r="AF106" s="367">
        <f>AF107+AF108</f>
        <v>0</v>
      </c>
      <c r="AG106" s="367">
        <f>AG107+AG108</f>
        <v>0</v>
      </c>
      <c r="AH106" s="367">
        <f>AH107+AH108</f>
        <v>0</v>
      </c>
      <c r="AI106" s="367">
        <f>AI107+AI108</f>
        <v>0</v>
      </c>
      <c r="AJ106" s="367">
        <f>AJ107+AJ108</f>
        <v>0</v>
      </c>
      <c r="AK106" s="367">
        <f>AK107+AK108</f>
        <v>0</v>
      </c>
      <c r="AL106" s="367">
        <f>AL107+AL108</f>
        <v>0</v>
      </c>
      <c r="AM106" s="367">
        <f>AM107+AM108</f>
        <v>0</v>
      </c>
      <c r="AN106" s="367">
        <f>AN107+AN108</f>
        <v>0</v>
      </c>
      <c r="AO106" s="367">
        <f>AO107+AO108</f>
        <v>0</v>
      </c>
      <c r="AP106" s="367">
        <f>AP107+AP108</f>
        <v>0</v>
      </c>
      <c r="AQ106" s="367">
        <f>AQ107+AQ108</f>
        <v>0</v>
      </c>
      <c r="AR106" s="367">
        <f>AR107+AR108</f>
        <v>0</v>
      </c>
      <c r="AS106" s="367">
        <f>AS107+AS108</f>
        <v>0</v>
      </c>
      <c r="AT106" s="367">
        <f>AT107+AT108</f>
        <v>0</v>
      </c>
      <c r="AU106" s="367">
        <f>AU107+AU108</f>
        <v>0</v>
      </c>
      <c r="AV106" s="367">
        <f>AV107+AV108</f>
        <v>0</v>
      </c>
      <c r="AW106" s="367">
        <f>AW107+AW108</f>
        <v>0</v>
      </c>
      <c r="AX106" s="367">
        <f>AX107+AX108</f>
        <v>0</v>
      </c>
      <c r="AY106" s="367">
        <f>AY107+AY108</f>
        <v>0</v>
      </c>
      <c r="AZ106" s="367">
        <f>AZ107+AZ108</f>
        <v>0</v>
      </c>
      <c r="BA106" s="367">
        <f>BA107+BA108</f>
        <v>0</v>
      </c>
      <c r="BB106" s="367">
        <f>BB107+BB108</f>
        <v>0</v>
      </c>
      <c r="BC106" s="1719"/>
      <c r="BD106" s="500"/>
      <c r="BE106" s="500"/>
      <c r="BF106" s="1198" t="s">
        <v>615</v>
      </c>
    </row>
    <row s="1632" customFormat="1" customHeight="1" ht="16.5">
      <c r="A107" s="1186"/>
      <c r="B107" s="927"/>
      <c r="C107" s="1582"/>
      <c r="D107" s="1582"/>
      <c r="E107" s="797">
        <v>17.1</v>
      </c>
      <c r="F107" s="922" cm="1" t="str">
        <f t="array" ref="F107:F107">OFFSET(G107,-1,-1)</f>
        <v>1</v>
      </c>
      <c r="G107" s="500"/>
      <c r="H107" s="500"/>
      <c r="I107" s="500"/>
      <c r="J107" s="500"/>
      <c r="K107" s="500"/>
      <c r="L107" s="500"/>
      <c r="M107" s="500"/>
      <c r="N107" s="500"/>
      <c r="O107" s="500"/>
      <c r="P107" s="500"/>
      <c r="Q107" s="500"/>
      <c r="R107" s="500"/>
      <c r="S107" s="500"/>
      <c r="T107" s="808" cm="1" t="str">
        <f t="array" ref="T107:T107">T106</f>
        <v>true</v>
      </c>
      <c r="U107" s="1582"/>
      <c r="V107" s="1582"/>
      <c r="W107" s="1582"/>
      <c r="X107" s="1582"/>
      <c r="Y107" s="1582"/>
      <c r="Z107" s="1582"/>
      <c r="AA107" s="500"/>
      <c r="AB107" s="157" t="str">
        <f>AB106&amp;".1"</f>
        <v>2.1.1</v>
      </c>
      <c r="AC107" s="562" t="s">
        <v>603</v>
      </c>
      <c r="AD107" s="169" t="s">
        <v>599</v>
      </c>
      <c r="AE107" s="1713"/>
      <c r="AF107" s="1713"/>
      <c r="AG107" s="1713"/>
      <c r="AH107" s="1713"/>
      <c r="AI107" s="1713"/>
      <c r="AJ107" s="1713"/>
      <c r="AK107" s="1713"/>
      <c r="AL107" s="1713"/>
      <c r="AM107" s="1713"/>
      <c r="AN107" s="1713"/>
      <c r="AO107" s="1713"/>
      <c r="AP107" s="1713"/>
      <c r="AQ107" s="1713"/>
      <c r="AR107" s="1713"/>
      <c r="AS107" s="1713"/>
      <c r="AT107" s="1713"/>
      <c r="AU107" s="1713"/>
      <c r="AV107" s="1713"/>
      <c r="AW107" s="1713"/>
      <c r="AX107" s="1713"/>
      <c r="AY107" s="1713"/>
      <c r="AZ107" s="1713"/>
      <c r="BA107" s="1713"/>
      <c r="BB107" s="1713"/>
      <c r="BC107" s="1719"/>
      <c r="BD107" s="500"/>
      <c r="BE107" s="500"/>
      <c r="BF107" s="1198" t="s">
        <v>616</v>
      </c>
    </row>
    <row s="1632" customFormat="1" customHeight="1" ht="16.5">
      <c r="A108" s="1186"/>
      <c r="B108" s="927"/>
      <c r="C108" s="1582"/>
      <c r="D108" s="1582"/>
      <c r="E108" s="797">
        <v>17.1</v>
      </c>
      <c r="F108" s="922" cm="1" t="str">
        <f t="array" ref="F108:F108">OFFSET(G108,-1,-1)</f>
        <v>1</v>
      </c>
      <c r="G108" s="500"/>
      <c r="H108" s="500"/>
      <c r="I108" s="500"/>
      <c r="J108" s="500"/>
      <c r="K108" s="500"/>
      <c r="L108" s="500"/>
      <c r="M108" s="500"/>
      <c r="N108" s="500"/>
      <c r="O108" s="500"/>
      <c r="P108" s="500"/>
      <c r="Q108" s="500"/>
      <c r="R108" s="500"/>
      <c r="S108" s="500"/>
      <c r="T108" s="808" cm="1" t="str">
        <f t="array" ref="T108:T108">T107</f>
        <v>true</v>
      </c>
      <c r="U108" s="1582"/>
      <c r="V108" s="1582"/>
      <c r="W108" s="1582"/>
      <c r="X108" s="1582"/>
      <c r="Y108" s="1582"/>
      <c r="Z108" s="1582"/>
      <c r="AA108" s="500"/>
      <c r="AB108" s="157" t="str">
        <f>AB106&amp;".2"</f>
        <v>2.1.2</v>
      </c>
      <c r="AC108" s="562" t="s">
        <v>605</v>
      </c>
      <c r="AD108" s="169" t="s">
        <v>599</v>
      </c>
      <c r="AE108" s="1713"/>
      <c r="AF108" s="1713"/>
      <c r="AG108" s="1713"/>
      <c r="AH108" s="1713"/>
      <c r="AI108" s="1713"/>
      <c r="AJ108" s="1713"/>
      <c r="AK108" s="1713"/>
      <c r="AL108" s="1713"/>
      <c r="AM108" s="1713"/>
      <c r="AN108" s="1713"/>
      <c r="AO108" s="1713"/>
      <c r="AP108" s="1713"/>
      <c r="AQ108" s="1713"/>
      <c r="AR108" s="1713"/>
      <c r="AS108" s="1713"/>
      <c r="AT108" s="1713"/>
      <c r="AU108" s="1713"/>
      <c r="AV108" s="1713"/>
      <c r="AW108" s="1713"/>
      <c r="AX108" s="1713"/>
      <c r="AY108" s="1713"/>
      <c r="AZ108" s="1713"/>
      <c r="BA108" s="1713"/>
      <c r="BB108" s="1713"/>
      <c r="BC108" s="1719"/>
      <c r="BD108" s="500"/>
      <c r="BE108" s="500"/>
      <c r="BF108" s="1198" t="s">
        <v>617</v>
      </c>
    </row>
    <row s="1632" customFormat="1" customHeight="1" ht="16.5">
      <c r="A109" s="1186"/>
      <c r="B109" s="927"/>
      <c r="C109" s="1582"/>
      <c r="D109" s="1582"/>
      <c r="E109" s="797">
        <v>17.1</v>
      </c>
      <c r="F109" s="922" cm="1" t="str">
        <f t="array" ref="F109:F109">OFFSET(G109,-1,-1)</f>
        <v>1</v>
      </c>
      <c r="G109" s="500"/>
      <c r="H109" s="500"/>
      <c r="I109" s="500"/>
      <c r="J109" s="500"/>
      <c r="K109" s="500"/>
      <c r="L109" s="500"/>
      <c r="M109" s="500"/>
      <c r="N109" s="500"/>
      <c r="O109" s="500"/>
      <c r="P109" s="500"/>
      <c r="Q109" s="500"/>
      <c r="R109" s="500"/>
      <c r="S109" s="500"/>
      <c r="T109" s="808" cm="1" t="str">
        <f t="array" ref="T109:T109">T108</f>
        <v>true</v>
      </c>
      <c r="U109" s="1582"/>
      <c r="V109" s="1582"/>
      <c r="W109" s="1582"/>
      <c r="X109" s="1582"/>
      <c r="Y109" s="1582"/>
      <c r="Z109" s="1582"/>
      <c r="AA109" s="500"/>
      <c r="AB109" s="157" t="str">
        <f>AB106&amp;".2"</f>
        <v>2.1.2</v>
      </c>
      <c r="AC109" s="164" t="s">
        <v>607</v>
      </c>
      <c r="AD109" s="169" t="s">
        <v>599</v>
      </c>
      <c r="AE109" s="367">
        <f>AE110+AE111</f>
        <v>0</v>
      </c>
      <c r="AF109" s="367">
        <f>AF110+AF111</f>
        <v>0</v>
      </c>
      <c r="AG109" s="367">
        <f>AG110+AG111</f>
        <v>0</v>
      </c>
      <c r="AH109" s="367">
        <f>AH110+AH111</f>
        <v>0</v>
      </c>
      <c r="AI109" s="367">
        <f>AI110+AI111</f>
        <v>0</v>
      </c>
      <c r="AJ109" s="367">
        <f>AJ110+AJ111</f>
        <v>0</v>
      </c>
      <c r="AK109" s="367">
        <f>AK110+AK111</f>
        <v>0</v>
      </c>
      <c r="AL109" s="367">
        <f>AL110+AL111</f>
        <v>0</v>
      </c>
      <c r="AM109" s="367">
        <f>AM110+AM111</f>
        <v>0</v>
      </c>
      <c r="AN109" s="367">
        <f>AN110+AN111</f>
        <v>0</v>
      </c>
      <c r="AO109" s="367">
        <f>AO110+AO111</f>
        <v>0</v>
      </c>
      <c r="AP109" s="367">
        <f>AP110+AP111</f>
        <v>0</v>
      </c>
      <c r="AQ109" s="367">
        <f>AQ110+AQ111</f>
        <v>0</v>
      </c>
      <c r="AR109" s="367">
        <f>AR110+AR111</f>
        <v>0</v>
      </c>
      <c r="AS109" s="367">
        <f>AS110+AS111</f>
        <v>0</v>
      </c>
      <c r="AT109" s="367">
        <f>AT110+AT111</f>
        <v>0</v>
      </c>
      <c r="AU109" s="367">
        <f>AU110+AU111</f>
        <v>0</v>
      </c>
      <c r="AV109" s="367">
        <f>AV110+AV111</f>
        <v>0</v>
      </c>
      <c r="AW109" s="367">
        <f>AW110+AW111</f>
        <v>0</v>
      </c>
      <c r="AX109" s="367">
        <f>AX110+AX111</f>
        <v>0</v>
      </c>
      <c r="AY109" s="367">
        <f>AY110+AY111</f>
        <v>0</v>
      </c>
      <c r="AZ109" s="367">
        <f>AZ110+AZ111</f>
        <v>0</v>
      </c>
      <c r="BA109" s="367">
        <f>BA110+BA111</f>
        <v>0</v>
      </c>
      <c r="BB109" s="367">
        <f>BB110+BB111</f>
        <v>0</v>
      </c>
      <c r="BC109" s="1719"/>
      <c r="BD109" s="500"/>
      <c r="BE109" s="500"/>
      <c r="BF109" s="1198" t="s">
        <v>618</v>
      </c>
    </row>
    <row s="1632" customFormat="1" customHeight="1" ht="16.5">
      <c r="A110" s="1186"/>
      <c r="B110" s="927"/>
      <c r="C110" s="1582"/>
      <c r="D110" s="1582"/>
      <c r="E110" s="797">
        <v>17.1</v>
      </c>
      <c r="F110" s="922" cm="1" t="str">
        <f t="array" ref="F110:F110">OFFSET(G110,-1,-1)</f>
        <v>1</v>
      </c>
      <c r="G110" s="500"/>
      <c r="H110" s="500"/>
      <c r="I110" s="500"/>
      <c r="J110" s="500"/>
      <c r="K110" s="500"/>
      <c r="L110" s="500"/>
      <c r="M110" s="500"/>
      <c r="N110" s="500"/>
      <c r="O110" s="500"/>
      <c r="P110" s="500"/>
      <c r="Q110" s="500"/>
      <c r="R110" s="500"/>
      <c r="S110" s="500"/>
      <c r="T110" s="808" cm="1" t="str">
        <f t="array" ref="T110:T110">T109</f>
        <v>true</v>
      </c>
      <c r="U110" s="1582"/>
      <c r="V110" s="1582"/>
      <c r="W110" s="1582"/>
      <c r="X110" s="1582"/>
      <c r="Y110" s="1582"/>
      <c r="Z110" s="1582"/>
      <c r="AA110" s="500"/>
      <c r="AB110" s="157" t="str">
        <f>AB109&amp;".1"</f>
        <v>2.1.2.1</v>
      </c>
      <c r="AC110" s="562" t="s">
        <v>603</v>
      </c>
      <c r="AD110" s="169" t="s">
        <v>599</v>
      </c>
      <c r="AE110" s="1713"/>
      <c r="AF110" s="1713"/>
      <c r="AG110" s="1713"/>
      <c r="AH110" s="1713"/>
      <c r="AI110" s="1713"/>
      <c r="AJ110" s="1713"/>
      <c r="AK110" s="1713"/>
      <c r="AL110" s="1713"/>
      <c r="AM110" s="1713"/>
      <c r="AN110" s="1713"/>
      <c r="AO110" s="1713"/>
      <c r="AP110" s="1713"/>
      <c r="AQ110" s="1713"/>
      <c r="AR110" s="1713"/>
      <c r="AS110" s="1713"/>
      <c r="AT110" s="1713"/>
      <c r="AU110" s="1713"/>
      <c r="AV110" s="1713"/>
      <c r="AW110" s="1713"/>
      <c r="AX110" s="1713"/>
      <c r="AY110" s="1713"/>
      <c r="AZ110" s="1713"/>
      <c r="BA110" s="1713"/>
      <c r="BB110" s="1713"/>
      <c r="BC110" s="1719"/>
      <c r="BD110" s="500"/>
      <c r="BE110" s="500"/>
      <c r="BF110" s="1198" t="s">
        <v>619</v>
      </c>
    </row>
    <row s="1632" customFormat="1" customHeight="1" ht="16.5">
      <c r="A111" s="1186"/>
      <c r="B111" s="927"/>
      <c r="C111" s="1582"/>
      <c r="D111" s="1582"/>
      <c r="E111" s="797">
        <v>17.1</v>
      </c>
      <c r="F111" s="922" cm="1" t="str">
        <f t="array" ref="F111:F111">OFFSET(G111,-1,-1)</f>
        <v>1</v>
      </c>
      <c r="G111" s="500"/>
      <c r="H111" s="500"/>
      <c r="I111" s="500"/>
      <c r="J111" s="500"/>
      <c r="K111" s="500"/>
      <c r="L111" s="500"/>
      <c r="M111" s="500"/>
      <c r="N111" s="500"/>
      <c r="O111" s="500"/>
      <c r="P111" s="500"/>
      <c r="Q111" s="500"/>
      <c r="R111" s="500"/>
      <c r="S111" s="500"/>
      <c r="T111" s="808" cm="1" t="str">
        <f t="array" ref="T111:T111">T110</f>
        <v>true</v>
      </c>
      <c r="U111" s="1582"/>
      <c r="V111" s="1582"/>
      <c r="W111" s="1582"/>
      <c r="X111" s="1582"/>
      <c r="Y111" s="1582"/>
      <c r="Z111" s="1582"/>
      <c r="AA111" s="500"/>
      <c r="AB111" s="157" t="str">
        <f>AB109&amp;".2"</f>
        <v>2.1.2.2</v>
      </c>
      <c r="AC111" s="562" t="s">
        <v>605</v>
      </c>
      <c r="AD111" s="851" t="s">
        <v>599</v>
      </c>
      <c r="AE111" s="1714"/>
      <c r="AF111" s="1713"/>
      <c r="AG111" s="1714"/>
      <c r="AH111" s="1713"/>
      <c r="AI111" s="1714"/>
      <c r="AJ111" s="1713"/>
      <c r="AK111" s="1714"/>
      <c r="AL111" s="1713"/>
      <c r="AM111" s="1714"/>
      <c r="AN111" s="1713"/>
      <c r="AO111" s="1714"/>
      <c r="AP111" s="1713"/>
      <c r="AQ111" s="1714"/>
      <c r="AR111" s="1713"/>
      <c r="AS111" s="1714"/>
      <c r="AT111" s="1713"/>
      <c r="AU111" s="1714"/>
      <c r="AV111" s="1713"/>
      <c r="AW111" s="1714"/>
      <c r="AX111" s="1713"/>
      <c r="AY111" s="1714"/>
      <c r="AZ111" s="1713"/>
      <c r="BA111" s="1714"/>
      <c r="BB111" s="1713"/>
      <c r="BC111" s="1719"/>
      <c r="BD111" s="500"/>
      <c r="BE111" s="500"/>
      <c r="BF111" s="1198" t="s">
        <v>620</v>
      </c>
    </row>
    <row s="1632" customFormat="1" customHeight="1" ht="16.5">
      <c r="A112" s="1186"/>
      <c r="B112" s="927"/>
      <c r="C112" s="1582"/>
      <c r="D112" s="1582"/>
      <c r="E112" s="797">
        <v>17.1</v>
      </c>
      <c r="F112" s="922" cm="1" t="str">
        <f t="array" ref="F112:F112">OFFSET(G112,-1,-1)</f>
        <v>1</v>
      </c>
      <c r="G112" s="500"/>
      <c r="H112" s="500"/>
      <c r="I112" s="500"/>
      <c r="J112" s="500"/>
      <c r="K112" s="500"/>
      <c r="L112" s="500"/>
      <c r="M112" s="500"/>
      <c r="N112" s="500"/>
      <c r="O112" s="500"/>
      <c r="P112" s="500"/>
      <c r="Q112" s="500"/>
      <c r="R112" s="500"/>
      <c r="S112" s="500"/>
      <c r="T112" s="808" cm="1" t="str">
        <f t="array" ref="T112:T112">T111</f>
        <v>true</v>
      </c>
      <c r="U112" s="1582"/>
      <c r="V112" s="1582"/>
      <c r="W112" s="1582"/>
      <c r="X112" s="1582"/>
      <c r="Y112" s="1582"/>
      <c r="Z112" s="1582"/>
      <c r="AA112" s="500"/>
      <c r="AB112" s="157" t="str">
        <f>AB105&amp;".3"</f>
        <v>2.3</v>
      </c>
      <c r="AC112" s="724" t="s">
        <v>611</v>
      </c>
      <c r="AD112" s="169" t="s">
        <v>599</v>
      </c>
      <c r="AE112" s="1713"/>
      <c r="AF112" s="1720"/>
      <c r="AG112" s="1713"/>
      <c r="AH112" s="1720"/>
      <c r="AI112" s="1713"/>
      <c r="AJ112" s="1720"/>
      <c r="AK112" s="1713"/>
      <c r="AL112" s="1720"/>
      <c r="AM112" s="1713"/>
      <c r="AN112" s="1720"/>
      <c r="AO112" s="1713"/>
      <c r="AP112" s="1720"/>
      <c r="AQ112" s="1713"/>
      <c r="AR112" s="1720"/>
      <c r="AS112" s="1713"/>
      <c r="AT112" s="1720"/>
      <c r="AU112" s="1713"/>
      <c r="AV112" s="1720"/>
      <c r="AW112" s="1713"/>
      <c r="AX112" s="1720"/>
      <c r="AY112" s="1713"/>
      <c r="AZ112" s="1720"/>
      <c r="BA112" s="1713"/>
      <c r="BB112" s="1720"/>
      <c r="BC112" s="1719"/>
      <c r="BD112" s="500"/>
      <c r="BE112" s="500"/>
      <c r="BF112" s="1198" t="s">
        <v>621</v>
      </c>
    </row>
    <row s="1632" customFormat="1" customHeight="1" ht="29.25">
      <c r="A113" s="1186"/>
      <c r="B113" s="927"/>
      <c r="C113" s="1582"/>
      <c r="D113" s="1582"/>
      <c r="E113" s="797">
        <v>30</v>
      </c>
      <c r="F113" s="922" cm="1" t="str">
        <f t="array" ref="F113:F113">OFFSET(G113,-1,-1)</f>
        <v>1</v>
      </c>
      <c r="G113" s="500"/>
      <c r="H113" s="500"/>
      <c r="I113" s="500"/>
      <c r="J113" s="500"/>
      <c r="K113" s="500"/>
      <c r="L113" s="500"/>
      <c r="M113" s="500"/>
      <c r="N113" s="500"/>
      <c r="O113" s="500"/>
      <c r="P113" s="500"/>
      <c r="Q113" s="500"/>
      <c r="R113" s="500"/>
      <c r="S113" s="500"/>
      <c r="T113" s="808" cm="1" t="str">
        <f t="array" ref="T113:T113">T112</f>
        <v>true</v>
      </c>
      <c r="U113" s="1582"/>
      <c r="V113" s="1582"/>
      <c r="W113" s="1582"/>
      <c r="X113" s="1582"/>
      <c r="Y113" s="1582"/>
      <c r="Z113" s="1582"/>
      <c r="AA113" s="500"/>
      <c r="AB113" s="325" t="s">
        <v>429</v>
      </c>
      <c r="AC113" s="163" t="s">
        <v>622</v>
      </c>
      <c r="AD113" s="169" t="s">
        <v>599</v>
      </c>
      <c r="AE113" s="367">
        <f>AE114+AE117+AE120</f>
        <v>8443.64</v>
      </c>
      <c r="AF113" s="855">
        <f>AF114+AF117+AF120</f>
        <v>8456.95</v>
      </c>
      <c r="AG113" s="367">
        <f>AG114+AG117+AG120</f>
        <v>8456.95</v>
      </c>
      <c r="AH113" s="367">
        <f>AH114+AH117+AH120</f>
        <v>7326.65</v>
      </c>
      <c r="AI113" s="367">
        <f>AI114+AI117+AI120</f>
        <v>8296.9</v>
      </c>
      <c r="AJ113" s="367">
        <f>AJ114+AJ117+AJ120</f>
        <v>7326.65</v>
      </c>
      <c r="AK113" s="367">
        <f>AK114+AK117+AK120</f>
        <v>0</v>
      </c>
      <c r="AL113" s="367">
        <f>AL114+AL117+AL120</f>
        <v>0</v>
      </c>
      <c r="AM113" s="367">
        <f>AM114+AM117+AM120</f>
        <v>0</v>
      </c>
      <c r="AN113" s="367">
        <f>AN114+AN117+AN120</f>
        <v>0</v>
      </c>
      <c r="AO113" s="367">
        <f>AO114+AO117+AO120</f>
        <v>0</v>
      </c>
      <c r="AP113" s="367">
        <f>AP114+AP117+AP120</f>
        <v>0</v>
      </c>
      <c r="AQ113" s="367">
        <f>AQ114+AQ117+AQ120</f>
        <v>0</v>
      </c>
      <c r="AR113" s="367">
        <f>AR114+AR117+AR120</f>
        <v>0</v>
      </c>
      <c r="AS113" s="367">
        <f>AS114+AS117+AS120</f>
        <v>7326.65</v>
      </c>
      <c r="AT113" s="367">
        <f>AT114+AT117+AT120</f>
        <v>0</v>
      </c>
      <c r="AU113" s="367">
        <f>AU114+AU117+AU120</f>
        <v>0</v>
      </c>
      <c r="AV113" s="367">
        <f>AV114+AV117+AV120</f>
        <v>0</v>
      </c>
      <c r="AW113" s="367">
        <f>AW114+AW117+AW120</f>
        <v>0</v>
      </c>
      <c r="AX113" s="367">
        <f>AX114+AX117+AX120</f>
        <v>0</v>
      </c>
      <c r="AY113" s="367">
        <f>AY114+AY117+AY120</f>
        <v>0</v>
      </c>
      <c r="AZ113" s="367">
        <f>AZ114+AZ117+AZ120</f>
        <v>0</v>
      </c>
      <c r="BA113" s="367">
        <f>BA114+BA117+BA120</f>
        <v>0</v>
      </c>
      <c r="BB113" s="367">
        <f>BB114+BB117+BB120</f>
        <v>0</v>
      </c>
      <c r="BC113" s="1719"/>
      <c r="BD113" s="500"/>
      <c r="BE113" s="500"/>
      <c r="BF113" s="1198" t="s">
        <v>623</v>
      </c>
    </row>
    <row s="1632" customFormat="1" customHeight="1" ht="16.5">
      <c r="A114" s="1186"/>
      <c r="B114" s="927"/>
      <c r="C114" s="1582"/>
      <c r="D114" s="1582"/>
      <c r="E114" s="797">
        <v>17.1</v>
      </c>
      <c r="F114" s="922" cm="1" t="str">
        <f t="array" ref="F114:F114">OFFSET(G114,-1,-1)</f>
        <v>1</v>
      </c>
      <c r="G114" s="500"/>
      <c r="H114" s="500"/>
      <c r="I114" s="500"/>
      <c r="J114" s="500"/>
      <c r="K114" s="500"/>
      <c r="L114" s="500"/>
      <c r="M114" s="500"/>
      <c r="N114" s="500"/>
      <c r="O114" s="500"/>
      <c r="P114" s="500"/>
      <c r="Q114" s="500"/>
      <c r="R114" s="500"/>
      <c r="S114" s="500"/>
      <c r="T114" s="808" cm="1" t="str">
        <f t="array" ref="T114:T114">T113</f>
        <v>true</v>
      </c>
      <c r="U114" s="1582"/>
      <c r="V114" s="1582"/>
      <c r="W114" s="1582"/>
      <c r="X114" s="1582"/>
      <c r="Y114" s="1582"/>
      <c r="Z114" s="1582"/>
      <c r="AA114" s="500"/>
      <c r="AB114" s="847" t="str">
        <f>AB113&amp;".1"</f>
        <v>3.1</v>
      </c>
      <c r="AC114" s="724" t="s">
        <v>601</v>
      </c>
      <c r="AD114" s="169" t="s">
        <v>599</v>
      </c>
      <c r="AE114" s="367">
        <f>AE115+AE116</f>
        <v>0</v>
      </c>
      <c r="AF114" s="557">
        <f>AF115+AF116</f>
        <v>0</v>
      </c>
      <c r="AG114" s="557">
        <f>AG115+AG116</f>
        <v>0</v>
      </c>
      <c r="AH114" s="557">
        <f>AH115+AH116</f>
        <v>0</v>
      </c>
      <c r="AI114" s="557">
        <f>AI115+AI116</f>
        <v>0</v>
      </c>
      <c r="AJ114" s="557">
        <f>AJ115+AJ116</f>
        <v>0</v>
      </c>
      <c r="AK114" s="557">
        <f>AK115+AK116</f>
        <v>0</v>
      </c>
      <c r="AL114" s="557">
        <f>AL115+AL116</f>
        <v>0</v>
      </c>
      <c r="AM114" s="557">
        <f>AM115+AM116</f>
        <v>0</v>
      </c>
      <c r="AN114" s="557">
        <f>AN115+AN116</f>
        <v>0</v>
      </c>
      <c r="AO114" s="557">
        <f>AO115+AO116</f>
        <v>0</v>
      </c>
      <c r="AP114" s="557">
        <f>AP115+AP116</f>
        <v>0</v>
      </c>
      <c r="AQ114" s="557">
        <f>AQ115+AQ116</f>
        <v>0</v>
      </c>
      <c r="AR114" s="557">
        <f>AR115+AR116</f>
        <v>0</v>
      </c>
      <c r="AS114" s="557">
        <f>AS115+AS116</f>
        <v>0</v>
      </c>
      <c r="AT114" s="557">
        <f>AT115+AT116</f>
        <v>0</v>
      </c>
      <c r="AU114" s="557">
        <f>AU115+AU116</f>
        <v>0</v>
      </c>
      <c r="AV114" s="557">
        <f>AV115+AV116</f>
        <v>0</v>
      </c>
      <c r="AW114" s="557">
        <f>AW115+AW116</f>
        <v>0</v>
      </c>
      <c r="AX114" s="557">
        <f>AX115+AX116</f>
        <v>0</v>
      </c>
      <c r="AY114" s="557">
        <f>AY115+AY116</f>
        <v>0</v>
      </c>
      <c r="AZ114" s="557">
        <f>AZ115+AZ116</f>
        <v>0</v>
      </c>
      <c r="BA114" s="557">
        <f>BA115+BA116</f>
        <v>0</v>
      </c>
      <c r="BB114" s="557">
        <f>BB115+BB116</f>
        <v>0</v>
      </c>
      <c r="BC114" s="1719"/>
      <c r="BD114" s="500"/>
      <c r="BE114" s="500"/>
      <c r="BF114" s="1198" t="s">
        <v>624</v>
      </c>
    </row>
    <row s="1632" customFormat="1" customHeight="1" ht="16.5">
      <c r="A115" s="1186"/>
      <c r="B115" s="927"/>
      <c r="C115" s="1582"/>
      <c r="D115" s="1582"/>
      <c r="E115" s="797">
        <v>17.1</v>
      </c>
      <c r="F115" s="922" cm="1" t="str">
        <f t="array" ref="F115:F115">OFFSET(G115,-1,-1)</f>
        <v>1</v>
      </c>
      <c r="G115" s="500"/>
      <c r="H115" s="500"/>
      <c r="I115" s="500"/>
      <c r="J115" s="500"/>
      <c r="K115" s="500"/>
      <c r="L115" s="500"/>
      <c r="M115" s="500"/>
      <c r="N115" s="500"/>
      <c r="O115" s="500"/>
      <c r="P115" s="500"/>
      <c r="Q115" s="500"/>
      <c r="R115" s="500"/>
      <c r="S115" s="500"/>
      <c r="T115" s="808" cm="1" t="str">
        <f t="array" ref="T115:T115">T114</f>
        <v>true</v>
      </c>
      <c r="U115" s="1582"/>
      <c r="V115" s="1582"/>
      <c r="W115" s="1582"/>
      <c r="X115" s="1582"/>
      <c r="Y115" s="1582"/>
      <c r="Z115" s="1582"/>
      <c r="AA115" s="500"/>
      <c r="AB115" s="847" t="str">
        <f>AB114&amp;".1"</f>
        <v>3.1.1</v>
      </c>
      <c r="AC115" s="722" t="s">
        <v>603</v>
      </c>
      <c r="AD115" s="169" t="s">
        <v>599</v>
      </c>
      <c r="AE115" s="1713">
        <f>AE99-AE107</f>
        <v>0</v>
      </c>
      <c r="AF115" s="1713">
        <f>AF99-AF107</f>
        <v>0</v>
      </c>
      <c r="AG115" s="1713">
        <f>AG99-AG107</f>
        <v>0</v>
      </c>
      <c r="AH115" s="1713">
        <f>AH99-AH107</f>
        <v>0</v>
      </c>
      <c r="AI115" s="1713">
        <f>AI99-AI107</f>
        <v>0</v>
      </c>
      <c r="AJ115" s="1713">
        <f>AJ99-AJ107</f>
        <v>0</v>
      </c>
      <c r="AK115" s="1713">
        <f>AK99-AK107</f>
        <v>0</v>
      </c>
      <c r="AL115" s="1713">
        <f>AL99-AL107</f>
        <v>0</v>
      </c>
      <c r="AM115" s="1713">
        <f>AM99-AM107</f>
        <v>0</v>
      </c>
      <c r="AN115" s="1713">
        <f>AN99-AN107</f>
        <v>0</v>
      </c>
      <c r="AO115" s="1713">
        <f>AO99-AO107</f>
        <v>0</v>
      </c>
      <c r="AP115" s="1713">
        <f>AP99-AP107</f>
        <v>0</v>
      </c>
      <c r="AQ115" s="1713">
        <f>AQ99-AQ107</f>
        <v>0</v>
      </c>
      <c r="AR115" s="1713">
        <f>AR99-AR107</f>
        <v>0</v>
      </c>
      <c r="AS115" s="1713">
        <f>AS99-AS107</f>
        <v>0</v>
      </c>
      <c r="AT115" s="1713">
        <f>AT99-AT107</f>
        <v>0</v>
      </c>
      <c r="AU115" s="1713">
        <f>AU99-AU107</f>
        <v>0</v>
      </c>
      <c r="AV115" s="1713">
        <f>AV99-AV107</f>
        <v>0</v>
      </c>
      <c r="AW115" s="1713">
        <f>AW99-AW107</f>
        <v>0</v>
      </c>
      <c r="AX115" s="1713">
        <f>AX99-AX107</f>
        <v>0</v>
      </c>
      <c r="AY115" s="1713">
        <f>AY99-AY107</f>
        <v>0</v>
      </c>
      <c r="AZ115" s="1713">
        <f>AZ99-AZ107</f>
        <v>0</v>
      </c>
      <c r="BA115" s="1713">
        <f>BA99-BA107</f>
        <v>0</v>
      </c>
      <c r="BB115" s="1713">
        <f>BB99-BB107</f>
        <v>0</v>
      </c>
      <c r="BC115" s="1719"/>
      <c r="BD115" s="500"/>
      <c r="BE115" s="500"/>
      <c r="BF115" s="1198" t="s">
        <v>625</v>
      </c>
    </row>
    <row s="1632" customFormat="1" customHeight="1" ht="16.5">
      <c r="A116" s="1186"/>
      <c r="B116" s="927"/>
      <c r="C116" s="1582"/>
      <c r="D116" s="1582"/>
      <c r="E116" s="797">
        <v>17.1</v>
      </c>
      <c r="F116" s="922" cm="1" t="str">
        <f t="array" ref="F116:F116">OFFSET(G116,-1,-1)</f>
        <v>1</v>
      </c>
      <c r="G116" s="500"/>
      <c r="H116" s="500"/>
      <c r="I116" s="500"/>
      <c r="J116" s="500"/>
      <c r="K116" s="500"/>
      <c r="L116" s="500"/>
      <c r="M116" s="500"/>
      <c r="N116" s="500"/>
      <c r="O116" s="500"/>
      <c r="P116" s="500"/>
      <c r="Q116" s="500"/>
      <c r="R116" s="500"/>
      <c r="S116" s="500"/>
      <c r="T116" s="808" cm="1" t="str">
        <f t="array" ref="T116:T116">T115</f>
        <v>true</v>
      </c>
      <c r="U116" s="1582"/>
      <c r="V116" s="1582"/>
      <c r="W116" s="1582"/>
      <c r="X116" s="1582"/>
      <c r="Y116" s="1582"/>
      <c r="Z116" s="1582"/>
      <c r="AA116" s="500"/>
      <c r="AB116" s="847" t="str">
        <f>AB114&amp;".2"</f>
        <v>3.1.2</v>
      </c>
      <c r="AC116" s="722" t="s">
        <v>605</v>
      </c>
      <c r="AD116" s="169" t="s">
        <v>599</v>
      </c>
      <c r="AE116" s="1713">
        <f>AE100-AE108</f>
        <v>0</v>
      </c>
      <c r="AF116" s="1713">
        <f>AF100-AF108</f>
        <v>0</v>
      </c>
      <c r="AG116" s="1713">
        <f>AG100-AG108</f>
        <v>0</v>
      </c>
      <c r="AH116" s="1713">
        <f>AH100-AH108</f>
        <v>0</v>
      </c>
      <c r="AI116" s="1713">
        <f>AI100-AI108</f>
        <v>0</v>
      </c>
      <c r="AJ116" s="1713">
        <f>AJ100-AJ108</f>
        <v>0</v>
      </c>
      <c r="AK116" s="1713">
        <f>AK100-AK108</f>
        <v>0</v>
      </c>
      <c r="AL116" s="1713">
        <f>AL100-AL108</f>
        <v>0</v>
      </c>
      <c r="AM116" s="1713">
        <f>AM100-AM108</f>
        <v>0</v>
      </c>
      <c r="AN116" s="1713">
        <f>AN100-AN108</f>
        <v>0</v>
      </c>
      <c r="AO116" s="1713">
        <f>AO100-AO108</f>
        <v>0</v>
      </c>
      <c r="AP116" s="1713">
        <f>AP100-AP108</f>
        <v>0</v>
      </c>
      <c r="AQ116" s="1713">
        <f>AQ100-AQ108</f>
        <v>0</v>
      </c>
      <c r="AR116" s="1713">
        <f>AR100-AR108</f>
        <v>0</v>
      </c>
      <c r="AS116" s="1713">
        <f>AS100-AS108</f>
        <v>0</v>
      </c>
      <c r="AT116" s="1713">
        <f>AT100-AT108</f>
        <v>0</v>
      </c>
      <c r="AU116" s="1713">
        <f>AU100-AU108</f>
        <v>0</v>
      </c>
      <c r="AV116" s="1713">
        <f>AV100-AV108</f>
        <v>0</v>
      </c>
      <c r="AW116" s="1713">
        <f>AW100-AW108</f>
        <v>0</v>
      </c>
      <c r="AX116" s="1713">
        <f>AX100-AX108</f>
        <v>0</v>
      </c>
      <c r="AY116" s="1713">
        <f>AY100-AY108</f>
        <v>0</v>
      </c>
      <c r="AZ116" s="1713">
        <f>AZ100-AZ108</f>
        <v>0</v>
      </c>
      <c r="BA116" s="1713">
        <f>BA100-BA108</f>
        <v>0</v>
      </c>
      <c r="BB116" s="1713">
        <f>BB100-BB108</f>
        <v>0</v>
      </c>
      <c r="BC116" s="1719"/>
      <c r="BD116" s="500"/>
      <c r="BE116" s="500"/>
      <c r="BF116" s="1198" t="s">
        <v>626</v>
      </c>
    </row>
    <row s="1632" customFormat="1" customHeight="1" ht="16.5">
      <c r="A117" s="1186"/>
      <c r="B117" s="927"/>
      <c r="C117" s="1582"/>
      <c r="D117" s="1582"/>
      <c r="E117" s="797">
        <v>17.1</v>
      </c>
      <c r="F117" s="922" cm="1" t="str">
        <f t="array" ref="F117:F117">OFFSET(G117,-1,-1)</f>
        <v>1</v>
      </c>
      <c r="G117" s="500"/>
      <c r="H117" s="500"/>
      <c r="I117" s="500"/>
      <c r="J117" s="500"/>
      <c r="K117" s="500"/>
      <c r="L117" s="500"/>
      <c r="M117" s="500"/>
      <c r="N117" s="500"/>
      <c r="O117" s="500"/>
      <c r="P117" s="500"/>
      <c r="Q117" s="500"/>
      <c r="R117" s="500"/>
      <c r="S117" s="500"/>
      <c r="T117" s="808" cm="1" t="str">
        <f t="array" ref="T117:T117">T116</f>
        <v>true</v>
      </c>
      <c r="U117" s="1582"/>
      <c r="V117" s="1582"/>
      <c r="W117" s="1582"/>
      <c r="X117" s="1582"/>
      <c r="Y117" s="1582"/>
      <c r="Z117" s="1582"/>
      <c r="AA117" s="500"/>
      <c r="AB117" s="847" t="str">
        <f>AB113&amp;".2"</f>
        <v>3.2</v>
      </c>
      <c r="AC117" s="724" t="s">
        <v>607</v>
      </c>
      <c r="AD117" s="169" t="s">
        <v>599</v>
      </c>
      <c r="AE117" s="367">
        <f>AE118+AE119</f>
        <v>8443.64</v>
      </c>
      <c r="AF117" s="367">
        <f>AF118+AF119</f>
        <v>8456.95</v>
      </c>
      <c r="AG117" s="367">
        <f>AG118+AG119</f>
        <v>8456.95</v>
      </c>
      <c r="AH117" s="367">
        <f>AH118+AH119</f>
        <v>7326.65</v>
      </c>
      <c r="AI117" s="367">
        <f>AI118+AI119</f>
        <v>8296.9</v>
      </c>
      <c r="AJ117" s="367">
        <f>AJ118+AJ119</f>
        <v>7326.65</v>
      </c>
      <c r="AK117" s="367">
        <f>AK118+AK119</f>
        <v>0</v>
      </c>
      <c r="AL117" s="367">
        <f>AL118+AL119</f>
        <v>0</v>
      </c>
      <c r="AM117" s="367">
        <f>AM118+AM119</f>
        <v>0</v>
      </c>
      <c r="AN117" s="367">
        <f>AN118+AN119</f>
        <v>0</v>
      </c>
      <c r="AO117" s="367">
        <f>AO118+AO119</f>
        <v>0</v>
      </c>
      <c r="AP117" s="367">
        <f>AP118+AP119</f>
        <v>0</v>
      </c>
      <c r="AQ117" s="367">
        <f>AQ118+AQ119</f>
        <v>0</v>
      </c>
      <c r="AR117" s="367">
        <f>AR118+AR119</f>
        <v>0</v>
      </c>
      <c r="AS117" s="367">
        <f>AS118+AS119</f>
        <v>7326.65</v>
      </c>
      <c r="AT117" s="367">
        <f>AT118+AT119</f>
        <v>0</v>
      </c>
      <c r="AU117" s="367">
        <f>AU118+AU119</f>
        <v>0</v>
      </c>
      <c r="AV117" s="367">
        <f>AV118+AV119</f>
        <v>0</v>
      </c>
      <c r="AW117" s="367">
        <f>AW118+AW119</f>
        <v>0</v>
      </c>
      <c r="AX117" s="367">
        <f>AX118+AX119</f>
        <v>0</v>
      </c>
      <c r="AY117" s="367">
        <f>AY118+AY119</f>
        <v>0</v>
      </c>
      <c r="AZ117" s="367">
        <f>AZ118+AZ119</f>
        <v>0</v>
      </c>
      <c r="BA117" s="367">
        <f>BA118+BA119</f>
        <v>0</v>
      </c>
      <c r="BB117" s="367">
        <f>BB118+BB119</f>
        <v>0</v>
      </c>
      <c r="BC117" s="1719"/>
      <c r="BD117" s="500"/>
      <c r="BE117" s="500"/>
      <c r="BF117" s="1198" t="s">
        <v>627</v>
      </c>
    </row>
    <row s="1632" customFormat="1" customHeight="1" ht="16.5">
      <c r="A118" s="1186"/>
      <c r="B118" s="927"/>
      <c r="C118" s="1582"/>
      <c r="D118" s="1582"/>
      <c r="E118" s="797">
        <v>17.1</v>
      </c>
      <c r="F118" s="922" cm="1" t="str">
        <f t="array" ref="F118:F118">OFFSET(G118,-1,-1)</f>
        <v>1</v>
      </c>
      <c r="G118" s="500"/>
      <c r="H118" s="500"/>
      <c r="I118" s="500"/>
      <c r="J118" s="500"/>
      <c r="K118" s="500"/>
      <c r="L118" s="500"/>
      <c r="M118" s="500"/>
      <c r="N118" s="500"/>
      <c r="O118" s="500"/>
      <c r="P118" s="500"/>
      <c r="Q118" s="500"/>
      <c r="R118" s="500"/>
      <c r="S118" s="500"/>
      <c r="T118" s="808" cm="1" t="str">
        <f t="array" ref="T118:T118">T117</f>
        <v>true</v>
      </c>
      <c r="U118" s="1582"/>
      <c r="V118" s="1582"/>
      <c r="W118" s="1582"/>
      <c r="X118" s="1582"/>
      <c r="Y118" s="1582"/>
      <c r="Z118" s="1582"/>
      <c r="AA118" s="500"/>
      <c r="AB118" s="847" t="str">
        <f>AB117&amp;".1"</f>
        <v>3.2.1</v>
      </c>
      <c r="AC118" s="722" t="s">
        <v>603</v>
      </c>
      <c r="AD118" s="169" t="s">
        <v>599</v>
      </c>
      <c r="AE118" s="1713">
        <f>AE102-AE110</f>
        <v>8443.64</v>
      </c>
      <c r="AF118" s="1713">
        <f>AF102-AF110</f>
        <v>8456.95</v>
      </c>
      <c r="AG118" s="1713">
        <f>AG102-AG110</f>
        <v>8456.95</v>
      </c>
      <c r="AH118" s="1713">
        <f>AH102-AH110</f>
        <v>7326.65</v>
      </c>
      <c r="AI118" s="1713">
        <f>AI102-AI110</f>
        <v>8296.9</v>
      </c>
      <c r="AJ118" s="1713">
        <f>AJ102-AJ110</f>
        <v>7326.65</v>
      </c>
      <c r="AK118" s="1713">
        <f>AK102-AK110</f>
        <v>0</v>
      </c>
      <c r="AL118" s="1713">
        <f>AL102-AL110</f>
        <v>0</v>
      </c>
      <c r="AM118" s="1713">
        <f>AM102-AM110</f>
        <v>0</v>
      </c>
      <c r="AN118" s="1713">
        <f>AN102-AN110</f>
        <v>0</v>
      </c>
      <c r="AO118" s="1713">
        <f>AO102-AO110</f>
        <v>0</v>
      </c>
      <c r="AP118" s="1713">
        <f>AP102-AP110</f>
        <v>0</v>
      </c>
      <c r="AQ118" s="1713">
        <f>AQ102-AQ110</f>
        <v>0</v>
      </c>
      <c r="AR118" s="1713">
        <f>AR102-AR110</f>
        <v>0</v>
      </c>
      <c r="AS118" s="1713">
        <f>AS102-AS110</f>
        <v>7326.65</v>
      </c>
      <c r="AT118" s="1713">
        <f>AT102-AT110</f>
        <v>0</v>
      </c>
      <c r="AU118" s="1713">
        <f>AU102-AU110</f>
        <v>0</v>
      </c>
      <c r="AV118" s="1713">
        <f>AV102-AV110</f>
        <v>0</v>
      </c>
      <c r="AW118" s="1713">
        <f>AW102-AW110</f>
        <v>0</v>
      </c>
      <c r="AX118" s="1713">
        <f>AX102-AX110</f>
        <v>0</v>
      </c>
      <c r="AY118" s="1713">
        <f>AY102-AY110</f>
        <v>0</v>
      </c>
      <c r="AZ118" s="1713">
        <f>AZ102-AZ110</f>
        <v>0</v>
      </c>
      <c r="BA118" s="1713">
        <f>BA102-BA110</f>
        <v>0</v>
      </c>
      <c r="BB118" s="1713">
        <f>BB102-BB110</f>
        <v>0</v>
      </c>
      <c r="BC118" s="1719"/>
      <c r="BD118" s="500"/>
      <c r="BE118" s="500"/>
      <c r="BF118" s="1198" t="s">
        <v>628</v>
      </c>
    </row>
    <row s="1632" customFormat="1" customHeight="1" ht="16.5">
      <c r="A119" s="1186"/>
      <c r="B119" s="927"/>
      <c r="C119" s="1582"/>
      <c r="D119" s="1582"/>
      <c r="E119" s="797">
        <v>17.1</v>
      </c>
      <c r="F119" s="922" cm="1" t="str">
        <f t="array" ref="F119:F119">OFFSET(G119,-1,-1)</f>
        <v>1</v>
      </c>
      <c r="G119" s="500"/>
      <c r="H119" s="500"/>
      <c r="I119" s="500"/>
      <c r="J119" s="500"/>
      <c r="K119" s="500"/>
      <c r="L119" s="500"/>
      <c r="M119" s="500"/>
      <c r="N119" s="500"/>
      <c r="O119" s="500"/>
      <c r="P119" s="500"/>
      <c r="Q119" s="500"/>
      <c r="R119" s="500"/>
      <c r="S119" s="500"/>
      <c r="T119" s="808" cm="1" t="str">
        <f t="array" ref="T119:T119">T118</f>
        <v>true</v>
      </c>
      <c r="U119" s="1582"/>
      <c r="V119" s="1582"/>
      <c r="W119" s="1582"/>
      <c r="X119" s="1582"/>
      <c r="Y119" s="1582"/>
      <c r="Z119" s="1582"/>
      <c r="AA119" s="500"/>
      <c r="AB119" s="847" t="str">
        <f>AB117&amp;".2"</f>
        <v>3.2.2</v>
      </c>
      <c r="AC119" s="562" t="s">
        <v>605</v>
      </c>
      <c r="AD119" s="853" t="s">
        <v>599</v>
      </c>
      <c r="AE119" s="1713">
        <f>AE103-AE111</f>
        <v>0</v>
      </c>
      <c r="AF119" s="1713">
        <f>AF103-AF111</f>
        <v>0</v>
      </c>
      <c r="AG119" s="1713">
        <f>AG103-AG111</f>
        <v>0</v>
      </c>
      <c r="AH119" s="1713">
        <f>AH103-AH111</f>
        <v>0</v>
      </c>
      <c r="AI119" s="1713">
        <f>AI103-AI111</f>
        <v>0</v>
      </c>
      <c r="AJ119" s="1713">
        <f>AJ103-AJ111</f>
        <v>0</v>
      </c>
      <c r="AK119" s="1713">
        <f>AK103-AK111</f>
        <v>0</v>
      </c>
      <c r="AL119" s="1713">
        <f>AL103-AL111</f>
        <v>0</v>
      </c>
      <c r="AM119" s="1713">
        <f>AM103-AM111</f>
        <v>0</v>
      </c>
      <c r="AN119" s="1713">
        <f>AN103-AN111</f>
        <v>0</v>
      </c>
      <c r="AO119" s="1713">
        <f>AO103-AO111</f>
        <v>0</v>
      </c>
      <c r="AP119" s="1713">
        <f>AP103-AP111</f>
        <v>0</v>
      </c>
      <c r="AQ119" s="1713">
        <f>AQ103-AQ111</f>
        <v>0</v>
      </c>
      <c r="AR119" s="1713">
        <f>AR103-AR111</f>
        <v>0</v>
      </c>
      <c r="AS119" s="1713">
        <f>AS103-AS111</f>
        <v>0</v>
      </c>
      <c r="AT119" s="1713">
        <f>AT103-AT111</f>
        <v>0</v>
      </c>
      <c r="AU119" s="1713">
        <f>AU103-AU111</f>
        <v>0</v>
      </c>
      <c r="AV119" s="1713">
        <f>AV103-AV111</f>
        <v>0</v>
      </c>
      <c r="AW119" s="1713">
        <f>AW103-AW111</f>
        <v>0</v>
      </c>
      <c r="AX119" s="1713">
        <f>AX103-AX111</f>
        <v>0</v>
      </c>
      <c r="AY119" s="1713">
        <f>AY103-AY111</f>
        <v>0</v>
      </c>
      <c r="AZ119" s="1713">
        <f>AZ103-AZ111</f>
        <v>0</v>
      </c>
      <c r="BA119" s="1713">
        <f>BA103-BA111</f>
        <v>0</v>
      </c>
      <c r="BB119" s="1713">
        <f>BB103-BB111</f>
        <v>0</v>
      </c>
      <c r="BC119" s="1719"/>
      <c r="BD119" s="500"/>
      <c r="BE119" s="500"/>
      <c r="BF119" s="1198" t="s">
        <v>629</v>
      </c>
    </row>
    <row s="1632" customFormat="1" customHeight="1" ht="16.5">
      <c r="A120" s="1186"/>
      <c r="B120" s="927"/>
      <c r="C120" s="1582"/>
      <c r="D120" s="1582"/>
      <c r="E120" s="797">
        <v>17.1</v>
      </c>
      <c r="F120" s="922" cm="1" t="str">
        <f t="array" ref="F120:F120">OFFSET(G120,-1,-1)</f>
        <v>1</v>
      </c>
      <c r="G120" s="500"/>
      <c r="H120" s="500"/>
      <c r="I120" s="500"/>
      <c r="J120" s="500"/>
      <c r="K120" s="500"/>
      <c r="L120" s="500"/>
      <c r="M120" s="500"/>
      <c r="N120" s="500"/>
      <c r="O120" s="500"/>
      <c r="P120" s="500"/>
      <c r="Q120" s="500"/>
      <c r="R120" s="500"/>
      <c r="S120" s="500"/>
      <c r="T120" s="808" cm="1" t="str">
        <f t="array" ref="T120:T120">T119</f>
        <v>true</v>
      </c>
      <c r="U120" s="1582"/>
      <c r="V120" s="1582"/>
      <c r="W120" s="1582"/>
      <c r="X120" s="1582"/>
      <c r="Y120" s="1582"/>
      <c r="Z120" s="1582"/>
      <c r="AA120" s="500"/>
      <c r="AB120" s="847" t="str">
        <f>AB113&amp;".3"</f>
        <v>3.3</v>
      </c>
      <c r="AC120" s="559" t="s">
        <v>611</v>
      </c>
      <c r="AD120" s="170" t="s">
        <v>599</v>
      </c>
      <c r="AE120" s="1713"/>
      <c r="AF120" s="1713"/>
      <c r="AG120" s="1713"/>
      <c r="AH120" s="1713"/>
      <c r="AI120" s="1713"/>
      <c r="AJ120" s="1713"/>
      <c r="AK120" s="1713"/>
      <c r="AL120" s="1713"/>
      <c r="AM120" s="1713"/>
      <c r="AN120" s="1713"/>
      <c r="AO120" s="1713"/>
      <c r="AP120" s="1713"/>
      <c r="AQ120" s="1713"/>
      <c r="AR120" s="1713"/>
      <c r="AS120" s="1713"/>
      <c r="AT120" s="1713"/>
      <c r="AU120" s="1713"/>
      <c r="AV120" s="1713"/>
      <c r="AW120" s="1713"/>
      <c r="AX120" s="1713"/>
      <c r="AY120" s="1713"/>
      <c r="AZ120" s="1713"/>
      <c r="BA120" s="1713"/>
      <c r="BB120" s="1713"/>
      <c r="BC120" s="1719"/>
      <c r="BD120" s="500"/>
      <c r="BE120" s="500"/>
      <c r="BF120" s="1198" t="s">
        <v>630</v>
      </c>
    </row>
    <row s="1632" customFormat="1" customHeight="1" ht="16.5">
      <c r="A121" s="1186"/>
      <c r="B121" s="927"/>
      <c r="C121" s="1582"/>
      <c r="D121" s="1582"/>
      <c r="E121" s="797">
        <v>17.1</v>
      </c>
      <c r="F121" s="922" cm="1" t="str">
        <f t="array" ref="F121:F121">OFFSET(G121,-1,-1)</f>
        <v>1</v>
      </c>
      <c r="G121" s="500"/>
      <c r="H121" s="500"/>
      <c r="I121" s="500"/>
      <c r="J121" s="500"/>
      <c r="K121" s="500"/>
      <c r="L121" s="500"/>
      <c r="M121" s="500"/>
      <c r="N121" s="500"/>
      <c r="O121" s="500"/>
      <c r="P121" s="500"/>
      <c r="Q121" s="500"/>
      <c r="R121" s="500"/>
      <c r="S121" s="500"/>
      <c r="T121" s="808" cm="1" t="str">
        <f t="array" ref="T121:T121">T120</f>
        <v>true</v>
      </c>
      <c r="U121" s="1582"/>
      <c r="V121" s="1582"/>
      <c r="W121" s="1582"/>
      <c r="X121" s="1582"/>
      <c r="Y121" s="1582"/>
      <c r="Z121" s="1582"/>
      <c r="AA121" s="500"/>
      <c r="AB121" s="568" t="s">
        <v>432</v>
      </c>
      <c r="AC121" s="569" t="s">
        <v>631</v>
      </c>
      <c r="AD121" s="170" t="s">
        <v>599</v>
      </c>
      <c r="AE121" s="526">
        <f>AE122+AE123</f>
        <v>0</v>
      </c>
      <c r="AF121" s="526">
        <f>AF122+AF123</f>
        <v>0</v>
      </c>
      <c r="AG121" s="526">
        <f>AG122+AG123</f>
        <v>0</v>
      </c>
      <c r="AH121" s="526">
        <f>AH122+AH123</f>
        <v>0</v>
      </c>
      <c r="AI121" s="526">
        <f>AI122+AI123</f>
        <v>0</v>
      </c>
      <c r="AJ121" s="526">
        <f>AJ122+AJ123</f>
        <v>0</v>
      </c>
      <c r="AK121" s="526">
        <f>AK122+AK123</f>
        <v>0</v>
      </c>
      <c r="AL121" s="526">
        <f>AL122+AL123</f>
        <v>0</v>
      </c>
      <c r="AM121" s="526">
        <f>AM122+AM123</f>
        <v>0</v>
      </c>
      <c r="AN121" s="526">
        <f>AN122+AN123</f>
        <v>0</v>
      </c>
      <c r="AO121" s="526">
        <f>AO122+AO123</f>
        <v>0</v>
      </c>
      <c r="AP121" s="526">
        <f>AP122+AP123</f>
        <v>0</v>
      </c>
      <c r="AQ121" s="526">
        <f>AQ122+AQ123</f>
        <v>0</v>
      </c>
      <c r="AR121" s="526">
        <f>AR122+AR123</f>
        <v>0</v>
      </c>
      <c r="AS121" s="526">
        <f>AS122+AS123</f>
        <v>0</v>
      </c>
      <c r="AT121" s="526">
        <f>AT122+AT123</f>
        <v>0</v>
      </c>
      <c r="AU121" s="526">
        <f>AU122+AU123</f>
        <v>0</v>
      </c>
      <c r="AV121" s="526">
        <f>AV122+AV123</f>
        <v>0</v>
      </c>
      <c r="AW121" s="526">
        <f>AW122+AW123</f>
        <v>0</v>
      </c>
      <c r="AX121" s="526">
        <f>AX122+AX123</f>
        <v>0</v>
      </c>
      <c r="AY121" s="526">
        <f>AY122+AY123</f>
        <v>0</v>
      </c>
      <c r="AZ121" s="526">
        <f>AZ122+AZ123</f>
        <v>0</v>
      </c>
      <c r="BA121" s="526">
        <f>BA122+BA123</f>
        <v>0</v>
      </c>
      <c r="BB121" s="526">
        <f>BB122+BB123</f>
        <v>0</v>
      </c>
      <c r="BC121" s="1719"/>
      <c r="BD121" s="500"/>
      <c r="BE121" s="500"/>
      <c r="BF121" s="1198" t="s">
        <v>632</v>
      </c>
    </row>
    <row s="1632" customFormat="1" customHeight="1" ht="16.5">
      <c r="A122" s="1186"/>
      <c r="B122" s="927"/>
      <c r="C122" s="1582"/>
      <c r="D122" s="1582"/>
      <c r="E122" s="797">
        <v>17.1</v>
      </c>
      <c r="F122" s="922" cm="1" t="str">
        <f t="array" ref="F122:F122">OFFSET(G122,-1,-1)</f>
        <v>1</v>
      </c>
      <c r="G122" s="500"/>
      <c r="H122" s="500"/>
      <c r="I122" s="500"/>
      <c r="J122" s="500"/>
      <c r="K122" s="500"/>
      <c r="L122" s="500"/>
      <c r="M122" s="500"/>
      <c r="N122" s="500"/>
      <c r="O122" s="500"/>
      <c r="P122" s="500"/>
      <c r="Q122" s="500"/>
      <c r="R122" s="500"/>
      <c r="S122" s="500"/>
      <c r="T122" s="808" cm="1" t="str">
        <f t="array" ref="T122:T122">T121</f>
        <v>true</v>
      </c>
      <c r="U122" s="1582"/>
      <c r="V122" s="1582"/>
      <c r="W122" s="1582"/>
      <c r="X122" s="1582"/>
      <c r="Y122" s="1582"/>
      <c r="Z122" s="1582"/>
      <c r="AA122" s="500"/>
      <c r="AB122" s="847" t="str">
        <f>AB121&amp;".1"</f>
        <v>4.1</v>
      </c>
      <c r="AC122" s="559" t="s">
        <v>603</v>
      </c>
      <c r="AD122" s="170" t="s">
        <v>599</v>
      </c>
      <c r="AE122" s="1715"/>
      <c r="AF122" s="1715"/>
      <c r="AG122" s="1715"/>
      <c r="AH122" s="1715"/>
      <c r="AI122" s="1715"/>
      <c r="AJ122" s="1715"/>
      <c r="AK122" s="1715"/>
      <c r="AL122" s="1715"/>
      <c r="AM122" s="1715"/>
      <c r="AN122" s="1715"/>
      <c r="AO122" s="1715"/>
      <c r="AP122" s="1715"/>
      <c r="AQ122" s="1715"/>
      <c r="AR122" s="1715"/>
      <c r="AS122" s="1715"/>
      <c r="AT122" s="1715"/>
      <c r="AU122" s="1715"/>
      <c r="AV122" s="1715"/>
      <c r="AW122" s="1715"/>
      <c r="AX122" s="1715"/>
      <c r="AY122" s="1715"/>
      <c r="AZ122" s="1715"/>
      <c r="BA122" s="1715"/>
      <c r="BB122" s="1715"/>
      <c r="BC122" s="1719"/>
      <c r="BD122" s="500"/>
      <c r="BE122" s="500"/>
      <c r="BF122" s="1198" t="s">
        <v>633</v>
      </c>
    </row>
    <row s="1632" customFormat="1" customHeight="1" ht="16.5">
      <c r="A123" s="1186"/>
      <c r="B123" s="927"/>
      <c r="C123" s="1582"/>
      <c r="D123" s="1582"/>
      <c r="E123" s="797">
        <v>17.1</v>
      </c>
      <c r="F123" s="922" cm="1" t="str">
        <f t="array" ref="F123:F123">OFFSET(G123,-1,-1)</f>
        <v>1</v>
      </c>
      <c r="G123" s="500"/>
      <c r="H123" s="500"/>
      <c r="I123" s="500"/>
      <c r="J123" s="500"/>
      <c r="K123" s="500"/>
      <c r="L123" s="500"/>
      <c r="M123" s="500"/>
      <c r="N123" s="500"/>
      <c r="O123" s="500"/>
      <c r="P123" s="500"/>
      <c r="Q123" s="500"/>
      <c r="R123" s="500"/>
      <c r="S123" s="500"/>
      <c r="T123" s="808" cm="1" t="str">
        <f t="array" ref="T123:T123">T122</f>
        <v>true</v>
      </c>
      <c r="U123" s="1582"/>
      <c r="V123" s="1582"/>
      <c r="W123" s="1582"/>
      <c r="X123" s="1582"/>
      <c r="Y123" s="1582"/>
      <c r="Z123" s="1582"/>
      <c r="AA123" s="500"/>
      <c r="AB123" s="847" t="str">
        <f>AB121&amp;".2"</f>
        <v>4.2</v>
      </c>
      <c r="AC123" s="559" t="s">
        <v>605</v>
      </c>
      <c r="AD123" s="170" t="s">
        <v>599</v>
      </c>
      <c r="AE123" s="1716"/>
      <c r="AF123" s="1716"/>
      <c r="AG123" s="1716"/>
      <c r="AH123" s="1716"/>
      <c r="AI123" s="1716"/>
      <c r="AJ123" s="1716"/>
      <c r="AK123" s="1716"/>
      <c r="AL123" s="1716"/>
      <c r="AM123" s="1716"/>
      <c r="AN123" s="1716"/>
      <c r="AO123" s="1716"/>
      <c r="AP123" s="1716"/>
      <c r="AQ123" s="1716"/>
      <c r="AR123" s="1716"/>
      <c r="AS123" s="1716"/>
      <c r="AT123" s="1716"/>
      <c r="AU123" s="1716"/>
      <c r="AV123" s="1716"/>
      <c r="AW123" s="1716"/>
      <c r="AX123" s="1716"/>
      <c r="AY123" s="1716"/>
      <c r="AZ123" s="1716"/>
      <c r="BA123" s="1716"/>
      <c r="BB123" s="1716"/>
      <c r="BC123" s="1721"/>
      <c r="BD123" s="500"/>
      <c r="BE123" s="500"/>
      <c r="BF123" s="1198" t="s">
        <v>634</v>
      </c>
    </row>
    <row s="1632" customFormat="1" customHeight="1" ht="16.5">
      <c r="A124" s="1186"/>
      <c r="B124" s="927"/>
      <c r="C124" s="1582"/>
      <c r="D124" s="1582"/>
      <c r="E124" s="797">
        <v>17.1</v>
      </c>
      <c r="F124" s="922" cm="1" t="str">
        <f t="array" ref="F124:F124">OFFSET(G124,-1,-1)</f>
        <v>1</v>
      </c>
      <c r="G124" s="500"/>
      <c r="H124" s="500"/>
      <c r="I124" s="500"/>
      <c r="J124" s="500"/>
      <c r="K124" s="500"/>
      <c r="L124" s="500"/>
      <c r="M124" s="500"/>
      <c r="N124" s="500"/>
      <c r="O124" s="500"/>
      <c r="P124" s="500"/>
      <c r="Q124" s="500"/>
      <c r="R124" s="500"/>
      <c r="S124" s="500"/>
      <c r="T124" s="808" cm="1" t="str">
        <f t="array" ref="T124:T124">T123</f>
        <v>true</v>
      </c>
      <c r="U124" s="1582"/>
      <c r="V124" s="1582"/>
      <c r="W124" s="1582"/>
      <c r="X124" s="1582"/>
      <c r="Y124" s="1582"/>
      <c r="Z124" s="1582"/>
      <c r="AA124" s="500"/>
      <c r="AB124" s="856" t="s">
        <v>435</v>
      </c>
      <c r="AC124" s="527" t="s">
        <v>635</v>
      </c>
      <c r="AD124" s="413" t="s">
        <v>599</v>
      </c>
      <c r="AE124" s="1713">
        <v>372.36</v>
      </c>
      <c r="AF124" s="1713" cm="1" t="str">
        <f t="array" ref="AF124:AF124">AE124</f>
        <v>372.36</v>
      </c>
      <c r="AG124" s="1713">
        <v>372.98</v>
      </c>
      <c r="AH124" s="1713">
        <v>323.11</v>
      </c>
      <c r="AI124" s="1713">
        <v>532.8</v>
      </c>
      <c r="AJ124" s="1713">
        <v>323.11</v>
      </c>
      <c r="AK124" s="1713"/>
      <c r="AL124" s="1713"/>
      <c r="AM124" s="1713"/>
      <c r="AN124" s="1713"/>
      <c r="AO124" s="1713"/>
      <c r="AP124" s="1713"/>
      <c r="AQ124" s="1713"/>
      <c r="AR124" s="1713"/>
      <c r="AS124" s="1713">
        <v>323.11</v>
      </c>
      <c r="AT124" s="1713"/>
      <c r="AU124" s="1713"/>
      <c r="AV124" s="1713"/>
      <c r="AW124" s="1713"/>
      <c r="AX124" s="1713"/>
      <c r="AY124" s="1713"/>
      <c r="AZ124" s="1713"/>
      <c r="BA124" s="1713"/>
      <c r="BB124" s="1713"/>
      <c r="BC124" s="1722"/>
      <c r="BD124" s="500"/>
      <c r="BE124" s="500"/>
      <c r="BF124" s="1198" t="s">
        <v>636</v>
      </c>
    </row>
    <row s="1632" customFormat="1" customHeight="1" ht="16.5">
      <c r="A125" s="1186"/>
      <c r="B125" s="927"/>
      <c r="C125" s="1582"/>
      <c r="D125" s="1582"/>
      <c r="E125" s="797">
        <v>17.1</v>
      </c>
      <c r="F125" s="922" cm="1" t="str">
        <f t="array" ref="F125:F125">OFFSET(G125,-1,-1)</f>
        <v>1</v>
      </c>
      <c r="G125" s="500"/>
      <c r="H125" s="500"/>
      <c r="I125" s="500"/>
      <c r="J125" s="500"/>
      <c r="K125" s="500"/>
      <c r="L125" s="500"/>
      <c r="M125" s="500"/>
      <c r="N125" s="500"/>
      <c r="O125" s="500"/>
      <c r="P125" s="500"/>
      <c r="Q125" s="500"/>
      <c r="R125" s="500"/>
      <c r="S125" s="500"/>
      <c r="T125" s="808" cm="1" t="str">
        <f t="array" ref="T125:T125">T124</f>
        <v>true</v>
      </c>
      <c r="U125" s="1582"/>
      <c r="V125" s="1582"/>
      <c r="W125" s="1582"/>
      <c r="X125" s="1582"/>
      <c r="Y125" s="1582"/>
      <c r="Z125" s="1582"/>
      <c r="AA125" s="500"/>
      <c r="AB125" s="857" t="s">
        <v>637</v>
      </c>
      <c r="AC125" s="481" t="s">
        <v>638</v>
      </c>
      <c r="AD125" s="413" t="s">
        <v>599</v>
      </c>
      <c r="AE125" s="367">
        <f>AE113-AE124</f>
        <v>8071.28</v>
      </c>
      <c r="AF125" s="367">
        <f>AF113-AF124</f>
        <v>8084.59</v>
      </c>
      <c r="AG125" s="367">
        <f>AG113-AG124</f>
        <v>8083.97</v>
      </c>
      <c r="AH125" s="367">
        <f>AH113-AH124</f>
        <v>7003.54</v>
      </c>
      <c r="AI125" s="367">
        <f>AI113-AI124</f>
        <v>7764.1</v>
      </c>
      <c r="AJ125" s="367">
        <f>AJ113-AJ124</f>
        <v>7003.54</v>
      </c>
      <c r="AK125" s="367">
        <f>AK113-AK124</f>
        <v>0</v>
      </c>
      <c r="AL125" s="367">
        <f>AL113-AL124</f>
        <v>0</v>
      </c>
      <c r="AM125" s="367">
        <f>AM113-AM124</f>
        <v>0</v>
      </c>
      <c r="AN125" s="367">
        <f>AN113-AN124</f>
        <v>0</v>
      </c>
      <c r="AO125" s="367">
        <f>AO113-AO124</f>
        <v>0</v>
      </c>
      <c r="AP125" s="367">
        <f>AP113-AP124</f>
        <v>0</v>
      </c>
      <c r="AQ125" s="367">
        <f>AQ113-AQ124</f>
        <v>0</v>
      </c>
      <c r="AR125" s="367">
        <f>AR113-AR124</f>
        <v>0</v>
      </c>
      <c r="AS125" s="367">
        <f>AS113-AS124</f>
        <v>7003.54</v>
      </c>
      <c r="AT125" s="367">
        <f>AT113-AT124</f>
        <v>0</v>
      </c>
      <c r="AU125" s="367">
        <f>AU113-AU124</f>
        <v>0</v>
      </c>
      <c r="AV125" s="367">
        <f>AV113-AV124</f>
        <v>0</v>
      </c>
      <c r="AW125" s="367">
        <f>AW113-AW124</f>
        <v>0</v>
      </c>
      <c r="AX125" s="367">
        <f>AX113-AX124</f>
        <v>0</v>
      </c>
      <c r="AY125" s="367">
        <f>AY113-AY124</f>
        <v>0</v>
      </c>
      <c r="AZ125" s="367">
        <f>AZ113-AZ124</f>
        <v>0</v>
      </c>
      <c r="BA125" s="367">
        <f>BA113-BA124</f>
        <v>0</v>
      </c>
      <c r="BB125" s="367">
        <f>BB113-BB124</f>
        <v>0</v>
      </c>
      <c r="BC125" s="1722"/>
      <c r="BD125" s="500"/>
      <c r="BE125" s="500"/>
      <c r="BF125" s="1198" t="s">
        <v>639</v>
      </c>
    </row>
    <row s="1632" customFormat="1" customHeight="1" ht="16.5">
      <c r="A126" s="1186"/>
      <c r="B126" s="927"/>
      <c r="C126" s="1582"/>
      <c r="D126" s="1582"/>
      <c r="E126" s="797">
        <v>17.1</v>
      </c>
      <c r="F126" s="922" cm="1" t="str">
        <f t="array" ref="F126:F126">OFFSET(G126,-1,-1)</f>
        <v>1</v>
      </c>
      <c r="G126" s="500"/>
      <c r="H126" s="500"/>
      <c r="I126" s="500"/>
      <c r="J126" s="500"/>
      <c r="K126" s="500"/>
      <c r="L126" s="500"/>
      <c r="M126" s="500"/>
      <c r="N126" s="500"/>
      <c r="O126" s="500"/>
      <c r="P126" s="500"/>
      <c r="Q126" s="500"/>
      <c r="R126" s="500"/>
      <c r="S126" s="500"/>
      <c r="T126" s="808" cm="1" t="str">
        <f t="array" ref="T126:T126">T125</f>
        <v>true</v>
      </c>
      <c r="U126" s="1582"/>
      <c r="V126" s="1582"/>
      <c r="W126" s="1582"/>
      <c r="X126" s="1582"/>
      <c r="Y126" s="1582"/>
      <c r="Z126" s="1582"/>
      <c r="AA126" s="500"/>
      <c r="AB126" s="847" t="str">
        <f>AB125&amp;".1"</f>
        <v>6.1</v>
      </c>
      <c r="AC126" s="559" t="s">
        <v>603</v>
      </c>
      <c r="AD126" s="413" t="s">
        <v>599</v>
      </c>
      <c r="AE126" s="367">
        <f>AE125-AE134</f>
        <v>8071.28</v>
      </c>
      <c r="AF126" s="367">
        <f>AF125-AF134</f>
        <v>8084.59</v>
      </c>
      <c r="AG126" s="367">
        <f>AG125-AG134</f>
        <v>8083.97</v>
      </c>
      <c r="AH126" s="367">
        <f>AH125-AH134</f>
        <v>7003.54</v>
      </c>
      <c r="AI126" s="367">
        <f>AI125-AI134</f>
        <v>7764.1</v>
      </c>
      <c r="AJ126" s="367">
        <f>AJ125-AJ134</f>
        <v>7003.54</v>
      </c>
      <c r="AK126" s="367">
        <f>AK125-AK134</f>
        <v>0</v>
      </c>
      <c r="AL126" s="367">
        <f>AL125-AL134</f>
        <v>0</v>
      </c>
      <c r="AM126" s="367">
        <f>AM125-AM134</f>
        <v>0</v>
      </c>
      <c r="AN126" s="367">
        <f>AN125-AN134</f>
        <v>0</v>
      </c>
      <c r="AO126" s="367">
        <f>AO125-AO134</f>
        <v>0</v>
      </c>
      <c r="AP126" s="367">
        <f>AP125-AP134</f>
        <v>0</v>
      </c>
      <c r="AQ126" s="367">
        <f>AQ125-AQ134</f>
        <v>0</v>
      </c>
      <c r="AR126" s="367">
        <f>AR125-AR134</f>
        <v>0</v>
      </c>
      <c r="AS126" s="367">
        <f>AS125-AS134</f>
        <v>7003.54</v>
      </c>
      <c r="AT126" s="367">
        <f>AT125-AT134</f>
        <v>0</v>
      </c>
      <c r="AU126" s="367">
        <f>AU125-AU134</f>
        <v>0</v>
      </c>
      <c r="AV126" s="367">
        <f>AV125-AV134</f>
        <v>0</v>
      </c>
      <c r="AW126" s="367">
        <f>AW125-AW134</f>
        <v>0</v>
      </c>
      <c r="AX126" s="367">
        <f>AX125-AX134</f>
        <v>0</v>
      </c>
      <c r="AY126" s="367">
        <f>AY125-AY134</f>
        <v>0</v>
      </c>
      <c r="AZ126" s="367">
        <f>AZ125-AZ134</f>
        <v>0</v>
      </c>
      <c r="BA126" s="367">
        <f>BA125-BA134</f>
        <v>0</v>
      </c>
      <c r="BB126" s="367">
        <f>BB125-BB134</f>
        <v>0</v>
      </c>
      <c r="BC126" s="1722"/>
      <c r="BD126" s="500"/>
      <c r="BE126" s="500"/>
      <c r="BF126" s="1198" t="s">
        <v>640</v>
      </c>
    </row>
    <row s="1632" customFormat="1" customHeight="1" ht="16.5">
      <c r="A127" s="1186"/>
      <c r="B127" s="927"/>
      <c r="C127" s="1582"/>
      <c r="D127" s="1582"/>
      <c r="E127" s="797">
        <v>17.1</v>
      </c>
      <c r="F127" s="922" cm="1" t="str">
        <f t="array" ref="F127:F127">OFFSET(G127,-1,-1)</f>
        <v>1</v>
      </c>
      <c r="G127" s="500"/>
      <c r="H127" s="500"/>
      <c r="I127" s="500"/>
      <c r="J127" s="500"/>
      <c r="K127" s="500"/>
      <c r="L127" s="500"/>
      <c r="M127" s="500"/>
      <c r="N127" s="500"/>
      <c r="O127" s="500"/>
      <c r="P127" s="500"/>
      <c r="Q127" s="500"/>
      <c r="R127" s="500"/>
      <c r="S127" s="500"/>
      <c r="T127" s="808" cm="1" t="str">
        <f t="array" ref="T127:T127">T126</f>
        <v>true</v>
      </c>
      <c r="U127" s="1582"/>
      <c r="V127" s="1582"/>
      <c r="W127" s="1582"/>
      <c r="X127" s="1582"/>
      <c r="Y127" s="1582"/>
      <c r="Z127" s="1582"/>
      <c r="AA127" s="500"/>
      <c r="AB127" s="847" t="str">
        <f>AB126&amp;".1"</f>
        <v>6.1.1</v>
      </c>
      <c r="AC127" s="684" t="s">
        <v>641</v>
      </c>
      <c r="AD127" s="170" t="s">
        <v>599</v>
      </c>
      <c r="AE127" s="1713"/>
      <c r="AF127" s="1713"/>
      <c r="AG127" s="1713"/>
      <c r="AH127" s="1713"/>
      <c r="AI127" s="1713"/>
      <c r="AJ127" s="1713"/>
      <c r="AK127" s="1713"/>
      <c r="AL127" s="1713"/>
      <c r="AM127" s="1713"/>
      <c r="AN127" s="1713"/>
      <c r="AO127" s="1713"/>
      <c r="AP127" s="1713"/>
      <c r="AQ127" s="1713"/>
      <c r="AR127" s="1713"/>
      <c r="AS127" s="1713"/>
      <c r="AT127" s="1713"/>
      <c r="AU127" s="1713"/>
      <c r="AV127" s="1713"/>
      <c r="AW127" s="1713"/>
      <c r="AX127" s="1713"/>
      <c r="AY127" s="1713"/>
      <c r="AZ127" s="1713"/>
      <c r="BA127" s="1713"/>
      <c r="BB127" s="1713"/>
      <c r="BC127" s="1722"/>
      <c r="BD127" s="500"/>
      <c r="BE127" s="500"/>
      <c r="BF127" s="1198" t="s">
        <v>642</v>
      </c>
    </row>
    <row s="1632" customFormat="1" customHeight="1" ht="16.5">
      <c r="A128" s="1186"/>
      <c r="B128" s="927"/>
      <c r="C128" s="1582"/>
      <c r="D128" s="1582"/>
      <c r="E128" s="797">
        <v>17.1</v>
      </c>
      <c r="F128" s="922" cm="1" t="str">
        <f t="array" ref="F128:F128">OFFSET(G128,-1,-1)</f>
        <v>1</v>
      </c>
      <c r="G128" s="500"/>
      <c r="H128" s="500"/>
      <c r="I128" s="500"/>
      <c r="J128" s="500"/>
      <c r="K128" s="500"/>
      <c r="L128" s="500"/>
      <c r="M128" s="500"/>
      <c r="N128" s="500"/>
      <c r="O128" s="500"/>
      <c r="P128" s="500"/>
      <c r="Q128" s="500"/>
      <c r="R128" s="500"/>
      <c r="S128" s="500"/>
      <c r="T128" s="808" cm="1" t="str">
        <f t="array" ref="T128:T128">T127</f>
        <v>true</v>
      </c>
      <c r="U128" s="1582"/>
      <c r="V128" s="1582"/>
      <c r="W128" s="1582"/>
      <c r="X128" s="1582"/>
      <c r="Y128" s="1582"/>
      <c r="Z128" s="1582"/>
      <c r="AA128" s="500"/>
      <c r="AB128" s="847" t="str">
        <f>AB126&amp;".2"</f>
        <v>6.1.2</v>
      </c>
      <c r="AC128" s="685" t="s">
        <v>643</v>
      </c>
      <c r="AD128" s="170" t="s">
        <v>599</v>
      </c>
      <c r="AE128" s="1713">
        <f>SUM(AE129:AE132)</f>
        <v>0</v>
      </c>
      <c r="AF128" s="1713">
        <f>SUM(AF129:AF132)</f>
        <v>0</v>
      </c>
      <c r="AG128" s="1713">
        <f>SUM(AG129:AG132)</f>
        <v>0</v>
      </c>
      <c r="AH128" s="1713">
        <f>SUM(AH129:AH132)</f>
        <v>0</v>
      </c>
      <c r="AI128" s="1713">
        <f>SUM(AI129:AI132)</f>
        <v>0</v>
      </c>
      <c r="AJ128" s="1713">
        <f>SUM(AJ129:AJ132)</f>
        <v>0</v>
      </c>
      <c r="AK128" s="1713">
        <f>SUM(AK129:AK132)</f>
        <v>0</v>
      </c>
      <c r="AL128" s="1713">
        <f>SUM(AL129:AL132)</f>
        <v>0</v>
      </c>
      <c r="AM128" s="1713">
        <f>SUM(AM129:AM132)</f>
        <v>0</v>
      </c>
      <c r="AN128" s="1713">
        <f>SUM(AN129:AN132)</f>
        <v>0</v>
      </c>
      <c r="AO128" s="1713">
        <f>SUM(AO129:AO132)</f>
        <v>0</v>
      </c>
      <c r="AP128" s="1713">
        <f>SUM(AP129:AP132)</f>
        <v>0</v>
      </c>
      <c r="AQ128" s="1713">
        <f>SUM(AQ129:AQ132)</f>
        <v>0</v>
      </c>
      <c r="AR128" s="1713">
        <f>SUM(AR129:AR132)</f>
        <v>0</v>
      </c>
      <c r="AS128" s="1713">
        <f>SUM(AS129:AS132)</f>
        <v>0</v>
      </c>
      <c r="AT128" s="1713">
        <f>SUM(AT129:AT132)</f>
        <v>0</v>
      </c>
      <c r="AU128" s="1713">
        <f>SUM(AU129:AU132)</f>
        <v>0</v>
      </c>
      <c r="AV128" s="1713">
        <f>SUM(AV129:AV132)</f>
        <v>0</v>
      </c>
      <c r="AW128" s="1713">
        <f>SUM(AW129:AW132)</f>
        <v>0</v>
      </c>
      <c r="AX128" s="1713">
        <f>SUM(AX129:AX132)</f>
        <v>0</v>
      </c>
      <c r="AY128" s="1713">
        <f>SUM(AY129:AY132)</f>
        <v>0</v>
      </c>
      <c r="AZ128" s="1713">
        <f>SUM(AZ129:AZ132)</f>
        <v>0</v>
      </c>
      <c r="BA128" s="1713">
        <f>SUM(BA129:BA132)</f>
        <v>0</v>
      </c>
      <c r="BB128" s="1713">
        <f>SUM(BB129:BB132)</f>
        <v>0</v>
      </c>
      <c r="BC128" s="1722"/>
      <c r="BD128" s="500"/>
      <c r="BE128" s="500"/>
      <c r="BF128" s="1198" t="s">
        <v>644</v>
      </c>
    </row>
    <row s="1632" customFormat="1" customHeight="1" ht="16.5">
      <c r="A129" s="1186"/>
      <c r="B129" s="927"/>
      <c r="C129" s="1582"/>
      <c r="D129" s="1582"/>
      <c r="E129" s="797">
        <v>17.1</v>
      </c>
      <c r="F129" s="922" cm="1" t="str">
        <f t="array" ref="F129:F129">OFFSET(G129,-1,-1)</f>
        <v>1</v>
      </c>
      <c r="G129" s="500"/>
      <c r="H129" s="500"/>
      <c r="I129" s="500"/>
      <c r="J129" s="500"/>
      <c r="K129" s="500"/>
      <c r="L129" s="500"/>
      <c r="M129" s="500"/>
      <c r="N129" s="500"/>
      <c r="O129" s="500"/>
      <c r="P129" s="500"/>
      <c r="Q129" s="500"/>
      <c r="R129" s="500"/>
      <c r="S129" s="500"/>
      <c r="T129" s="808" cm="1" t="str">
        <f t="array" ref="T129:T129">T128</f>
        <v>true</v>
      </c>
      <c r="U129" s="1582"/>
      <c r="V129" s="1582"/>
      <c r="W129" s="1582"/>
      <c r="X129" s="1582"/>
      <c r="Y129" s="1582"/>
      <c r="Z129" s="1582"/>
      <c r="AA129" s="500"/>
      <c r="AB129" s="847" t="str">
        <f>AB128&amp;".1"</f>
        <v>6.1.2.1</v>
      </c>
      <c r="AC129" s="686" t="s">
        <v>645</v>
      </c>
      <c r="AD129" s="413" t="s">
        <v>599</v>
      </c>
      <c r="AE129" s="1713"/>
      <c r="AF129" s="1713"/>
      <c r="AG129" s="1713"/>
      <c r="AH129" s="1713"/>
      <c r="AI129" s="1713"/>
      <c r="AJ129" s="1713"/>
      <c r="AK129" s="1713"/>
      <c r="AL129" s="1713"/>
      <c r="AM129" s="1713"/>
      <c r="AN129" s="1713"/>
      <c r="AO129" s="1713"/>
      <c r="AP129" s="1713"/>
      <c r="AQ129" s="1713"/>
      <c r="AR129" s="1713"/>
      <c r="AS129" s="1713"/>
      <c r="AT129" s="1713"/>
      <c r="AU129" s="1713"/>
      <c r="AV129" s="1713"/>
      <c r="AW129" s="1713"/>
      <c r="AX129" s="1713"/>
      <c r="AY129" s="1713"/>
      <c r="AZ129" s="1713"/>
      <c r="BA129" s="1713"/>
      <c r="BB129" s="1713"/>
      <c r="BC129" s="1722"/>
      <c r="BD129" s="500"/>
      <c r="BE129" s="500"/>
      <c r="BF129" s="1198" t="s">
        <v>646</v>
      </c>
    </row>
    <row s="1632" customFormat="1" customHeight="1" ht="16.5">
      <c r="A130" s="1186"/>
      <c r="B130" s="927"/>
      <c r="C130" s="1582"/>
      <c r="D130" s="1582"/>
      <c r="E130" s="797">
        <v>17.1</v>
      </c>
      <c r="F130" s="922" cm="1" t="str">
        <f t="array" ref="F130:F130">OFFSET(G130,-1,-1)</f>
        <v>1</v>
      </c>
      <c r="G130" s="500"/>
      <c r="H130" s="500"/>
      <c r="I130" s="500"/>
      <c r="J130" s="500"/>
      <c r="K130" s="500"/>
      <c r="L130" s="500"/>
      <c r="M130" s="500"/>
      <c r="N130" s="500"/>
      <c r="O130" s="500"/>
      <c r="P130" s="500"/>
      <c r="Q130" s="500"/>
      <c r="R130" s="500"/>
      <c r="S130" s="500"/>
      <c r="T130" s="808" cm="1" t="str">
        <f t="array" ref="T130:T130">T129</f>
        <v>true</v>
      </c>
      <c r="U130" s="1582"/>
      <c r="V130" s="1582"/>
      <c r="W130" s="1582"/>
      <c r="X130" s="1582"/>
      <c r="Y130" s="1582"/>
      <c r="Z130" s="1582"/>
      <c r="AA130" s="500"/>
      <c r="AB130" s="847" t="str">
        <f>AB128&amp;".2"</f>
        <v>6.1.2.2</v>
      </c>
      <c r="AC130" s="687" t="s">
        <v>647</v>
      </c>
      <c r="AD130" s="170" t="s">
        <v>599</v>
      </c>
      <c r="AE130" s="1713"/>
      <c r="AF130" s="1713"/>
      <c r="AG130" s="1713"/>
      <c r="AH130" s="1713"/>
      <c r="AI130" s="1713"/>
      <c r="AJ130" s="1713"/>
      <c r="AK130" s="1713"/>
      <c r="AL130" s="1713"/>
      <c r="AM130" s="1713"/>
      <c r="AN130" s="1713"/>
      <c r="AO130" s="1713"/>
      <c r="AP130" s="1713"/>
      <c r="AQ130" s="1713"/>
      <c r="AR130" s="1713"/>
      <c r="AS130" s="1713"/>
      <c r="AT130" s="1713"/>
      <c r="AU130" s="1713"/>
      <c r="AV130" s="1713"/>
      <c r="AW130" s="1713"/>
      <c r="AX130" s="1713"/>
      <c r="AY130" s="1713"/>
      <c r="AZ130" s="1713"/>
      <c r="BA130" s="1713"/>
      <c r="BB130" s="1713"/>
      <c r="BC130" s="1722"/>
      <c r="BD130" s="500"/>
      <c r="BE130" s="500"/>
      <c r="BF130" s="1198" t="s">
        <v>648</v>
      </c>
    </row>
    <row s="1632" customFormat="1" customHeight="1" ht="16.5">
      <c r="A131" s="1186"/>
      <c r="B131" s="927"/>
      <c r="C131" s="1582"/>
      <c r="D131" s="1582"/>
      <c r="E131" s="797">
        <v>17.1</v>
      </c>
      <c r="F131" s="922" cm="1" t="str">
        <f t="array" ref="F131:F131">OFFSET(G131,-1,-1)</f>
        <v>1</v>
      </c>
      <c r="G131" s="500"/>
      <c r="H131" s="500"/>
      <c r="I131" s="500"/>
      <c r="J131" s="500"/>
      <c r="K131" s="500"/>
      <c r="L131" s="500"/>
      <c r="M131" s="500"/>
      <c r="N131" s="500"/>
      <c r="O131" s="500"/>
      <c r="P131" s="500"/>
      <c r="Q131" s="500"/>
      <c r="R131" s="500"/>
      <c r="S131" s="500"/>
      <c r="T131" s="808" cm="1" t="str">
        <f t="array" ref="T131:T131">T130</f>
        <v>true</v>
      </c>
      <c r="U131" s="1582"/>
      <c r="V131" s="1582"/>
      <c r="W131" s="1582"/>
      <c r="X131" s="1582"/>
      <c r="Y131" s="1582"/>
      <c r="Z131" s="1582"/>
      <c r="AA131" s="500"/>
      <c r="AB131" s="847" t="str">
        <f>AB128&amp;".3"</f>
        <v>6.1.2.3</v>
      </c>
      <c r="AC131" s="687" t="s">
        <v>649</v>
      </c>
      <c r="AD131" s="170" t="s">
        <v>599</v>
      </c>
      <c r="AE131" s="1713"/>
      <c r="AF131" s="1713"/>
      <c r="AG131" s="1713"/>
      <c r="AH131" s="1713"/>
      <c r="AI131" s="1713"/>
      <c r="AJ131" s="1713"/>
      <c r="AK131" s="1713"/>
      <c r="AL131" s="1713"/>
      <c r="AM131" s="1713"/>
      <c r="AN131" s="1713"/>
      <c r="AO131" s="1713"/>
      <c r="AP131" s="1713"/>
      <c r="AQ131" s="1713"/>
      <c r="AR131" s="1713"/>
      <c r="AS131" s="1713"/>
      <c r="AT131" s="1713"/>
      <c r="AU131" s="1713"/>
      <c r="AV131" s="1713"/>
      <c r="AW131" s="1713"/>
      <c r="AX131" s="1713"/>
      <c r="AY131" s="1713"/>
      <c r="AZ131" s="1713"/>
      <c r="BA131" s="1713"/>
      <c r="BB131" s="1713"/>
      <c r="BC131" s="1722"/>
      <c r="BD131" s="500"/>
      <c r="BE131" s="500"/>
      <c r="BF131" s="1198" t="s">
        <v>650</v>
      </c>
    </row>
    <row s="1632" customFormat="1" customHeight="1" ht="16.5">
      <c r="A132" s="1186"/>
      <c r="B132" s="927"/>
      <c r="C132" s="1582"/>
      <c r="D132" s="1582"/>
      <c r="E132" s="797">
        <v>17.1</v>
      </c>
      <c r="F132" s="922" cm="1" t="str">
        <f t="array" ref="F132:F132">OFFSET(G132,-1,-1)</f>
        <v>1</v>
      </c>
      <c r="G132" s="500"/>
      <c r="H132" s="500"/>
      <c r="I132" s="500"/>
      <c r="J132" s="500"/>
      <c r="K132" s="500"/>
      <c r="L132" s="500"/>
      <c r="M132" s="500"/>
      <c r="N132" s="500"/>
      <c r="O132" s="500"/>
      <c r="P132" s="500"/>
      <c r="Q132" s="500"/>
      <c r="R132" s="500"/>
      <c r="S132" s="500"/>
      <c r="T132" s="808" cm="1" t="str">
        <f t="array" ref="T132:T132">T131</f>
        <v>true</v>
      </c>
      <c r="U132" s="1582"/>
      <c r="V132" s="1582"/>
      <c r="W132" s="1582"/>
      <c r="X132" s="1582"/>
      <c r="Y132" s="1582"/>
      <c r="Z132" s="1582"/>
      <c r="AA132" s="500"/>
      <c r="AB132" s="847" t="str">
        <f>AB128&amp;".4"</f>
        <v>6.1.2.4</v>
      </c>
      <c r="AC132" s="687" t="s">
        <v>651</v>
      </c>
      <c r="AD132" s="413" t="s">
        <v>599</v>
      </c>
      <c r="AE132" s="1713"/>
      <c r="AF132" s="1713"/>
      <c r="AG132" s="1713"/>
      <c r="AH132" s="1713"/>
      <c r="AI132" s="1713"/>
      <c r="AJ132" s="1713"/>
      <c r="AK132" s="1713"/>
      <c r="AL132" s="1713"/>
      <c r="AM132" s="1713"/>
      <c r="AN132" s="1713"/>
      <c r="AO132" s="1713"/>
      <c r="AP132" s="1713"/>
      <c r="AQ132" s="1713"/>
      <c r="AR132" s="1713"/>
      <c r="AS132" s="1713"/>
      <c r="AT132" s="1713"/>
      <c r="AU132" s="1713"/>
      <c r="AV132" s="1713"/>
      <c r="AW132" s="1713"/>
      <c r="AX132" s="1713"/>
      <c r="AY132" s="1713"/>
      <c r="AZ132" s="1713"/>
      <c r="BA132" s="1713"/>
      <c r="BB132" s="1713"/>
      <c r="BC132" s="1722"/>
      <c r="BD132" s="500"/>
      <c r="BE132" s="500"/>
      <c r="BF132" s="1198" t="s">
        <v>652</v>
      </c>
    </row>
    <row s="1632" customFormat="1" customHeight="1" ht="16.5">
      <c r="A133" s="1186"/>
      <c r="B133" s="927"/>
      <c r="C133" s="1582"/>
      <c r="D133" s="1582"/>
      <c r="E133" s="797">
        <v>17.1</v>
      </c>
      <c r="F133" s="922" cm="1" t="str">
        <f t="array" ref="F133:F133">OFFSET(G133,-1,-1)</f>
        <v>1</v>
      </c>
      <c r="G133" s="500"/>
      <c r="H133" s="500"/>
      <c r="I133" s="500"/>
      <c r="J133" s="500"/>
      <c r="K133" s="500"/>
      <c r="L133" s="500"/>
      <c r="M133" s="500"/>
      <c r="N133" s="500"/>
      <c r="O133" s="500"/>
      <c r="P133" s="500"/>
      <c r="Q133" s="500"/>
      <c r="R133" s="500"/>
      <c r="S133" s="500"/>
      <c r="T133" s="808" cm="1" t="str">
        <f t="array" ref="T133:T133">T132</f>
        <v>true</v>
      </c>
      <c r="U133" s="1582"/>
      <c r="V133" s="1582"/>
      <c r="W133" s="1582"/>
      <c r="X133" s="1582"/>
      <c r="Y133" s="1582"/>
      <c r="Z133" s="1582"/>
      <c r="AA133" s="500"/>
      <c r="AB133" s="847" t="str">
        <f>AB126&amp;".3"</f>
        <v>6.1.3</v>
      </c>
      <c r="AC133" s="1109" t="s">
        <v>653</v>
      </c>
      <c r="AD133" s="413" t="s">
        <v>599</v>
      </c>
      <c r="AE133" s="1713">
        <f>AE126-AE127-AE128</f>
        <v>8071.28</v>
      </c>
      <c r="AF133" s="1713">
        <f>AF126-AF127-AF128</f>
        <v>8084.59</v>
      </c>
      <c r="AG133" s="1713">
        <f>AG126-AG127-AG128</f>
        <v>8083.97</v>
      </c>
      <c r="AH133" s="1713">
        <f>AH126-AH127-AH128</f>
        <v>7003.54</v>
      </c>
      <c r="AI133" s="1713">
        <f>AI126-AI127-AI128</f>
        <v>7764.1</v>
      </c>
      <c r="AJ133" s="1713">
        <f>AJ126-AJ127-AJ128</f>
        <v>7003.54</v>
      </c>
      <c r="AK133" s="1713">
        <f>AK126-AK127-AK128</f>
        <v>0</v>
      </c>
      <c r="AL133" s="1713">
        <f>AL126-AL127-AL128</f>
        <v>0</v>
      </c>
      <c r="AM133" s="1713">
        <f>AM126-AM127-AM128</f>
        <v>0</v>
      </c>
      <c r="AN133" s="1713">
        <f>AN126-AN127-AN128</f>
        <v>0</v>
      </c>
      <c r="AO133" s="1713">
        <f>AO126-AO127-AO128</f>
        <v>0</v>
      </c>
      <c r="AP133" s="1713">
        <f>AP126-AP127-AP128</f>
        <v>0</v>
      </c>
      <c r="AQ133" s="1713">
        <f>AQ126-AQ127-AQ128</f>
        <v>0</v>
      </c>
      <c r="AR133" s="1713">
        <f>AR126-AR127-AR128</f>
        <v>0</v>
      </c>
      <c r="AS133" s="1713">
        <f>AS126-AS127-AS128</f>
        <v>7003.54</v>
      </c>
      <c r="AT133" s="1713">
        <f>AT126-AT127-AT128</f>
        <v>0</v>
      </c>
      <c r="AU133" s="1713">
        <f>AU126-AU127-AU128</f>
        <v>0</v>
      </c>
      <c r="AV133" s="1713">
        <f>AV126-AV127-AV128</f>
        <v>0</v>
      </c>
      <c r="AW133" s="1713">
        <f>AW126-AW127-AW128</f>
        <v>0</v>
      </c>
      <c r="AX133" s="1713">
        <f>AX126-AX127-AX128</f>
        <v>0</v>
      </c>
      <c r="AY133" s="1713">
        <f>AY126-AY127-AY128</f>
        <v>0</v>
      </c>
      <c r="AZ133" s="1713">
        <f>AZ126-AZ127-AZ128</f>
        <v>0</v>
      </c>
      <c r="BA133" s="1713">
        <f>BA126-BA127-BA128</f>
        <v>0</v>
      </c>
      <c r="BB133" s="1713">
        <f>BB126-BB127-BB128</f>
        <v>0</v>
      </c>
      <c r="BC133" s="1722"/>
      <c r="BD133" s="500"/>
      <c r="BE133" s="500"/>
      <c r="BF133" s="1198" t="s">
        <v>654</v>
      </c>
    </row>
    <row s="1632" customFormat="1" customHeight="1" ht="16.5">
      <c r="A134" s="1186"/>
      <c r="B134" s="927"/>
      <c r="C134" s="1582"/>
      <c r="D134" s="1582"/>
      <c r="E134" s="797">
        <v>17.1</v>
      </c>
      <c r="F134" s="922" cm="1" t="str">
        <f t="array" ref="F134:F134">OFFSET(G134,-1,-1)</f>
        <v>1</v>
      </c>
      <c r="G134" s="500"/>
      <c r="H134" s="500"/>
      <c r="I134" s="500"/>
      <c r="J134" s="500"/>
      <c r="K134" s="500"/>
      <c r="L134" s="500"/>
      <c r="M134" s="500"/>
      <c r="N134" s="500"/>
      <c r="O134" s="500"/>
      <c r="P134" s="500"/>
      <c r="Q134" s="500"/>
      <c r="R134" s="500"/>
      <c r="S134" s="500"/>
      <c r="T134" s="808" cm="1" t="str">
        <f t="array" ref="T134:T134">T133</f>
        <v>true</v>
      </c>
      <c r="U134" s="1582"/>
      <c r="V134" s="1582"/>
      <c r="W134" s="1582"/>
      <c r="X134" s="1582"/>
      <c r="Y134" s="1582"/>
      <c r="Z134" s="1582"/>
      <c r="AA134" s="500"/>
      <c r="AB134" s="847" t="str">
        <f>AB125&amp;".2"</f>
        <v>6.2</v>
      </c>
      <c r="AC134" s="559" t="s">
        <v>605</v>
      </c>
      <c r="AD134" s="413" t="s">
        <v>599</v>
      </c>
      <c r="AE134" s="1713"/>
      <c r="AF134" s="1713"/>
      <c r="AG134" s="1713"/>
      <c r="AH134" s="1713"/>
      <c r="AI134" s="1713"/>
      <c r="AJ134" s="1713"/>
      <c r="AK134" s="1713"/>
      <c r="AL134" s="1713"/>
      <c r="AM134" s="1713"/>
      <c r="AN134" s="1713"/>
      <c r="AO134" s="1713"/>
      <c r="AP134" s="1713"/>
      <c r="AQ134" s="1713"/>
      <c r="AR134" s="1713"/>
      <c r="AS134" s="1713"/>
      <c r="AT134" s="1713"/>
      <c r="AU134" s="1713"/>
      <c r="AV134" s="1713"/>
      <c r="AW134" s="1713"/>
      <c r="AX134" s="1713"/>
      <c r="AY134" s="1713"/>
      <c r="AZ134" s="1713"/>
      <c r="BA134" s="1713"/>
      <c r="BB134" s="1713"/>
      <c r="BC134" s="1722"/>
      <c r="BD134" s="500"/>
      <c r="BE134" s="500"/>
      <c r="BF134" s="1198" t="s">
        <v>655</v>
      </c>
    </row>
    <row s="1632" customFormat="1" customHeight="1" ht="16.5">
      <c r="A135" s="1186"/>
      <c r="B135" s="927"/>
      <c r="C135" s="1582"/>
      <c r="D135" s="1582"/>
      <c r="E135" s="797">
        <v>17.1</v>
      </c>
      <c r="F135" s="922" cm="1" t="str">
        <f t="array" ref="F135:F135">OFFSET(G135,-1,-1)</f>
        <v>1</v>
      </c>
      <c r="G135" s="500"/>
      <c r="H135" s="500"/>
      <c r="I135" s="500"/>
      <c r="J135" s="500"/>
      <c r="K135" s="500"/>
      <c r="L135" s="500"/>
      <c r="M135" s="500"/>
      <c r="N135" s="500"/>
      <c r="O135" s="500"/>
      <c r="P135" s="500"/>
      <c r="Q135" s="500"/>
      <c r="R135" s="500"/>
      <c r="S135" s="500"/>
      <c r="T135" s="808" cm="1" t="str">
        <f t="array" ref="T135:T135">T134</f>
        <v>true</v>
      </c>
      <c r="U135" s="1582"/>
      <c r="V135" s="1582"/>
      <c r="W135" s="1582"/>
      <c r="X135" s="1582"/>
      <c r="Y135" s="1582"/>
      <c r="Z135" s="1582"/>
      <c r="AA135" s="500"/>
      <c r="AB135" s="568" t="s">
        <v>656</v>
      </c>
      <c r="AC135" s="569" t="s">
        <v>657</v>
      </c>
      <c r="AD135" s="413" t="s">
        <v>599</v>
      </c>
      <c r="AE135" s="367">
        <f>SUM(AE136:AE137)</f>
        <v>8071.28</v>
      </c>
      <c r="AF135" s="367">
        <f>SUM(AF136:AF137)</f>
        <v>8084.59</v>
      </c>
      <c r="AG135" s="367">
        <f>SUM(AG136:AG137)</f>
        <v>8083.97</v>
      </c>
      <c r="AH135" s="367">
        <f>SUM(AH136:AH137)</f>
        <v>7003.54</v>
      </c>
      <c r="AI135" s="367">
        <f>SUM(AI136:AI137)</f>
        <v>7764.1</v>
      </c>
      <c r="AJ135" s="367">
        <f>SUM(AJ136:AJ137)</f>
        <v>7003.54</v>
      </c>
      <c r="AK135" s="367">
        <f>SUM(AK136:AK137)</f>
        <v>0</v>
      </c>
      <c r="AL135" s="367">
        <f>SUM(AL136:AL137)</f>
        <v>0</v>
      </c>
      <c r="AM135" s="367">
        <f>SUM(AM136:AM137)</f>
        <v>0</v>
      </c>
      <c r="AN135" s="367">
        <f>SUM(AN136:AN137)</f>
        <v>0</v>
      </c>
      <c r="AO135" s="367">
        <f>SUM(AO136:AO137)</f>
        <v>0</v>
      </c>
      <c r="AP135" s="367">
        <f>SUM(AP136:AP137)</f>
        <v>0</v>
      </c>
      <c r="AQ135" s="367">
        <f>SUM(AQ136:AQ137)</f>
        <v>0</v>
      </c>
      <c r="AR135" s="367">
        <f>SUM(AR136:AR137)</f>
        <v>0</v>
      </c>
      <c r="AS135" s="367">
        <f>SUM(AS136:AS137)</f>
        <v>7003.54</v>
      </c>
      <c r="AT135" s="367">
        <f>SUM(AT136:AT137)</f>
        <v>0</v>
      </c>
      <c r="AU135" s="367">
        <f>SUM(AU136:AU137)</f>
        <v>0</v>
      </c>
      <c r="AV135" s="367">
        <f>SUM(AV136:AV137)</f>
        <v>0</v>
      </c>
      <c r="AW135" s="367">
        <f>SUM(AW136:AW137)</f>
        <v>0</v>
      </c>
      <c r="AX135" s="367">
        <f>SUM(AX136:AX137)</f>
        <v>0</v>
      </c>
      <c r="AY135" s="367">
        <f>SUM(AY136:AY137)</f>
        <v>0</v>
      </c>
      <c r="AZ135" s="367">
        <f>SUM(AZ136:AZ137)</f>
        <v>0</v>
      </c>
      <c r="BA135" s="367">
        <f>SUM(BA136:BA137)</f>
        <v>0</v>
      </c>
      <c r="BB135" s="367">
        <f>SUM(BB136:BB137)</f>
        <v>0</v>
      </c>
      <c r="BC135" s="1722"/>
      <c r="BD135" s="500"/>
      <c r="BE135" s="500"/>
      <c r="BF135" s="1198" t="s">
        <v>658</v>
      </c>
    </row>
    <row s="1632" customFormat="1" customHeight="1" ht="16.5">
      <c r="A136" s="1186"/>
      <c r="B136" s="927"/>
      <c r="C136" s="1582"/>
      <c r="D136" s="1582"/>
      <c r="E136" s="797">
        <v>17.1</v>
      </c>
      <c r="F136" s="922" cm="1" t="str">
        <f t="array" ref="F136:F136">OFFSET(G136,-1,-1)</f>
        <v>1</v>
      </c>
      <c r="G136" s="500"/>
      <c r="H136" s="500"/>
      <c r="I136" s="500"/>
      <c r="J136" s="500"/>
      <c r="K136" s="500"/>
      <c r="L136" s="500"/>
      <c r="M136" s="500"/>
      <c r="N136" s="500"/>
      <c r="O136" s="500"/>
      <c r="P136" s="500"/>
      <c r="Q136" s="500"/>
      <c r="R136" s="500"/>
      <c r="S136" s="500"/>
      <c r="T136" s="808" cm="1" t="str">
        <f t="array" ref="T136:T136">T135</f>
        <v>true</v>
      </c>
      <c r="U136" s="1582"/>
      <c r="V136" s="1582"/>
      <c r="W136" s="1582"/>
      <c r="X136" s="1582"/>
      <c r="Y136" s="1582"/>
      <c r="Z136" s="1582"/>
      <c r="AA136" s="500"/>
      <c r="AB136" s="847" t="str">
        <f>AB135&amp;".1"</f>
        <v>7.1</v>
      </c>
      <c r="AC136" s="559" t="s">
        <v>603</v>
      </c>
      <c r="AD136" s="413" t="s">
        <v>599</v>
      </c>
      <c r="AE136" s="1713">
        <f>AE133+AE122</f>
        <v>8071.28</v>
      </c>
      <c r="AF136" s="1713">
        <f>AF133+AF122</f>
        <v>8084.59</v>
      </c>
      <c r="AG136" s="1713">
        <f>AG133+AG122</f>
        <v>8083.97</v>
      </c>
      <c r="AH136" s="1713">
        <f>AH133+AH122</f>
        <v>7003.54</v>
      </c>
      <c r="AI136" s="1713">
        <f>AI133+AI122</f>
        <v>7764.1</v>
      </c>
      <c r="AJ136" s="1713">
        <f>AJ133+AJ122</f>
        <v>7003.54</v>
      </c>
      <c r="AK136" s="1713">
        <f>AK133+AK122</f>
        <v>0</v>
      </c>
      <c r="AL136" s="1713">
        <f>AL133+AL122</f>
        <v>0</v>
      </c>
      <c r="AM136" s="1713">
        <f>AM133+AM122</f>
        <v>0</v>
      </c>
      <c r="AN136" s="1713">
        <f>AN133+AN122</f>
        <v>0</v>
      </c>
      <c r="AO136" s="1713">
        <f>AO133+AO122</f>
        <v>0</v>
      </c>
      <c r="AP136" s="1713">
        <f>AP133+AP122</f>
        <v>0</v>
      </c>
      <c r="AQ136" s="1713">
        <f>AQ133+AQ122</f>
        <v>0</v>
      </c>
      <c r="AR136" s="1713">
        <f>AR133+AR122</f>
        <v>0</v>
      </c>
      <c r="AS136" s="1713">
        <f>AS133+AS122</f>
        <v>7003.54</v>
      </c>
      <c r="AT136" s="1713">
        <f>AT133+AT122</f>
        <v>0</v>
      </c>
      <c r="AU136" s="1713">
        <f>AU133+AU122</f>
        <v>0</v>
      </c>
      <c r="AV136" s="1713">
        <f>AV133+AV122</f>
        <v>0</v>
      </c>
      <c r="AW136" s="1713">
        <f>AW133+AW122</f>
        <v>0</v>
      </c>
      <c r="AX136" s="1713">
        <f>AX133+AX122</f>
        <v>0</v>
      </c>
      <c r="AY136" s="1713">
        <f>AY133+AY122</f>
        <v>0</v>
      </c>
      <c r="AZ136" s="1713">
        <f>AZ133+AZ122</f>
        <v>0</v>
      </c>
      <c r="BA136" s="1713">
        <f>BA133+BA122</f>
        <v>0</v>
      </c>
      <c r="BB136" s="1713">
        <f>BB133+BB122</f>
        <v>0</v>
      </c>
      <c r="BC136" s="1722"/>
      <c r="BD136" s="500"/>
      <c r="BE136" s="500"/>
      <c r="BF136" s="1198" t="s">
        <v>659</v>
      </c>
    </row>
    <row s="1632" customFormat="1" customHeight="1" ht="16.5">
      <c r="A137" s="1186"/>
      <c r="B137" s="927"/>
      <c r="C137" s="1582"/>
      <c r="D137" s="1582"/>
      <c r="E137" s="797">
        <v>17.1</v>
      </c>
      <c r="F137" s="922" cm="1" t="str">
        <f t="array" ref="F137:F137">OFFSET(G137,-1,-1)</f>
        <v>1</v>
      </c>
      <c r="G137" s="500"/>
      <c r="H137" s="500"/>
      <c r="I137" s="500"/>
      <c r="J137" s="500"/>
      <c r="K137" s="500"/>
      <c r="L137" s="500"/>
      <c r="M137" s="500"/>
      <c r="N137" s="500"/>
      <c r="O137" s="500"/>
      <c r="P137" s="500"/>
      <c r="Q137" s="500"/>
      <c r="R137" s="500"/>
      <c r="S137" s="500"/>
      <c r="T137" s="808" cm="1" t="str">
        <f t="array" ref="T137:T137">T136</f>
        <v>true</v>
      </c>
      <c r="U137" s="1582"/>
      <c r="V137" s="1582"/>
      <c r="W137" s="1582"/>
      <c r="X137" s="1582"/>
      <c r="Y137" s="1582"/>
      <c r="Z137" s="1582"/>
      <c r="AA137" s="500"/>
      <c r="AB137" s="847" t="str">
        <f>AB135&amp;".2"</f>
        <v>7.2</v>
      </c>
      <c r="AC137" s="559" t="s">
        <v>605</v>
      </c>
      <c r="AD137" s="413" t="s">
        <v>599</v>
      </c>
      <c r="AE137" s="1713">
        <f>AE134+AE123</f>
        <v>0</v>
      </c>
      <c r="AF137" s="1713">
        <f>AF134+AF123</f>
        <v>0</v>
      </c>
      <c r="AG137" s="1713">
        <f>AG134+AG123</f>
        <v>0</v>
      </c>
      <c r="AH137" s="1713">
        <f>AH134+AH123</f>
        <v>0</v>
      </c>
      <c r="AI137" s="1713">
        <f>AI134+AI123</f>
        <v>0</v>
      </c>
      <c r="AJ137" s="1713">
        <f>AJ134+AJ123</f>
        <v>0</v>
      </c>
      <c r="AK137" s="1713">
        <f>AK134+AK123</f>
        <v>0</v>
      </c>
      <c r="AL137" s="1713">
        <f>AL134+AL123</f>
        <v>0</v>
      </c>
      <c r="AM137" s="1713">
        <f>AM134+AM123</f>
        <v>0</v>
      </c>
      <c r="AN137" s="1713">
        <f>AN134+AN123</f>
        <v>0</v>
      </c>
      <c r="AO137" s="1713">
        <f>AO134+AO123</f>
        <v>0</v>
      </c>
      <c r="AP137" s="1713">
        <f>AP134+AP123</f>
        <v>0</v>
      </c>
      <c r="AQ137" s="1713">
        <f>AQ134+AQ123</f>
        <v>0</v>
      </c>
      <c r="AR137" s="1713">
        <f>AR134+AR123</f>
        <v>0</v>
      </c>
      <c r="AS137" s="1713">
        <f>AS134+AS123</f>
        <v>0</v>
      </c>
      <c r="AT137" s="1713">
        <f>AT134+AT123</f>
        <v>0</v>
      </c>
      <c r="AU137" s="1713">
        <f>AU134+AU123</f>
        <v>0</v>
      </c>
      <c r="AV137" s="1713">
        <f>AV134+AV123</f>
        <v>0</v>
      </c>
      <c r="AW137" s="1713">
        <f>AW134+AW123</f>
        <v>0</v>
      </c>
      <c r="AX137" s="1713">
        <f>AX134+AX123</f>
        <v>0</v>
      </c>
      <c r="AY137" s="1713">
        <f>AY134+AY123</f>
        <v>0</v>
      </c>
      <c r="AZ137" s="1713">
        <f>AZ134+AZ123</f>
        <v>0</v>
      </c>
      <c r="BA137" s="1713">
        <f>BA134+BA123</f>
        <v>0</v>
      </c>
      <c r="BB137" s="1713">
        <f>BB134+BB123</f>
        <v>0</v>
      </c>
      <c r="BC137" s="1722"/>
      <c r="BD137" s="500"/>
      <c r="BE137" s="500"/>
      <c r="BF137" s="1198" t="s">
        <v>660</v>
      </c>
    </row>
    <row s="1632" customFormat="1" customHeight="1" ht="33">
      <c r="A138" s="1186"/>
      <c r="B138" s="927"/>
      <c r="C138" s="1582"/>
      <c r="D138" s="1582"/>
      <c r="E138" s="797">
        <v>34.5</v>
      </c>
      <c r="F138" s="922" cm="1" t="str">
        <f t="array" ref="F138:F138">OFFSET(G138,-1,-1)</f>
        <v>1</v>
      </c>
      <c r="G138" s="500"/>
      <c r="H138" s="500"/>
      <c r="I138" s="500"/>
      <c r="J138" s="500"/>
      <c r="K138" s="500"/>
      <c r="L138" s="500"/>
      <c r="M138" s="500"/>
      <c r="N138" s="500"/>
      <c r="O138" s="500"/>
      <c r="P138" s="500"/>
      <c r="Q138" s="500"/>
      <c r="R138" s="500"/>
      <c r="S138" s="500"/>
      <c r="T138" s="808" cm="1" t="str">
        <f t="array" ref="T138:T138">T137</f>
        <v>true</v>
      </c>
      <c r="U138" s="1582"/>
      <c r="V138" s="1582"/>
      <c r="W138" s="1582"/>
      <c r="X138" s="1582"/>
      <c r="Y138" s="1582"/>
      <c r="Z138" s="1582"/>
      <c r="AA138" s="500"/>
      <c r="AB138" s="568" t="s">
        <v>661</v>
      </c>
      <c r="AC138" s="569" t="s">
        <v>662</v>
      </c>
      <c r="AD138" s="413" t="s">
        <v>599</v>
      </c>
      <c r="AE138" s="367">
        <f>SUM(AE139,AE141)</f>
        <v>1377.54</v>
      </c>
      <c r="AF138" s="367">
        <f>SUM(AF139,AF141)</f>
        <v>1749.9</v>
      </c>
      <c r="AG138" s="367">
        <f>SUM(AG139,AG141)</f>
        <v>1377.54</v>
      </c>
      <c r="AH138" s="367">
        <f>SUM(AH139,AH141)</f>
        <v>1377.54</v>
      </c>
      <c r="AI138" s="367">
        <f>SUM(AI139,AI141)</f>
        <v>2138</v>
      </c>
      <c r="AJ138" s="367">
        <f>SUM(AJ139,AJ141)</f>
        <v>0</v>
      </c>
      <c r="AK138" s="367">
        <f>SUM(AK139,AK141)</f>
        <v>0</v>
      </c>
      <c r="AL138" s="367">
        <f>SUM(AL139,AL141)</f>
        <v>0</v>
      </c>
      <c r="AM138" s="367">
        <f>SUM(AM139,AM141)</f>
        <v>0</v>
      </c>
      <c r="AN138" s="367">
        <f>SUM(AN139,AN141)</f>
        <v>0</v>
      </c>
      <c r="AO138" s="367">
        <f>SUM(AO139,AO141)</f>
        <v>0</v>
      </c>
      <c r="AP138" s="367">
        <f>SUM(AP139,AP141)</f>
        <v>0</v>
      </c>
      <c r="AQ138" s="367">
        <f>SUM(AQ139,AQ141)</f>
        <v>0</v>
      </c>
      <c r="AR138" s="367">
        <f>SUM(AR139,AR141)</f>
        <v>0</v>
      </c>
      <c r="AS138" s="367">
        <f>SUM(AS139,AS141)</f>
        <v>1377.54</v>
      </c>
      <c r="AT138" s="367">
        <f>SUM(AT139,AT141)</f>
        <v>0</v>
      </c>
      <c r="AU138" s="367">
        <f>SUM(AU139,AU141)</f>
        <v>0</v>
      </c>
      <c r="AV138" s="367">
        <f>SUM(AV139,AV141)</f>
        <v>0</v>
      </c>
      <c r="AW138" s="367">
        <f>SUM(AW139,AW141)</f>
        <v>0</v>
      </c>
      <c r="AX138" s="367">
        <f>SUM(AX139,AX141)</f>
        <v>0</v>
      </c>
      <c r="AY138" s="367">
        <f>SUM(AY139,AY141)</f>
        <v>0</v>
      </c>
      <c r="AZ138" s="367">
        <f>SUM(AZ139,AZ141)</f>
        <v>0</v>
      </c>
      <c r="BA138" s="367">
        <f>SUM(BA139,BA141)</f>
        <v>0</v>
      </c>
      <c r="BB138" s="367">
        <f>SUM(BB139,BB141)</f>
        <v>0</v>
      </c>
      <c r="BC138" s="1722"/>
      <c r="BD138" s="500"/>
      <c r="BE138" s="500"/>
      <c r="BF138" s="1198" t="s">
        <v>663</v>
      </c>
    </row>
    <row s="1632" customFormat="1" customHeight="1" ht="16.5">
      <c r="A139" s="1186"/>
      <c r="B139" s="927"/>
      <c r="C139" s="1582"/>
      <c r="D139" s="1582"/>
      <c r="E139" s="797">
        <v>17.1</v>
      </c>
      <c r="F139" s="922" cm="1" t="str">
        <f t="array" ref="F139:F139">OFFSET(G139,-1,-1)</f>
        <v>1</v>
      </c>
      <c r="G139" s="500"/>
      <c r="H139" s="500"/>
      <c r="I139" s="500"/>
      <c r="J139" s="500"/>
      <c r="K139" s="500"/>
      <c r="L139" s="500"/>
      <c r="M139" s="500"/>
      <c r="N139" s="500"/>
      <c r="O139" s="500"/>
      <c r="P139" s="500"/>
      <c r="Q139" s="500"/>
      <c r="R139" s="500"/>
      <c r="S139" s="500"/>
      <c r="T139" s="808" cm="1" t="str">
        <f t="array" ref="T139:T139">T138</f>
        <v>true</v>
      </c>
      <c r="U139" s="1582"/>
      <c r="V139" s="1582"/>
      <c r="W139" s="1582"/>
      <c r="X139" s="1582"/>
      <c r="Y139" s="1582"/>
      <c r="Z139" s="1582"/>
      <c r="AA139" s="500"/>
      <c r="AB139" s="847" t="str">
        <f>AB138&amp;".1"</f>
        <v>8.1</v>
      </c>
      <c r="AC139" s="559" t="s">
        <v>603</v>
      </c>
      <c r="AD139" s="413" t="s">
        <v>599</v>
      </c>
      <c r="AE139" s="1713">
        <v>1377.54</v>
      </c>
      <c r="AF139" s="1713">
        <v>1749.9</v>
      </c>
      <c r="AG139" s="1713" cm="1" t="str">
        <f t="array" ref="AG139:AG139">AE139</f>
        <v>1377.54</v>
      </c>
      <c r="AH139" s="1713" cm="1" t="str">
        <f t="array" ref="AH139:AH139">AG139</f>
        <v>1377.54</v>
      </c>
      <c r="AI139" s="1713">
        <v>2138</v>
      </c>
      <c r="AJ139" s="1713"/>
      <c r="AK139" s="1713"/>
      <c r="AL139" s="1713"/>
      <c r="AM139" s="1713"/>
      <c r="AN139" s="1713"/>
      <c r="AO139" s="1713"/>
      <c r="AP139" s="1713"/>
      <c r="AQ139" s="1713"/>
      <c r="AR139" s="1713"/>
      <c r="AS139" s="1713" cm="1" t="str">
        <f t="array" ref="AS139:AS139">AH139</f>
        <v>1377.54</v>
      </c>
      <c r="AT139" s="1713"/>
      <c r="AU139" s="1713"/>
      <c r="AV139" s="1713"/>
      <c r="AW139" s="1713"/>
      <c r="AX139" s="1713"/>
      <c r="AY139" s="1713"/>
      <c r="AZ139" s="1713"/>
      <c r="BA139" s="1713"/>
      <c r="BB139" s="1713"/>
      <c r="BC139" s="1722"/>
      <c r="BD139" s="500"/>
      <c r="BE139" s="500"/>
      <c r="BF139" s="1198" t="s">
        <v>664</v>
      </c>
    </row>
    <row s="1632" customFormat="1" customHeight="1" ht="16.5">
      <c r="A140" s="1186"/>
      <c r="B140" s="927"/>
      <c r="C140" s="1582"/>
      <c r="D140" s="1582"/>
      <c r="E140" s="797">
        <v>17.1</v>
      </c>
      <c r="F140" s="922" cm="1" t="str">
        <f t="array" ref="F140:F140">OFFSET(G140,-1,-1)</f>
        <v>1</v>
      </c>
      <c r="G140" s="500"/>
      <c r="H140" s="500"/>
      <c r="I140" s="500"/>
      <c r="J140" s="500"/>
      <c r="K140" s="500"/>
      <c r="L140" s="500"/>
      <c r="M140" s="500"/>
      <c r="N140" s="500"/>
      <c r="O140" s="500"/>
      <c r="P140" s="500"/>
      <c r="Q140" s="500"/>
      <c r="R140" s="500"/>
      <c r="S140" s="500"/>
      <c r="T140" s="808" cm="1" t="str">
        <f t="array" ref="T140:T140">T139</f>
        <v>true</v>
      </c>
      <c r="U140" s="1582"/>
      <c r="V140" s="1582"/>
      <c r="W140" s="1582"/>
      <c r="X140" s="1582"/>
      <c r="Y140" s="1582"/>
      <c r="Z140" s="1582"/>
      <c r="AA140" s="500"/>
      <c r="AB140" s="847" t="str">
        <f>AB139&amp;".1"</f>
        <v>8.1.1</v>
      </c>
      <c r="AC140" s="683" t="s">
        <v>665</v>
      </c>
      <c r="AD140" s="413" t="s">
        <v>498</v>
      </c>
      <c r="AE140" s="1044">
        <f>_xlfn.IFERROR(AE139/AE136,0)</f>
        <v>0.170671814136048</v>
      </c>
      <c r="AF140" s="1044">
        <f>_xlfn.IFERROR(AF139/AF136,0)</f>
        <v>0.216448824244643</v>
      </c>
      <c r="AG140" s="1044">
        <f>_xlfn.IFERROR(AG139/AG136,0)</f>
        <v>0.170403898084728</v>
      </c>
      <c r="AH140" s="1044">
        <f>_xlfn.IFERROR(AH139/AH136,0)</f>
        <v>0.19669195863806</v>
      </c>
      <c r="AI140" s="1044">
        <f>_xlfn.IFERROR(AI139/AI136,0)</f>
        <v>0.275369972050849</v>
      </c>
      <c r="AJ140" s="1044">
        <f>_xlfn.IFERROR(AJ139/AJ136,0)</f>
        <v>0</v>
      </c>
      <c r="AK140" s="1044">
        <f>_xlfn.IFERROR(AK139/AK136,0)</f>
        <v>0</v>
      </c>
      <c r="AL140" s="1044">
        <f>_xlfn.IFERROR(AL139/AL136,0)</f>
        <v>0</v>
      </c>
      <c r="AM140" s="1044">
        <f>_xlfn.IFERROR(AM139/AM136,0)</f>
        <v>0</v>
      </c>
      <c r="AN140" s="1044">
        <f>_xlfn.IFERROR(AN139/AN136,0)</f>
        <v>0</v>
      </c>
      <c r="AO140" s="1044">
        <f>_xlfn.IFERROR(AO139/AO136,0)</f>
        <v>0</v>
      </c>
      <c r="AP140" s="1044">
        <f>_xlfn.IFERROR(AP139/AP136,0)</f>
        <v>0</v>
      </c>
      <c r="AQ140" s="1044">
        <f>_xlfn.IFERROR(AQ139/AQ136,0)</f>
        <v>0</v>
      </c>
      <c r="AR140" s="1044">
        <f>_xlfn.IFERROR(AR139/AR136,0)</f>
        <v>0</v>
      </c>
      <c r="AS140" s="1044">
        <f>_xlfn.IFERROR(AS139/AS136,0)</f>
        <v>0.19669195863806</v>
      </c>
      <c r="AT140" s="1044">
        <f>_xlfn.IFERROR(AT139/AT136,0)</f>
        <v>0</v>
      </c>
      <c r="AU140" s="1044">
        <f>_xlfn.IFERROR(AU139/AU136,0)</f>
        <v>0</v>
      </c>
      <c r="AV140" s="1044">
        <f>_xlfn.IFERROR(AV139/AV136,0)</f>
        <v>0</v>
      </c>
      <c r="AW140" s="1044">
        <f>_xlfn.IFERROR(AW139/AW136,0)</f>
        <v>0</v>
      </c>
      <c r="AX140" s="1044">
        <f>_xlfn.IFERROR(AX139/AX136,0)</f>
        <v>0</v>
      </c>
      <c r="AY140" s="1044">
        <f>_xlfn.IFERROR(AY139/AY136,0)</f>
        <v>0</v>
      </c>
      <c r="AZ140" s="1044">
        <f>_xlfn.IFERROR(AZ139/AZ136,0)</f>
        <v>0</v>
      </c>
      <c r="BA140" s="1044">
        <f>_xlfn.IFERROR(BA139/BA136,0)</f>
        <v>0</v>
      </c>
      <c r="BB140" s="1044">
        <f>_xlfn.IFERROR(BB139/BB136,0)</f>
        <v>0</v>
      </c>
      <c r="BC140" s="1722"/>
      <c r="BD140" s="500"/>
      <c r="BE140" s="500"/>
      <c r="BF140" s="1198" t="s">
        <v>666</v>
      </c>
    </row>
    <row s="1632" customFormat="1" customHeight="1" ht="16.5">
      <c r="A141" s="1186"/>
      <c r="B141" s="927"/>
      <c r="C141" s="1582"/>
      <c r="D141" s="1582"/>
      <c r="E141" s="797">
        <v>17.1</v>
      </c>
      <c r="F141" s="922" cm="1" t="str">
        <f t="array" ref="F141:F141">OFFSET(G141,-1,-1)</f>
        <v>1</v>
      </c>
      <c r="G141" s="500"/>
      <c r="H141" s="500"/>
      <c r="I141" s="500"/>
      <c r="J141" s="500"/>
      <c r="K141" s="500"/>
      <c r="L141" s="500"/>
      <c r="M141" s="500"/>
      <c r="N141" s="500"/>
      <c r="O141" s="500"/>
      <c r="P141" s="500"/>
      <c r="Q141" s="500"/>
      <c r="R141" s="500"/>
      <c r="S141" s="500"/>
      <c r="T141" s="808" cm="1" t="str">
        <f t="array" ref="T141:T141">T140</f>
        <v>true</v>
      </c>
      <c r="U141" s="1582"/>
      <c r="V141" s="1582"/>
      <c r="W141" s="1582"/>
      <c r="X141" s="1582"/>
      <c r="Y141" s="1582"/>
      <c r="Z141" s="1582"/>
      <c r="AA141" s="500"/>
      <c r="AB141" s="847" t="str">
        <f>AB138&amp;".2"</f>
        <v>8.2</v>
      </c>
      <c r="AC141" s="559" t="s">
        <v>605</v>
      </c>
      <c r="AD141" s="413" t="s">
        <v>599</v>
      </c>
      <c r="AE141" s="1713"/>
      <c r="AF141" s="1713"/>
      <c r="AG141" s="1713"/>
      <c r="AH141" s="1713"/>
      <c r="AI141" s="1713"/>
      <c r="AJ141" s="1713"/>
      <c r="AK141" s="1713"/>
      <c r="AL141" s="1713"/>
      <c r="AM141" s="1713"/>
      <c r="AN141" s="1713"/>
      <c r="AO141" s="1713"/>
      <c r="AP141" s="1713"/>
      <c r="AQ141" s="1713"/>
      <c r="AR141" s="1713"/>
      <c r="AS141" s="1713"/>
      <c r="AT141" s="1713"/>
      <c r="AU141" s="1713"/>
      <c r="AV141" s="1713"/>
      <c r="AW141" s="1713"/>
      <c r="AX141" s="1713"/>
      <c r="AY141" s="1713"/>
      <c r="AZ141" s="1713"/>
      <c r="BA141" s="1713"/>
      <c r="BB141" s="1713"/>
      <c r="BC141" s="1722"/>
      <c r="BD141" s="500"/>
      <c r="BE141" s="500"/>
      <c r="BF141" s="1198" t="s">
        <v>667</v>
      </c>
    </row>
    <row s="1632" customFormat="1" customHeight="1" ht="16.5">
      <c r="A142" s="1186"/>
      <c r="B142" s="927"/>
      <c r="C142" s="1582"/>
      <c r="D142" s="1582"/>
      <c r="E142" s="797">
        <v>17.1</v>
      </c>
      <c r="F142" s="922" cm="1" t="str">
        <f t="array" ref="F142:F142">OFFSET(G142,-1,-1)</f>
        <v>1</v>
      </c>
      <c r="G142" s="500"/>
      <c r="H142" s="500"/>
      <c r="I142" s="500"/>
      <c r="J142" s="500"/>
      <c r="K142" s="500"/>
      <c r="L142" s="500"/>
      <c r="M142" s="500"/>
      <c r="N142" s="500"/>
      <c r="O142" s="500"/>
      <c r="P142" s="500"/>
      <c r="Q142" s="500"/>
      <c r="R142" s="500"/>
      <c r="S142" s="500"/>
      <c r="T142" s="808" cm="1" t="str">
        <f t="array" ref="T142:T142">T141</f>
        <v>true</v>
      </c>
      <c r="U142" s="1582"/>
      <c r="V142" s="1582"/>
      <c r="W142" s="1582"/>
      <c r="X142" s="1582"/>
      <c r="Y142" s="1582"/>
      <c r="Z142" s="1582"/>
      <c r="AA142" s="500"/>
      <c r="AB142" s="847" t="str">
        <f>AB141&amp;".1"</f>
        <v>8.2.1</v>
      </c>
      <c r="AC142" s="683" t="s">
        <v>665</v>
      </c>
      <c r="AD142" s="170" t="s">
        <v>498</v>
      </c>
      <c r="AE142" s="1107">
        <f>_xlfn.IFERROR(AE141/AE137,0)</f>
        <v>0</v>
      </c>
      <c r="AF142" s="1107">
        <f>_xlfn.IFERROR(AF141/AF137,0)</f>
        <v>0</v>
      </c>
      <c r="AG142" s="1107">
        <f>_xlfn.IFERROR(AG141/AG137,0)</f>
        <v>0</v>
      </c>
      <c r="AH142" s="1107">
        <f>_xlfn.IFERROR(AH141/AH137,0)</f>
        <v>0</v>
      </c>
      <c r="AI142" s="1107">
        <f>_xlfn.IFERROR(AI141/AI137,0)</f>
        <v>0</v>
      </c>
      <c r="AJ142" s="1107">
        <f>_xlfn.IFERROR(AJ141/AJ137,0)</f>
        <v>0</v>
      </c>
      <c r="AK142" s="1107">
        <f>_xlfn.IFERROR(AK141/AK137,0)</f>
        <v>0</v>
      </c>
      <c r="AL142" s="1107">
        <f>_xlfn.IFERROR(AL141/AL137,0)</f>
        <v>0</v>
      </c>
      <c r="AM142" s="1107">
        <f>_xlfn.IFERROR(AM141/AM137,0)</f>
        <v>0</v>
      </c>
      <c r="AN142" s="1107">
        <f>_xlfn.IFERROR(AN141/AN137,0)</f>
        <v>0</v>
      </c>
      <c r="AO142" s="1107">
        <f>_xlfn.IFERROR(AO141/AO137,0)</f>
        <v>0</v>
      </c>
      <c r="AP142" s="1107">
        <f>_xlfn.IFERROR(AP141/AP137,0)</f>
        <v>0</v>
      </c>
      <c r="AQ142" s="1107">
        <f>_xlfn.IFERROR(AQ141/AQ137,0)</f>
        <v>0</v>
      </c>
      <c r="AR142" s="1107">
        <f>_xlfn.IFERROR(AR141/AR137,0)</f>
        <v>0</v>
      </c>
      <c r="AS142" s="1107">
        <f>_xlfn.IFERROR(AS141/AS137,0)</f>
        <v>0</v>
      </c>
      <c r="AT142" s="1107">
        <f>_xlfn.IFERROR(AT141/AT137,0)</f>
        <v>0</v>
      </c>
      <c r="AU142" s="1107">
        <f>_xlfn.IFERROR(AU141/AU137,0)</f>
        <v>0</v>
      </c>
      <c r="AV142" s="1107">
        <f>_xlfn.IFERROR(AV141/AV137,0)</f>
        <v>0</v>
      </c>
      <c r="AW142" s="1107">
        <f>_xlfn.IFERROR(AW141/AW137,0)</f>
        <v>0</v>
      </c>
      <c r="AX142" s="1107">
        <f>_xlfn.IFERROR(AX141/AX137,0)</f>
        <v>0</v>
      </c>
      <c r="AY142" s="1107">
        <f>_xlfn.IFERROR(AY141/AY137,0)</f>
        <v>0</v>
      </c>
      <c r="AZ142" s="1107">
        <f>_xlfn.IFERROR(AZ141/AZ137,0)</f>
        <v>0</v>
      </c>
      <c r="BA142" s="1107">
        <f>_xlfn.IFERROR(BA141/BA137,0)</f>
        <v>0</v>
      </c>
      <c r="BB142" s="1107">
        <f>_xlfn.IFERROR(BB141/BB137,0)</f>
        <v>0</v>
      </c>
      <c r="BC142" s="1723"/>
      <c r="BD142" s="500"/>
      <c r="BE142" s="500"/>
      <c r="BF142" s="1198" t="s">
        <v>668</v>
      </c>
    </row>
    <row s="1632" customFormat="1" customHeight="1" ht="16.5">
      <c r="A143" s="1186"/>
      <c r="B143" s="927"/>
      <c r="C143" s="1582"/>
      <c r="D143" s="1582"/>
      <c r="E143" s="797">
        <v>17.1</v>
      </c>
      <c r="F143" s="922" cm="1" t="str">
        <f t="array" ref="F143:F143">OFFSET(G143,-1,-1)</f>
        <v>1</v>
      </c>
      <c r="G143" s="500"/>
      <c r="H143" s="500"/>
      <c r="I143" s="500"/>
      <c r="J143" s="500"/>
      <c r="K143" s="500"/>
      <c r="L143" s="500"/>
      <c r="M143" s="500"/>
      <c r="N143" s="500"/>
      <c r="O143" s="500"/>
      <c r="P143" s="500"/>
      <c r="Q143" s="500"/>
      <c r="R143" s="500"/>
      <c r="S143" s="500"/>
      <c r="T143" s="808" cm="1" t="str">
        <f t="array" ref="T143:T143">T142</f>
        <v>true</v>
      </c>
      <c r="U143" s="1582"/>
      <c r="V143" s="1582"/>
      <c r="W143" s="1582"/>
      <c r="X143" s="1582"/>
      <c r="Y143" s="1582"/>
      <c r="Z143" s="1582"/>
      <c r="AA143" s="500"/>
      <c r="AB143" s="482" t="s">
        <v>669</v>
      </c>
      <c r="AC143" s="481" t="s">
        <v>670</v>
      </c>
      <c r="AD143" s="170" t="s">
        <v>599</v>
      </c>
      <c r="AE143" s="526">
        <f>AE135-AE138</f>
        <v>6693.74</v>
      </c>
      <c r="AF143" s="526">
        <f>AF135-AF138</f>
        <v>6334.69</v>
      </c>
      <c r="AG143" s="526">
        <f>AG135-AG138</f>
        <v>6706.43</v>
      </c>
      <c r="AH143" s="526">
        <f>AH135-AH138</f>
        <v>5626</v>
      </c>
      <c r="AI143" s="526">
        <f>AI135-AI138</f>
        <v>5626.1</v>
      </c>
      <c r="AJ143" s="526">
        <f>AJ135-AJ138</f>
        <v>7003.54</v>
      </c>
      <c r="AK143" s="526">
        <f>AK135-AK138</f>
        <v>0</v>
      </c>
      <c r="AL143" s="526">
        <f>AL135-AL138</f>
        <v>0</v>
      </c>
      <c r="AM143" s="526">
        <f>AM135-AM138</f>
        <v>0</v>
      </c>
      <c r="AN143" s="526">
        <f>AN135-AN138</f>
        <v>0</v>
      </c>
      <c r="AO143" s="526">
        <f>AO135-AO138</f>
        <v>0</v>
      </c>
      <c r="AP143" s="526">
        <f>AP135-AP138</f>
        <v>0</v>
      </c>
      <c r="AQ143" s="526">
        <f>AQ135-AQ138</f>
        <v>0</v>
      </c>
      <c r="AR143" s="526">
        <f>AR135-AR138</f>
        <v>0</v>
      </c>
      <c r="AS143" s="526">
        <f>AS135-AS138</f>
        <v>5626</v>
      </c>
      <c r="AT143" s="526">
        <f>AT135-AT138</f>
        <v>0</v>
      </c>
      <c r="AU143" s="526">
        <f>AU135-AU138</f>
        <v>0</v>
      </c>
      <c r="AV143" s="526">
        <f>AV135-AV138</f>
        <v>0</v>
      </c>
      <c r="AW143" s="526">
        <f>AW135-AW138</f>
        <v>0</v>
      </c>
      <c r="AX143" s="526">
        <f>AX135-AX138</f>
        <v>0</v>
      </c>
      <c r="AY143" s="526">
        <f>AY135-AY138</f>
        <v>0</v>
      </c>
      <c r="AZ143" s="526">
        <f>AZ135-AZ138</f>
        <v>0</v>
      </c>
      <c r="BA143" s="526">
        <f>BA135-BA138</f>
        <v>0</v>
      </c>
      <c r="BB143" s="526">
        <f>BB135-BB138</f>
        <v>0</v>
      </c>
      <c r="BC143" s="1719"/>
      <c r="BD143" s="500"/>
      <c r="BE143" s="500"/>
      <c r="BF143" s="1198" t="s">
        <v>671</v>
      </c>
    </row>
    <row s="1632" customFormat="1" customHeight="1" ht="16.5">
      <c r="A144" s="1186"/>
      <c r="B144" s="927"/>
      <c r="C144" s="1582"/>
      <c r="D144" s="1582"/>
      <c r="E144" s="797">
        <v>17.1</v>
      </c>
      <c r="F144" s="922" cm="1" t="str">
        <f t="array" ref="F144:F144">OFFSET(G144,-1,-1)</f>
        <v>1</v>
      </c>
      <c r="G144" s="500"/>
      <c r="H144" s="500"/>
      <c r="I144" s="500"/>
      <c r="J144" s="500"/>
      <c r="K144" s="500"/>
      <c r="L144" s="500"/>
      <c r="M144" s="500"/>
      <c r="N144" s="500"/>
      <c r="O144" s="500"/>
      <c r="P144" s="500"/>
      <c r="Q144" s="500"/>
      <c r="R144" s="500"/>
      <c r="S144" s="500"/>
      <c r="T144" s="808" cm="1" t="str">
        <f t="array" ref="T144:T144">T143</f>
        <v>true</v>
      </c>
      <c r="U144" s="1582"/>
      <c r="V144" s="1582"/>
      <c r="W144" s="1582"/>
      <c r="X144" s="1582"/>
      <c r="Y144" s="1582"/>
      <c r="Z144" s="1582"/>
      <c r="AA144" s="500"/>
      <c r="AB144" s="847" t="str">
        <f>AB143&amp;".1"</f>
        <v>9.1</v>
      </c>
      <c r="AC144" s="559" t="s">
        <v>603</v>
      </c>
      <c r="AD144" s="170" t="s">
        <v>599</v>
      </c>
      <c r="AE144" s="1715">
        <f>AE136-AE139</f>
        <v>6693.74</v>
      </c>
      <c r="AF144" s="1715">
        <f>AF136-AF139</f>
        <v>6334.69</v>
      </c>
      <c r="AG144" s="1715">
        <f>AG136-AG139</f>
        <v>6706.43</v>
      </c>
      <c r="AH144" s="1715">
        <f>AH136-AH139</f>
        <v>5626</v>
      </c>
      <c r="AI144" s="1715">
        <f>AI136-AI139</f>
        <v>5626.1</v>
      </c>
      <c r="AJ144" s="1715">
        <f>AJ136-AJ139</f>
        <v>7003.54</v>
      </c>
      <c r="AK144" s="1715">
        <f>AK136-AK139</f>
        <v>0</v>
      </c>
      <c r="AL144" s="1715">
        <f>AL136-AL139</f>
        <v>0</v>
      </c>
      <c r="AM144" s="1715">
        <f>AM136-AM139</f>
        <v>0</v>
      </c>
      <c r="AN144" s="1715">
        <f>AN136-AN139</f>
        <v>0</v>
      </c>
      <c r="AO144" s="1715">
        <f>AO136-AO139</f>
        <v>0</v>
      </c>
      <c r="AP144" s="1715">
        <f>AP136-AP139</f>
        <v>0</v>
      </c>
      <c r="AQ144" s="1715">
        <f>AQ136-AQ139</f>
        <v>0</v>
      </c>
      <c r="AR144" s="1715">
        <f>AR136-AR139</f>
        <v>0</v>
      </c>
      <c r="AS144" s="1715">
        <f>AS136-AS139</f>
        <v>5626</v>
      </c>
      <c r="AT144" s="1715">
        <f>AT136-AT139</f>
        <v>0</v>
      </c>
      <c r="AU144" s="1715">
        <f>AU136-AU139</f>
        <v>0</v>
      </c>
      <c r="AV144" s="1715">
        <f>AV136-AV139</f>
        <v>0</v>
      </c>
      <c r="AW144" s="1715">
        <f>AW136-AW139</f>
        <v>0</v>
      </c>
      <c r="AX144" s="1715">
        <f>AX136-AX139</f>
        <v>0</v>
      </c>
      <c r="AY144" s="1715">
        <f>AY136-AY139</f>
        <v>0</v>
      </c>
      <c r="AZ144" s="1715">
        <f>AZ136-AZ139</f>
        <v>0</v>
      </c>
      <c r="BA144" s="1715">
        <f>BA136-BA139</f>
        <v>0</v>
      </c>
      <c r="BB144" s="1715">
        <f>BB136-BB139</f>
        <v>0</v>
      </c>
      <c r="BC144" s="1719"/>
      <c r="BD144" s="500"/>
      <c r="BE144" s="500"/>
      <c r="BF144" s="1198" t="s">
        <v>672</v>
      </c>
    </row>
    <row s="1632" customFormat="1" customHeight="1" ht="16.5">
      <c r="A145" s="1186"/>
      <c r="B145" s="927"/>
      <c r="C145" s="1582"/>
      <c r="D145" s="1582"/>
      <c r="E145" s="797">
        <v>17.1</v>
      </c>
      <c r="F145" s="922" cm="1" t="str">
        <f t="array" ref="F145:F145">OFFSET(G145,-1,-1)</f>
        <v>1</v>
      </c>
      <c r="G145" s="500"/>
      <c r="H145" s="500"/>
      <c r="I145" s="500"/>
      <c r="J145" s="500"/>
      <c r="K145" s="500"/>
      <c r="L145" s="500"/>
      <c r="M145" s="500"/>
      <c r="N145" s="500"/>
      <c r="O145" s="500"/>
      <c r="P145" s="500"/>
      <c r="Q145" s="500"/>
      <c r="R145" s="500"/>
      <c r="S145" s="500"/>
      <c r="T145" s="808" cm="1" t="str">
        <f t="array" ref="T145:T145">T144</f>
        <v>true</v>
      </c>
      <c r="U145" s="1582"/>
      <c r="V145" s="1582"/>
      <c r="W145" s="1582"/>
      <c r="X145" s="1582"/>
      <c r="Y145" s="1582"/>
      <c r="Z145" s="1582"/>
      <c r="AA145" s="500"/>
      <c r="AB145" s="847" t="str">
        <f>AB144&amp;".1"</f>
        <v>9.1.1</v>
      </c>
      <c r="AC145" s="684" t="s">
        <v>641</v>
      </c>
      <c r="AD145" s="170" t="s">
        <v>599</v>
      </c>
      <c r="AE145" s="1715"/>
      <c r="AF145" s="1715"/>
      <c r="AG145" s="1715"/>
      <c r="AH145" s="1715"/>
      <c r="AI145" s="1715"/>
      <c r="AJ145" s="1715"/>
      <c r="AK145" s="1715"/>
      <c r="AL145" s="1715"/>
      <c r="AM145" s="1715"/>
      <c r="AN145" s="1715"/>
      <c r="AO145" s="1715"/>
      <c r="AP145" s="1715"/>
      <c r="AQ145" s="1715"/>
      <c r="AR145" s="1715"/>
      <c r="AS145" s="1715"/>
      <c r="AT145" s="1715"/>
      <c r="AU145" s="1715"/>
      <c r="AV145" s="1715"/>
      <c r="AW145" s="1715"/>
      <c r="AX145" s="1715"/>
      <c r="AY145" s="1715"/>
      <c r="AZ145" s="1715"/>
      <c r="BA145" s="1715"/>
      <c r="BB145" s="1715"/>
      <c r="BC145" s="1719"/>
      <c r="BD145" s="500"/>
      <c r="BE145" s="500"/>
      <c r="BF145" s="1198" t="s">
        <v>673</v>
      </c>
    </row>
    <row s="1632" customFormat="1" customHeight="1" ht="16.5">
      <c r="A146" s="1186"/>
      <c r="B146" s="927"/>
      <c r="C146" s="1582"/>
      <c r="D146" s="1582"/>
      <c r="E146" s="797">
        <v>17.1</v>
      </c>
      <c r="F146" s="922" cm="1" t="str">
        <f t="array" ref="F146:F146">OFFSET(G146,-1,-1)</f>
        <v>1</v>
      </c>
      <c r="G146" s="500"/>
      <c r="H146" s="500"/>
      <c r="I146" s="500"/>
      <c r="J146" s="500"/>
      <c r="K146" s="500"/>
      <c r="L146" s="500"/>
      <c r="M146" s="500"/>
      <c r="N146" s="500"/>
      <c r="O146" s="500"/>
      <c r="P146" s="500"/>
      <c r="Q146" s="500"/>
      <c r="R146" s="500"/>
      <c r="S146" s="500"/>
      <c r="T146" s="808" cm="1" t="str">
        <f t="array" ref="T146:T146">T145</f>
        <v>true</v>
      </c>
      <c r="U146" s="1582"/>
      <c r="V146" s="1582"/>
      <c r="W146" s="1582"/>
      <c r="X146" s="1582"/>
      <c r="Y146" s="1582"/>
      <c r="Z146" s="1582"/>
      <c r="AA146" s="500"/>
      <c r="AB146" s="847" t="str">
        <f>AB144&amp;".2"</f>
        <v>9.1.2</v>
      </c>
      <c r="AC146" s="685" t="s">
        <v>643</v>
      </c>
      <c r="AD146" s="170" t="s">
        <v>599</v>
      </c>
      <c r="AE146" s="1717">
        <f>AE147+AE148+AE149+AE150</f>
        <v>6693.74</v>
      </c>
      <c r="AF146" s="1717">
        <f>AF147+AF148+AF149+AF150</f>
        <v>6707.05</v>
      </c>
      <c r="AG146" s="1717">
        <f>AG147+AG148+AG149+AG150</f>
        <v>6707.05</v>
      </c>
      <c r="AH146" s="1717">
        <f>AH147+AH148+AH149+AH150</f>
        <v>5626</v>
      </c>
      <c r="AI146" s="1717">
        <f>AI147+AI148+AI149+AI150</f>
        <v>5626.1</v>
      </c>
      <c r="AJ146" s="1717">
        <f>AJ147+AJ148+AJ149+AJ150</f>
        <v>5626</v>
      </c>
      <c r="AK146" s="1717">
        <f>AK147+AK148+AK149+AK150</f>
        <v>0</v>
      </c>
      <c r="AL146" s="1717">
        <f>AL147+AL148+AL149+AL150</f>
        <v>0</v>
      </c>
      <c r="AM146" s="1717">
        <f>AM147+AM148+AM149+AM150</f>
        <v>0</v>
      </c>
      <c r="AN146" s="1717">
        <f>AN147+AN148+AN149+AN150</f>
        <v>0</v>
      </c>
      <c r="AO146" s="1717">
        <f>AO147+AO148+AO149+AO150</f>
        <v>0</v>
      </c>
      <c r="AP146" s="1717">
        <f>AP147+AP148+AP149+AP150</f>
        <v>0</v>
      </c>
      <c r="AQ146" s="1717">
        <f>AQ147+AQ148+AQ149+AQ150</f>
        <v>0</v>
      </c>
      <c r="AR146" s="1717">
        <f>AR147+AR148+AR149+AR150</f>
        <v>0</v>
      </c>
      <c r="AS146" s="1717">
        <f>AS147+AS148+AS149+AS150</f>
        <v>5626</v>
      </c>
      <c r="AT146" s="1717">
        <f>AT147+AT148+AT149+AT150</f>
        <v>0</v>
      </c>
      <c r="AU146" s="1717">
        <f>AU147+AU148+AU149+AU150</f>
        <v>0</v>
      </c>
      <c r="AV146" s="1717">
        <f>AV147+AV148+AV149+AV150</f>
        <v>0</v>
      </c>
      <c r="AW146" s="1717">
        <f>AW147+AW148+AW149+AW150</f>
        <v>0</v>
      </c>
      <c r="AX146" s="1717">
        <f>AX147+AX148+AX149+AX150</f>
        <v>0</v>
      </c>
      <c r="AY146" s="1717">
        <f>AY147+AY148+AY149+AY150</f>
        <v>0</v>
      </c>
      <c r="AZ146" s="1717">
        <f>AZ147+AZ148+AZ149+AZ150</f>
        <v>0</v>
      </c>
      <c r="BA146" s="1717">
        <f>BA147+BA148+BA149+BA150</f>
        <v>0</v>
      </c>
      <c r="BB146" s="1717">
        <f>BB147+BB148+BB149+BB150</f>
        <v>0</v>
      </c>
      <c r="BC146" s="1719"/>
      <c r="BD146" s="500"/>
      <c r="BE146" s="500"/>
      <c r="BF146" s="1198" t="s">
        <v>674</v>
      </c>
    </row>
    <row s="1632" customFormat="1" customHeight="1" ht="16.5">
      <c r="A147" s="1186"/>
      <c r="B147" s="927"/>
      <c r="C147" s="1582"/>
      <c r="D147" s="1582"/>
      <c r="E147" s="797">
        <v>17.1</v>
      </c>
      <c r="F147" s="922" cm="1" t="str">
        <f t="array" ref="F147:F147">OFFSET(G147,-1,-1)</f>
        <v>1</v>
      </c>
      <c r="G147" s="500"/>
      <c r="H147" s="500"/>
      <c r="I147" s="500"/>
      <c r="J147" s="500"/>
      <c r="K147" s="500"/>
      <c r="L147" s="500"/>
      <c r="M147" s="500"/>
      <c r="N147" s="500"/>
      <c r="O147" s="500"/>
      <c r="P147" s="500"/>
      <c r="Q147" s="500"/>
      <c r="R147" s="500"/>
      <c r="S147" s="500"/>
      <c r="T147" s="808" cm="1" t="str">
        <f t="array" ref="T147:T147">T146</f>
        <v>true</v>
      </c>
      <c r="U147" s="1582"/>
      <c r="V147" s="1582"/>
      <c r="W147" s="1582"/>
      <c r="X147" s="1582"/>
      <c r="Y147" s="1582"/>
      <c r="Z147" s="1582"/>
      <c r="AA147" s="500"/>
      <c r="AB147" s="847" t="str">
        <f>AB146&amp;".1"</f>
        <v>9.1.2.1</v>
      </c>
      <c r="AC147" s="686" t="s">
        <v>645</v>
      </c>
      <c r="AD147" s="413" t="s">
        <v>599</v>
      </c>
      <c r="AE147" s="1718"/>
      <c r="AF147" s="1718"/>
      <c r="AG147" s="1718"/>
      <c r="AH147" s="1718"/>
      <c r="AI147" s="1718"/>
      <c r="AJ147" s="1718"/>
      <c r="AK147" s="1718"/>
      <c r="AL147" s="1718"/>
      <c r="AM147" s="1718"/>
      <c r="AN147" s="1718"/>
      <c r="AO147" s="1718"/>
      <c r="AP147" s="1718"/>
      <c r="AQ147" s="1718"/>
      <c r="AR147" s="1718"/>
      <c r="AS147" s="1718"/>
      <c r="AT147" s="1718"/>
      <c r="AU147" s="1718"/>
      <c r="AV147" s="1718"/>
      <c r="AW147" s="1718"/>
      <c r="AX147" s="1718"/>
      <c r="AY147" s="1718"/>
      <c r="AZ147" s="1718"/>
      <c r="BA147" s="1718"/>
      <c r="BB147" s="1718"/>
      <c r="BC147" s="1719"/>
      <c r="BD147" s="500"/>
      <c r="BE147" s="500"/>
      <c r="BF147" s="1198" t="s">
        <v>675</v>
      </c>
    </row>
    <row s="1632" customFormat="1" customHeight="1" ht="16.5">
      <c r="A148" s="1186"/>
      <c r="B148" s="927"/>
      <c r="C148" s="1582"/>
      <c r="D148" s="1582"/>
      <c r="E148" s="797">
        <v>17.1</v>
      </c>
      <c r="F148" s="922" cm="1" t="str">
        <f t="array" ref="F148:F148">OFFSET(G148,-1,-1)</f>
        <v>1</v>
      </c>
      <c r="G148" s="500"/>
      <c r="H148" s="500"/>
      <c r="I148" s="500"/>
      <c r="J148" s="500"/>
      <c r="K148" s="500"/>
      <c r="L148" s="500"/>
      <c r="M148" s="500"/>
      <c r="N148" s="500"/>
      <c r="O148" s="500"/>
      <c r="P148" s="500"/>
      <c r="Q148" s="500"/>
      <c r="R148" s="500"/>
      <c r="S148" s="500"/>
      <c r="T148" s="808" cm="1" t="str">
        <f t="array" ref="T148:T148">T147</f>
        <v>true</v>
      </c>
      <c r="U148" s="1582"/>
      <c r="V148" s="1582"/>
      <c r="W148" s="1582"/>
      <c r="X148" s="1582"/>
      <c r="Y148" s="1582"/>
      <c r="Z148" s="1582"/>
      <c r="AA148" s="500"/>
      <c r="AB148" s="847" t="str">
        <f>AB146&amp;".2"</f>
        <v>9.1.2.2</v>
      </c>
      <c r="AC148" s="687" t="s">
        <v>647</v>
      </c>
      <c r="AD148" s="170" t="s">
        <v>599</v>
      </c>
      <c r="AE148" s="1715">
        <v>4259.76</v>
      </c>
      <c r="AF148" s="1715">
        <v>4184.25</v>
      </c>
      <c r="AG148" s="1715" cm="1" t="str">
        <f t="array" ref="AG148:AG148">AF148</f>
        <v>4184.25</v>
      </c>
      <c r="AH148" s="1715">
        <v>3645.75</v>
      </c>
      <c r="AI148" s="1715">
        <v>3645.75</v>
      </c>
      <c r="AJ148" s="1715">
        <v>3645.75</v>
      </c>
      <c r="AK148" s="1715"/>
      <c r="AL148" s="1715"/>
      <c r="AM148" s="1715"/>
      <c r="AN148" s="1715"/>
      <c r="AO148" s="1715"/>
      <c r="AP148" s="1715"/>
      <c r="AQ148" s="1715"/>
      <c r="AR148" s="1715"/>
      <c r="AS148" s="1715" cm="1" t="str">
        <f t="array" ref="AS148:AS148">AI148</f>
        <v>3645.75</v>
      </c>
      <c r="AT148" s="1715"/>
      <c r="AU148" s="1715"/>
      <c r="AV148" s="1715"/>
      <c r="AW148" s="1715"/>
      <c r="AX148" s="1715"/>
      <c r="AY148" s="1715"/>
      <c r="AZ148" s="1715"/>
      <c r="BA148" s="1715"/>
      <c r="BB148" s="1715"/>
      <c r="BC148" s="1719"/>
      <c r="BD148" s="500"/>
      <c r="BE148" s="500"/>
      <c r="BF148" s="1198" t="s">
        <v>676</v>
      </c>
    </row>
    <row s="1632" customFormat="1" customHeight="1" ht="16.5">
      <c r="A149" s="1186"/>
      <c r="B149" s="927"/>
      <c r="C149" s="1582"/>
      <c r="D149" s="1582"/>
      <c r="E149" s="797">
        <v>17.1</v>
      </c>
      <c r="F149" s="922" cm="1" t="str">
        <f t="array" ref="F149:F149">OFFSET(G149,-1,-1)</f>
        <v>1</v>
      </c>
      <c r="G149" s="500"/>
      <c r="H149" s="500"/>
      <c r="I149" s="500"/>
      <c r="J149" s="500"/>
      <c r="K149" s="500"/>
      <c r="L149" s="500"/>
      <c r="M149" s="500"/>
      <c r="N149" s="500"/>
      <c r="O149" s="500"/>
      <c r="P149" s="500"/>
      <c r="Q149" s="500"/>
      <c r="R149" s="500"/>
      <c r="S149" s="500"/>
      <c r="T149" s="808" cm="1" t="str">
        <f t="array" ref="T149:T149">T148</f>
        <v>true</v>
      </c>
      <c r="U149" s="1582"/>
      <c r="V149" s="1582"/>
      <c r="W149" s="1582"/>
      <c r="X149" s="1582"/>
      <c r="Y149" s="1582"/>
      <c r="Z149" s="1582"/>
      <c r="AA149" s="500"/>
      <c r="AB149" s="847" t="str">
        <f>AB146&amp;".3"</f>
        <v>9.1.2.3</v>
      </c>
      <c r="AC149" s="687" t="s">
        <v>649</v>
      </c>
      <c r="AD149" s="170" t="s">
        <v>599</v>
      </c>
      <c r="AE149" s="1716">
        <v>2433.98</v>
      </c>
      <c r="AF149" s="1716">
        <v>2522.8</v>
      </c>
      <c r="AG149" s="1716" cm="1" t="str">
        <f t="array" ref="AG149:AG149">AF149</f>
        <v>2522.8</v>
      </c>
      <c r="AH149" s="1716">
        <v>1980.25</v>
      </c>
      <c r="AI149" s="1716">
        <v>1980.35</v>
      </c>
      <c r="AJ149" s="1716">
        <v>1980.25</v>
      </c>
      <c r="AK149" s="1716"/>
      <c r="AL149" s="1716"/>
      <c r="AM149" s="1716"/>
      <c r="AN149" s="1716"/>
      <c r="AO149" s="1716"/>
      <c r="AP149" s="1716"/>
      <c r="AQ149" s="1716"/>
      <c r="AR149" s="1716"/>
      <c r="AS149" s="1716" cm="1" t="str">
        <f t="array" ref="AS149:AS149">AH149</f>
        <v>1980.25</v>
      </c>
      <c r="AT149" s="1716"/>
      <c r="AU149" s="1716"/>
      <c r="AV149" s="1716"/>
      <c r="AW149" s="1716"/>
      <c r="AX149" s="1716"/>
      <c r="AY149" s="1716"/>
      <c r="AZ149" s="1716"/>
      <c r="BA149" s="1716"/>
      <c r="BB149" s="1716"/>
      <c r="BC149" s="1719"/>
      <c r="BD149" s="500"/>
      <c r="BE149" s="500"/>
      <c r="BF149" s="1198" t="s">
        <v>677</v>
      </c>
    </row>
    <row s="1632" customFormat="1" customHeight="1" ht="16.5">
      <c r="A150" s="1186"/>
      <c r="B150" s="927"/>
      <c r="C150" s="1582"/>
      <c r="D150" s="1582"/>
      <c r="E150" s="797">
        <v>17.1</v>
      </c>
      <c r="F150" s="922" cm="1" t="str">
        <f t="array" ref="F150:F150">OFFSET(G150,-1,-1)</f>
        <v>1</v>
      </c>
      <c r="G150" s="500"/>
      <c r="H150" s="500"/>
      <c r="I150" s="500"/>
      <c r="J150" s="500"/>
      <c r="K150" s="500"/>
      <c r="L150" s="500"/>
      <c r="M150" s="500"/>
      <c r="N150" s="500"/>
      <c r="O150" s="500"/>
      <c r="P150" s="500"/>
      <c r="Q150" s="500"/>
      <c r="R150" s="500"/>
      <c r="S150" s="500"/>
      <c r="T150" s="808" cm="1" t="str">
        <f t="array" ref="T150:T150">T149</f>
        <v>true</v>
      </c>
      <c r="U150" s="1582"/>
      <c r="V150" s="1582"/>
      <c r="W150" s="1582"/>
      <c r="X150" s="1582"/>
      <c r="Y150" s="1582"/>
      <c r="Z150" s="1582"/>
      <c r="AA150" s="500"/>
      <c r="AB150" s="847" t="str">
        <f>AB146&amp;".4"</f>
        <v>9.1.2.4</v>
      </c>
      <c r="AC150" s="687" t="s">
        <v>651</v>
      </c>
      <c r="AD150" s="413" t="s">
        <v>599</v>
      </c>
      <c r="AE150" s="1713"/>
      <c r="AF150" s="1720"/>
      <c r="AG150" s="1713"/>
      <c r="AH150" s="1713"/>
      <c r="AI150" s="1713"/>
      <c r="AJ150" s="1713"/>
      <c r="AK150" s="1713"/>
      <c r="AL150" s="1713"/>
      <c r="AM150" s="1713"/>
      <c r="AN150" s="1713"/>
      <c r="AO150" s="1713"/>
      <c r="AP150" s="1713"/>
      <c r="AQ150" s="1713"/>
      <c r="AR150" s="1713"/>
      <c r="AS150" s="1713"/>
      <c r="AT150" s="1713"/>
      <c r="AU150" s="1713"/>
      <c r="AV150" s="1713"/>
      <c r="AW150" s="1713"/>
      <c r="AX150" s="1713"/>
      <c r="AY150" s="1713"/>
      <c r="AZ150" s="1713"/>
      <c r="BA150" s="1713"/>
      <c r="BB150" s="1713"/>
      <c r="BC150" s="1719"/>
      <c r="BD150" s="500"/>
      <c r="BE150" s="500"/>
      <c r="BF150" s="1198" t="s">
        <v>678</v>
      </c>
    </row>
    <row s="1632" customFormat="1" customHeight="1" ht="16.5">
      <c r="A151" s="1186"/>
      <c r="B151" s="927"/>
      <c r="C151" s="1582"/>
      <c r="D151" s="1582"/>
      <c r="E151" s="797">
        <v>17.1</v>
      </c>
      <c r="F151" s="922" cm="1" t="str">
        <f t="array" ref="F151:F151">OFFSET(G151,-1,-1)</f>
        <v>1</v>
      </c>
      <c r="G151" s="500"/>
      <c r="H151" s="500"/>
      <c r="I151" s="500"/>
      <c r="J151" s="500"/>
      <c r="K151" s="500"/>
      <c r="L151" s="500"/>
      <c r="M151" s="500"/>
      <c r="N151" s="500"/>
      <c r="O151" s="500"/>
      <c r="P151" s="500"/>
      <c r="Q151" s="500"/>
      <c r="R151" s="500"/>
      <c r="S151" s="500"/>
      <c r="T151" s="808" cm="1" t="str">
        <f t="array" ref="T151:T151">T150</f>
        <v>true</v>
      </c>
      <c r="U151" s="1582"/>
      <c r="V151" s="1582"/>
      <c r="W151" s="1582"/>
      <c r="X151" s="1582"/>
      <c r="Y151" s="1582"/>
      <c r="Z151" s="1582"/>
      <c r="AA151" s="500"/>
      <c r="AB151" s="847" t="str">
        <f>AB143&amp;".2"</f>
        <v>9.2</v>
      </c>
      <c r="AC151" s="559" t="s">
        <v>605</v>
      </c>
      <c r="AD151" s="413" t="s">
        <v>599</v>
      </c>
      <c r="AE151" s="1713">
        <f>AE137-AE141</f>
        <v>0</v>
      </c>
      <c r="AF151" s="1713">
        <f>AF137-AF141</f>
        <v>0</v>
      </c>
      <c r="AG151" s="1713">
        <f>AG137-AG141</f>
        <v>0</v>
      </c>
      <c r="AH151" s="1713">
        <f>AH137-AH141</f>
        <v>0</v>
      </c>
      <c r="AI151" s="1713">
        <f>AI137-AI141</f>
        <v>0</v>
      </c>
      <c r="AJ151" s="1713">
        <f>AJ137-AJ141</f>
        <v>0</v>
      </c>
      <c r="AK151" s="1713">
        <f>AK137-AK141</f>
        <v>0</v>
      </c>
      <c r="AL151" s="1713">
        <f>AL137-AL141</f>
        <v>0</v>
      </c>
      <c r="AM151" s="1713">
        <f>AM137-AM141</f>
        <v>0</v>
      </c>
      <c r="AN151" s="1713">
        <f>AN137-AN141</f>
        <v>0</v>
      </c>
      <c r="AO151" s="1713">
        <f>AO137-AO141</f>
        <v>0</v>
      </c>
      <c r="AP151" s="1713">
        <f>AP137-AP141</f>
        <v>0</v>
      </c>
      <c r="AQ151" s="1713">
        <f>AQ137-AQ141</f>
        <v>0</v>
      </c>
      <c r="AR151" s="1713">
        <f>AR137-AR141</f>
        <v>0</v>
      </c>
      <c r="AS151" s="1713">
        <f>AS137-AS141</f>
        <v>0</v>
      </c>
      <c r="AT151" s="1713">
        <f>AT137-AT141</f>
        <v>0</v>
      </c>
      <c r="AU151" s="1713">
        <f>AU137-AU141</f>
        <v>0</v>
      </c>
      <c r="AV151" s="1713">
        <f>AV137-AV141</f>
        <v>0</v>
      </c>
      <c r="AW151" s="1713">
        <f>AW137-AW141</f>
        <v>0</v>
      </c>
      <c r="AX151" s="1713">
        <f>AX137-AX141</f>
        <v>0</v>
      </c>
      <c r="AY151" s="1713">
        <f>AY137-AY141</f>
        <v>0</v>
      </c>
      <c r="AZ151" s="1713">
        <f>AZ137-AZ141</f>
        <v>0</v>
      </c>
      <c r="BA151" s="1713">
        <f>BA137-BA141</f>
        <v>0</v>
      </c>
      <c r="BB151" s="1713">
        <f>BB137-BB141</f>
        <v>0</v>
      </c>
      <c r="BC151" s="1719"/>
      <c r="BD151" s="500"/>
      <c r="BE151" s="500"/>
      <c r="BF151" s="1198" t="s">
        <v>679</v>
      </c>
    </row>
    <row s="1632" customFormat="1" customHeight="1" ht="16.5">
      <c r="A152" s="1186"/>
      <c r="B152" s="927"/>
      <c r="C152" s="1582"/>
      <c r="D152" s="1582"/>
      <c r="E152" s="797">
        <v>17.1</v>
      </c>
      <c r="F152" s="922" cm="1" t="str">
        <f t="array" ref="F152:F152">OFFSET(G152,-1,-1)</f>
        <v>1</v>
      </c>
      <c r="G152" s="500"/>
      <c r="H152" s="500"/>
      <c r="I152" s="500"/>
      <c r="J152" s="500"/>
      <c r="K152" s="500"/>
      <c r="L152" s="500"/>
      <c r="M152" s="500"/>
      <c r="N152" s="500"/>
      <c r="O152" s="500"/>
      <c r="P152" s="500"/>
      <c r="Q152" s="500"/>
      <c r="R152" s="500"/>
      <c r="S152" s="500"/>
      <c r="T152" s="808" cm="1" t="str">
        <f t="array" ref="T152:T152">T151</f>
        <v>true</v>
      </c>
      <c r="U152" s="1582"/>
      <c r="V152" s="1582"/>
      <c r="W152" s="1582"/>
      <c r="X152" s="1582"/>
      <c r="Y152" s="1582"/>
      <c r="Z152" s="1582"/>
      <c r="AA152" s="500"/>
      <c r="AB152" s="487" t="s">
        <v>680</v>
      </c>
      <c r="AC152" s="684" t="s">
        <v>641</v>
      </c>
      <c r="AD152" s="413" t="s">
        <v>599</v>
      </c>
      <c r="AE152" s="1713"/>
      <c r="AF152" s="1713"/>
      <c r="AG152" s="1713"/>
      <c r="AH152" s="1713"/>
      <c r="AI152" s="1713"/>
      <c r="AJ152" s="1713"/>
      <c r="AK152" s="1713"/>
      <c r="AL152" s="1713"/>
      <c r="AM152" s="1713"/>
      <c r="AN152" s="1713"/>
      <c r="AO152" s="1713"/>
      <c r="AP152" s="1713"/>
      <c r="AQ152" s="1713"/>
      <c r="AR152" s="1713"/>
      <c r="AS152" s="1713"/>
      <c r="AT152" s="1713"/>
      <c r="AU152" s="1713"/>
      <c r="AV152" s="1713"/>
      <c r="AW152" s="1713"/>
      <c r="AX152" s="1713"/>
      <c r="AY152" s="1713"/>
      <c r="AZ152" s="1713"/>
      <c r="BA152" s="1713"/>
      <c r="BB152" s="1713"/>
      <c r="BC152" s="1719"/>
      <c r="BD152" s="500"/>
      <c r="BE152" s="500"/>
      <c r="BF152" s="1198" t="s">
        <v>681</v>
      </c>
    </row>
    <row s="1632" customFormat="1" customHeight="1" ht="16.5">
      <c r="A153" s="1186"/>
      <c r="B153" s="927"/>
      <c r="C153" s="1582"/>
      <c r="D153" s="1582"/>
      <c r="E153" s="797">
        <v>17.1</v>
      </c>
      <c r="F153" s="922" cm="1" t="str">
        <f t="array" ref="F153:F153">OFFSET(G153,-1,-1)</f>
        <v>1</v>
      </c>
      <c r="G153" s="500"/>
      <c r="H153" s="500"/>
      <c r="I153" s="500"/>
      <c r="J153" s="500"/>
      <c r="K153" s="500"/>
      <c r="L153" s="500"/>
      <c r="M153" s="500"/>
      <c r="N153" s="500"/>
      <c r="O153" s="500"/>
      <c r="P153" s="500"/>
      <c r="Q153" s="500"/>
      <c r="R153" s="500"/>
      <c r="S153" s="500"/>
      <c r="T153" s="808" cm="1" t="str">
        <f t="array" ref="T153:T153">T152</f>
        <v>true</v>
      </c>
      <c r="U153" s="1582"/>
      <c r="V153" s="1582"/>
      <c r="W153" s="1582"/>
      <c r="X153" s="1582"/>
      <c r="Y153" s="1582"/>
      <c r="Z153" s="1582"/>
      <c r="AA153" s="500"/>
      <c r="AB153" s="488" t="s">
        <v>682</v>
      </c>
      <c r="AC153" s="685" t="s">
        <v>643</v>
      </c>
      <c r="AD153" s="170" t="s">
        <v>599</v>
      </c>
      <c r="AE153" s="690">
        <f>SUM(AE154:AE157)</f>
        <v>0</v>
      </c>
      <c r="AF153" s="690">
        <f>SUM(AF154:AF157)</f>
        <v>0</v>
      </c>
      <c r="AG153" s="690">
        <f>SUM(AG154:AG157)</f>
        <v>0</v>
      </c>
      <c r="AH153" s="690">
        <f>SUM(AH154:AH157)</f>
        <v>0</v>
      </c>
      <c r="AI153" s="690">
        <f>SUM(AI154:AI157)</f>
        <v>0</v>
      </c>
      <c r="AJ153" s="690">
        <f>SUM(AJ154:AJ157)</f>
        <v>0</v>
      </c>
      <c r="AK153" s="690">
        <f>SUM(AK154:AK157)</f>
        <v>0</v>
      </c>
      <c r="AL153" s="690">
        <f>SUM(AL154:AL157)</f>
        <v>0</v>
      </c>
      <c r="AM153" s="690">
        <f>SUM(AM154:AM157)</f>
        <v>0</v>
      </c>
      <c r="AN153" s="690">
        <f>SUM(AN154:AN157)</f>
        <v>0</v>
      </c>
      <c r="AO153" s="690">
        <f>SUM(AO154:AO157)</f>
        <v>0</v>
      </c>
      <c r="AP153" s="690">
        <f>SUM(AP154:AP157)</f>
        <v>0</v>
      </c>
      <c r="AQ153" s="690">
        <f>SUM(AQ154:AQ157)</f>
        <v>0</v>
      </c>
      <c r="AR153" s="690">
        <f>SUM(AR154:AR157)</f>
        <v>0</v>
      </c>
      <c r="AS153" s="690">
        <f>SUM(AS154:AS157)</f>
        <v>0</v>
      </c>
      <c r="AT153" s="690">
        <f>SUM(AT154:AT157)</f>
        <v>0</v>
      </c>
      <c r="AU153" s="690">
        <f>SUM(AU154:AU157)</f>
        <v>0</v>
      </c>
      <c r="AV153" s="690">
        <f>SUM(AV154:AV157)</f>
        <v>0</v>
      </c>
      <c r="AW153" s="690">
        <f>SUM(AW154:AW157)</f>
        <v>0</v>
      </c>
      <c r="AX153" s="690">
        <f>SUM(AX154:AX157)</f>
        <v>0</v>
      </c>
      <c r="AY153" s="690">
        <f>SUM(AY154:AY157)</f>
        <v>0</v>
      </c>
      <c r="AZ153" s="690">
        <f>SUM(AZ154:AZ157)</f>
        <v>0</v>
      </c>
      <c r="BA153" s="690">
        <f>SUM(BA154:BA157)</f>
        <v>0</v>
      </c>
      <c r="BB153" s="690">
        <f>SUM(BB154:BB157)</f>
        <v>0</v>
      </c>
      <c r="BC153" s="1719"/>
      <c r="BD153" s="500"/>
      <c r="BE153" s="500"/>
      <c r="BF153" s="1198" t="s">
        <v>683</v>
      </c>
    </row>
    <row s="1632" customFormat="1" customHeight="1" ht="16.5">
      <c r="A154" s="1186"/>
      <c r="B154" s="927"/>
      <c r="C154" s="1582"/>
      <c r="D154" s="1582"/>
      <c r="E154" s="797">
        <v>17.1</v>
      </c>
      <c r="F154" s="922" cm="1" t="str">
        <f t="array" ref="F154:F154">OFFSET(G154,-1,-1)</f>
        <v>1</v>
      </c>
      <c r="G154" s="500"/>
      <c r="H154" s="500"/>
      <c r="I154" s="500"/>
      <c r="J154" s="500"/>
      <c r="K154" s="500"/>
      <c r="L154" s="500"/>
      <c r="M154" s="500"/>
      <c r="N154" s="500"/>
      <c r="O154" s="500"/>
      <c r="P154" s="500"/>
      <c r="Q154" s="500"/>
      <c r="R154" s="500"/>
      <c r="S154" s="500"/>
      <c r="T154" s="808" cm="1" t="str">
        <f t="array" ref="T154:T154">T153</f>
        <v>true</v>
      </c>
      <c r="U154" s="1582"/>
      <c r="V154" s="1582"/>
      <c r="W154" s="1582"/>
      <c r="X154" s="1582"/>
      <c r="Y154" s="1582"/>
      <c r="Z154" s="1582"/>
      <c r="AA154" s="500"/>
      <c r="AB154" s="487" t="s">
        <v>684</v>
      </c>
      <c r="AC154" s="686" t="s">
        <v>645</v>
      </c>
      <c r="AD154" s="413" t="s">
        <v>599</v>
      </c>
      <c r="AE154" s="1718"/>
      <c r="AF154" s="1718"/>
      <c r="AG154" s="1718"/>
      <c r="AH154" s="1718"/>
      <c r="AI154" s="1718"/>
      <c r="AJ154" s="1718"/>
      <c r="AK154" s="1718"/>
      <c r="AL154" s="1718"/>
      <c r="AM154" s="1718"/>
      <c r="AN154" s="1718"/>
      <c r="AO154" s="1718"/>
      <c r="AP154" s="1718"/>
      <c r="AQ154" s="1718"/>
      <c r="AR154" s="1718"/>
      <c r="AS154" s="1718"/>
      <c r="AT154" s="1718"/>
      <c r="AU154" s="1718"/>
      <c r="AV154" s="1718"/>
      <c r="AW154" s="1718"/>
      <c r="AX154" s="1718"/>
      <c r="AY154" s="1718"/>
      <c r="AZ154" s="1718"/>
      <c r="BA154" s="1718"/>
      <c r="BB154" s="1718"/>
      <c r="BC154" s="1719"/>
      <c r="BD154" s="500"/>
      <c r="BE154" s="500"/>
      <c r="BF154" s="1198" t="s">
        <v>685</v>
      </c>
    </row>
    <row s="1632" customFormat="1" customHeight="1" ht="16.5">
      <c r="A155" s="1186"/>
      <c r="B155" s="927"/>
      <c r="C155" s="1582"/>
      <c r="D155" s="1582"/>
      <c r="E155" s="797">
        <v>17.1</v>
      </c>
      <c r="F155" s="922" cm="1" t="str">
        <f t="array" ref="F155:F155">OFFSET(G155,-1,-1)</f>
        <v>1</v>
      </c>
      <c r="G155" s="500"/>
      <c r="H155" s="500"/>
      <c r="I155" s="500"/>
      <c r="J155" s="500"/>
      <c r="K155" s="500"/>
      <c r="L155" s="500"/>
      <c r="M155" s="500"/>
      <c r="N155" s="500"/>
      <c r="O155" s="500"/>
      <c r="P155" s="500"/>
      <c r="Q155" s="500"/>
      <c r="R155" s="500"/>
      <c r="S155" s="500"/>
      <c r="T155" s="808" cm="1" t="str">
        <f t="array" ref="T155:T155">T154</f>
        <v>true</v>
      </c>
      <c r="U155" s="1582"/>
      <c r="V155" s="1582"/>
      <c r="W155" s="1582"/>
      <c r="X155" s="1582"/>
      <c r="Y155" s="1582"/>
      <c r="Z155" s="1582"/>
      <c r="AA155" s="500"/>
      <c r="AB155" s="487" t="s">
        <v>686</v>
      </c>
      <c r="AC155" s="687" t="s">
        <v>647</v>
      </c>
      <c r="AD155" s="170" t="s">
        <v>599</v>
      </c>
      <c r="AE155" s="1716"/>
      <c r="AF155" s="1716"/>
      <c r="AG155" s="1716"/>
      <c r="AH155" s="1716"/>
      <c r="AI155" s="1716"/>
      <c r="AJ155" s="1716"/>
      <c r="AK155" s="1716"/>
      <c r="AL155" s="1716"/>
      <c r="AM155" s="1716"/>
      <c r="AN155" s="1716"/>
      <c r="AO155" s="1716"/>
      <c r="AP155" s="1716"/>
      <c r="AQ155" s="1716"/>
      <c r="AR155" s="1716"/>
      <c r="AS155" s="1716"/>
      <c r="AT155" s="1716"/>
      <c r="AU155" s="1716"/>
      <c r="AV155" s="1716"/>
      <c r="AW155" s="1716"/>
      <c r="AX155" s="1716"/>
      <c r="AY155" s="1716"/>
      <c r="AZ155" s="1716"/>
      <c r="BA155" s="1716"/>
      <c r="BB155" s="1716"/>
      <c r="BC155" s="1719"/>
      <c r="BD155" s="500"/>
      <c r="BE155" s="500"/>
      <c r="BF155" s="1198" t="s">
        <v>687</v>
      </c>
    </row>
    <row s="1632" customFormat="1" customHeight="1" ht="16.5">
      <c r="A156" s="1186"/>
      <c r="B156" s="927"/>
      <c r="C156" s="1582"/>
      <c r="D156" s="1582"/>
      <c r="E156" s="797">
        <v>17.1</v>
      </c>
      <c r="F156" s="922" cm="1" t="str">
        <f t="array" ref="F156:F156">OFFSET(G156,-1,-1)</f>
        <v>1</v>
      </c>
      <c r="G156" s="500"/>
      <c r="H156" s="500"/>
      <c r="I156" s="500"/>
      <c r="J156" s="500"/>
      <c r="K156" s="500"/>
      <c r="L156" s="500"/>
      <c r="M156" s="500"/>
      <c r="N156" s="500"/>
      <c r="O156" s="500"/>
      <c r="P156" s="500"/>
      <c r="Q156" s="500"/>
      <c r="R156" s="500"/>
      <c r="S156" s="500"/>
      <c r="T156" s="808" cm="1" t="str">
        <f t="array" ref="T156:T156">T155</f>
        <v>true</v>
      </c>
      <c r="U156" s="1582"/>
      <c r="V156" s="1582"/>
      <c r="W156" s="1582"/>
      <c r="X156" s="1582"/>
      <c r="Y156" s="1582"/>
      <c r="Z156" s="1582"/>
      <c r="AA156" s="500"/>
      <c r="AB156" s="858" t="s">
        <v>688</v>
      </c>
      <c r="AC156" s="687" t="s">
        <v>649</v>
      </c>
      <c r="AD156" s="413" t="s">
        <v>599</v>
      </c>
      <c r="AE156" s="1713"/>
      <c r="AF156" s="1713"/>
      <c r="AG156" s="1713"/>
      <c r="AH156" s="1713"/>
      <c r="AI156" s="1713"/>
      <c r="AJ156" s="1713"/>
      <c r="AK156" s="1713"/>
      <c r="AL156" s="1713"/>
      <c r="AM156" s="1713"/>
      <c r="AN156" s="1713"/>
      <c r="AO156" s="1713"/>
      <c r="AP156" s="1713"/>
      <c r="AQ156" s="1713"/>
      <c r="AR156" s="1713"/>
      <c r="AS156" s="1713"/>
      <c r="AT156" s="1713"/>
      <c r="AU156" s="1713"/>
      <c r="AV156" s="1713"/>
      <c r="AW156" s="1713"/>
      <c r="AX156" s="1713"/>
      <c r="AY156" s="1713"/>
      <c r="AZ156" s="1713"/>
      <c r="BA156" s="1713"/>
      <c r="BB156" s="1713"/>
      <c r="BC156" s="1719"/>
      <c r="BD156" s="500"/>
      <c r="BE156" s="500"/>
      <c r="BF156" s="1198" t="s">
        <v>689</v>
      </c>
    </row>
    <row s="1632" customFormat="1" customHeight="1" ht="16.5">
      <c r="A157" s="1186"/>
      <c r="B157" s="927"/>
      <c r="C157" s="1582"/>
      <c r="D157" s="1582"/>
      <c r="E157" s="797">
        <v>17.1</v>
      </c>
      <c r="F157" s="922" cm="1" t="str">
        <f t="array" ref="F157:F157">OFFSET(G157,-1,-1)</f>
        <v>1</v>
      </c>
      <c r="G157" s="500"/>
      <c r="H157" s="500"/>
      <c r="I157" s="500"/>
      <c r="J157" s="500"/>
      <c r="K157" s="500"/>
      <c r="L157" s="500"/>
      <c r="M157" s="500"/>
      <c r="N157" s="500"/>
      <c r="O157" s="500"/>
      <c r="P157" s="500"/>
      <c r="Q157" s="500"/>
      <c r="R157" s="500"/>
      <c r="S157" s="500"/>
      <c r="T157" s="808" cm="1" t="str">
        <f t="array" ref="T157:T157">T156</f>
        <v>true</v>
      </c>
      <c r="U157" s="1582"/>
      <c r="V157" s="1582"/>
      <c r="W157" s="1582"/>
      <c r="X157" s="1582"/>
      <c r="Y157" s="1582"/>
      <c r="Z157" s="1582"/>
      <c r="AA157" s="500"/>
      <c r="AB157" s="859" t="s">
        <v>690</v>
      </c>
      <c r="AC157" s="687" t="s">
        <v>651</v>
      </c>
      <c r="AD157" s="413" t="s">
        <v>599</v>
      </c>
      <c r="AE157" s="1713"/>
      <c r="AF157" s="1713"/>
      <c r="AG157" s="1713"/>
      <c r="AH157" s="1713"/>
      <c r="AI157" s="1713"/>
      <c r="AJ157" s="1713"/>
      <c r="AK157" s="1713"/>
      <c r="AL157" s="1713"/>
      <c r="AM157" s="1713"/>
      <c r="AN157" s="1713"/>
      <c r="AO157" s="1713"/>
      <c r="AP157" s="1713"/>
      <c r="AQ157" s="1713"/>
      <c r="AR157" s="1713"/>
      <c r="AS157" s="1713"/>
      <c r="AT157" s="1713"/>
      <c r="AU157" s="1713"/>
      <c r="AV157" s="1713"/>
      <c r="AW157" s="1713"/>
      <c r="AX157" s="1713"/>
      <c r="AY157" s="1713"/>
      <c r="AZ157" s="1713"/>
      <c r="BA157" s="1713"/>
      <c r="BB157" s="1713"/>
      <c r="BC157" s="1719"/>
      <c r="BD157" s="500"/>
      <c r="BE157" s="500"/>
      <c r="BF157" s="1198" t="s">
        <v>691</v>
      </c>
    </row>
    <row s="1632" customFormat="1" customHeight="1" ht="24.75" hidden="1">
      <c r="A158" s="1186"/>
      <c r="B158" s="927"/>
      <c r="C158" s="1582"/>
      <c r="D158" s="1582"/>
      <c r="E158" s="797">
        <v>25.5</v>
      </c>
      <c r="F158" s="922" cm="1" t="str">
        <f t="array" ref="F158:F158">OFFSET(G158,-1,-1)</f>
        <v>1</v>
      </c>
      <c r="G158" s="500"/>
      <c r="H158" s="500"/>
      <c r="I158" s="500"/>
      <c r="J158" s="500"/>
      <c r="K158" s="500"/>
      <c r="L158" s="500"/>
      <c r="M158" s="500"/>
      <c r="N158" s="500"/>
      <c r="O158" s="739" t="s">
        <v>692</v>
      </c>
      <c r="P158" s="500"/>
      <c r="Q158" s="500"/>
      <c r="R158" s="500"/>
      <c r="S158" s="500"/>
      <c r="T158" s="808">
        <f>AND(T157,H96="двухставочный")</f>
        <v>0</v>
      </c>
      <c r="U158" s="1582"/>
      <c r="V158" s="1582"/>
      <c r="W158" s="1582"/>
      <c r="X158" s="1582"/>
      <c r="Y158" s="1582"/>
      <c r="Z158" s="1582"/>
      <c r="AA158" s="500"/>
      <c r="AB158" s="325" t="s">
        <v>693</v>
      </c>
      <c r="AC158" s="597" t="s">
        <v>694</v>
      </c>
      <c r="AD158" s="511" t="s">
        <v>695</v>
      </c>
      <c r="AE158" s="688">
        <f>SUM(AE159:AE162)</f>
        <v>0</v>
      </c>
      <c r="AF158" s="367">
        <f>SUM(AF159:AF162)</f>
        <v>0</v>
      </c>
      <c r="AG158" s="367">
        <f>SUM(AG159:AG162)</f>
        <v>0</v>
      </c>
      <c r="AH158" s="367">
        <f>SUM(AH159:AH162)</f>
        <v>0</v>
      </c>
      <c r="AI158" s="367">
        <f>SUM(AI159:AI162)</f>
        <v>0</v>
      </c>
      <c r="AJ158" s="367">
        <f>SUM(AJ159:AJ162)</f>
        <v>0</v>
      </c>
      <c r="AK158" s="367">
        <f>SUM(AK159:AK162)</f>
        <v>0</v>
      </c>
      <c r="AL158" s="367">
        <f>SUM(AL159:AL162)</f>
        <v>0</v>
      </c>
      <c r="AM158" s="367">
        <f>SUM(AM159:AM162)</f>
        <v>0</v>
      </c>
      <c r="AN158" s="367">
        <f>SUM(AN159:AN162)</f>
        <v>0</v>
      </c>
      <c r="AO158" s="367">
        <f>SUM(AO159:AO162)</f>
        <v>0</v>
      </c>
      <c r="AP158" s="367">
        <f>SUM(AP159:AP162)</f>
        <v>0</v>
      </c>
      <c r="AQ158" s="367">
        <f>SUM(AQ159:AQ162)</f>
        <v>0</v>
      </c>
      <c r="AR158" s="367">
        <f>SUM(AR159:AR162)</f>
        <v>0</v>
      </c>
      <c r="AS158" s="367">
        <f>SUM(AS159:AS162)</f>
        <v>0</v>
      </c>
      <c r="AT158" s="367">
        <f>SUM(AT159:AT162)</f>
        <v>0</v>
      </c>
      <c r="AU158" s="367">
        <f>SUM(AU159:AU162)</f>
        <v>0</v>
      </c>
      <c r="AV158" s="367">
        <f>SUM(AV159:AV162)</f>
        <v>0</v>
      </c>
      <c r="AW158" s="367">
        <f>SUM(AW159:AW162)</f>
        <v>0</v>
      </c>
      <c r="AX158" s="367">
        <f>SUM(AX159:AX162)</f>
        <v>0</v>
      </c>
      <c r="AY158" s="367">
        <f>SUM(AY159:AY162)</f>
        <v>0</v>
      </c>
      <c r="AZ158" s="367">
        <f>SUM(AZ159:AZ162)</f>
        <v>0</v>
      </c>
      <c r="BA158" s="367">
        <f>SUM(BA159:BA162)</f>
        <v>0</v>
      </c>
      <c r="BB158" s="367">
        <f>SUM(BB159:BB162)</f>
        <v>0</v>
      </c>
      <c r="BC158" s="73"/>
      <c r="BD158" s="500"/>
      <c r="BE158" s="500"/>
      <c r="BF158" s="1198" t="s">
        <v>696</v>
      </c>
    </row>
    <row s="1632" customFormat="1" customHeight="1" ht="16.5" hidden="1">
      <c r="A159" s="1186"/>
      <c r="B159" s="927"/>
      <c r="C159" s="1582"/>
      <c r="D159" s="1582"/>
      <c r="E159" s="797">
        <v>17.1</v>
      </c>
      <c r="F159" s="922" cm="1" t="str">
        <f t="array" ref="F159:F159">OFFSET(G159,-1,-1)</f>
        <v>1</v>
      </c>
      <c r="G159" s="500"/>
      <c r="H159" s="500"/>
      <c r="I159" s="500"/>
      <c r="J159" s="500"/>
      <c r="K159" s="500"/>
      <c r="L159" s="500"/>
      <c r="M159" s="500"/>
      <c r="N159" s="500"/>
      <c r="O159" s="739" t="s">
        <v>692</v>
      </c>
      <c r="P159" s="500"/>
      <c r="Q159" s="500"/>
      <c r="R159" s="500"/>
      <c r="S159" s="500"/>
      <c r="T159" s="808" cm="1" t="str">
        <f t="array" ref="T159:T159">T158</f>
        <v>false</v>
      </c>
      <c r="U159" s="1582"/>
      <c r="V159" s="1582"/>
      <c r="W159" s="1582"/>
      <c r="X159" s="1582"/>
      <c r="Y159" s="1582"/>
      <c r="Z159" s="1582"/>
      <c r="AA159" s="500"/>
      <c r="AB159" s="847" t="str">
        <f>AB158&amp;".1"</f>
        <v>10.1</v>
      </c>
      <c r="AC159" s="564" t="s">
        <v>645</v>
      </c>
      <c r="AD159" s="511" t="s">
        <v>695</v>
      </c>
      <c r="AE159" s="74"/>
      <c r="AF159" s="74"/>
      <c r="AG159" s="74"/>
      <c r="AH159" s="74"/>
      <c r="AI159" s="1713"/>
      <c r="AJ159" s="74"/>
      <c r="AK159" s="74"/>
      <c r="AL159" s="74"/>
      <c r="AM159" s="74"/>
      <c r="AN159" s="74"/>
      <c r="AO159" s="74"/>
      <c r="AP159" s="74"/>
      <c r="AQ159" s="74"/>
      <c r="AR159" s="74"/>
      <c r="AS159" s="1713"/>
      <c r="AT159" s="74"/>
      <c r="AU159" s="74"/>
      <c r="AV159" s="74"/>
      <c r="AW159" s="74"/>
      <c r="AX159" s="74"/>
      <c r="AY159" s="74"/>
      <c r="AZ159" s="74"/>
      <c r="BA159" s="74"/>
      <c r="BB159" s="83"/>
      <c r="BC159" s="73"/>
      <c r="BD159" s="500"/>
      <c r="BE159" s="500"/>
      <c r="BF159" s="1198" t="s">
        <v>697</v>
      </c>
    </row>
    <row s="1632" customFormat="1" customHeight="1" ht="16.5" hidden="1">
      <c r="A160" s="1186"/>
      <c r="B160" s="927"/>
      <c r="C160" s="1582"/>
      <c r="D160" s="1582"/>
      <c r="E160" s="797">
        <v>17.1</v>
      </c>
      <c r="F160" s="922" cm="1" t="str">
        <f t="array" ref="F160:F160">OFFSET(G160,-1,-1)</f>
        <v>1</v>
      </c>
      <c r="G160" s="500"/>
      <c r="H160" s="500"/>
      <c r="I160" s="500"/>
      <c r="J160" s="500"/>
      <c r="K160" s="500"/>
      <c r="L160" s="500"/>
      <c r="M160" s="500"/>
      <c r="N160" s="500"/>
      <c r="O160" s="739" t="s">
        <v>692</v>
      </c>
      <c r="P160" s="500"/>
      <c r="Q160" s="500"/>
      <c r="R160" s="500"/>
      <c r="S160" s="500"/>
      <c r="T160" s="808" cm="1" t="str">
        <f t="array" ref="T160:T160">T159</f>
        <v>false</v>
      </c>
      <c r="U160" s="1582"/>
      <c r="V160" s="1582"/>
      <c r="W160" s="1582"/>
      <c r="X160" s="1582"/>
      <c r="Y160" s="1582"/>
      <c r="Z160" s="1582"/>
      <c r="AA160" s="500"/>
      <c r="AB160" s="847" t="str">
        <f>AB158&amp;".2"</f>
        <v>10.2</v>
      </c>
      <c r="AC160" s="418" t="s">
        <v>647</v>
      </c>
      <c r="AD160" s="511" t="s">
        <v>695</v>
      </c>
      <c r="AE160" s="74"/>
      <c r="AF160" s="74"/>
      <c r="AG160" s="74"/>
      <c r="AH160" s="74"/>
      <c r="AI160" s="1713"/>
      <c r="AJ160" s="74"/>
      <c r="AK160" s="74"/>
      <c r="AL160" s="74"/>
      <c r="AM160" s="74"/>
      <c r="AN160" s="74"/>
      <c r="AO160" s="74"/>
      <c r="AP160" s="74"/>
      <c r="AQ160" s="74"/>
      <c r="AR160" s="74"/>
      <c r="AS160" s="1713"/>
      <c r="AT160" s="74"/>
      <c r="AU160" s="74"/>
      <c r="AV160" s="74"/>
      <c r="AW160" s="74"/>
      <c r="AX160" s="74"/>
      <c r="AY160" s="74"/>
      <c r="AZ160" s="74"/>
      <c r="BA160" s="74"/>
      <c r="BB160" s="83"/>
      <c r="BC160" s="73"/>
      <c r="BD160" s="500"/>
      <c r="BE160" s="500"/>
      <c r="BF160" s="1198" t="s">
        <v>698</v>
      </c>
    </row>
    <row s="1632" customFormat="1" customHeight="1" ht="16.5" hidden="1">
      <c r="A161" s="1186"/>
      <c r="B161" s="927"/>
      <c r="C161" s="1582"/>
      <c r="D161" s="1582"/>
      <c r="E161" s="797">
        <v>17.1</v>
      </c>
      <c r="F161" s="922" cm="1" t="str">
        <f t="array" ref="F161:F161">OFFSET(G161,-1,-1)</f>
        <v>1</v>
      </c>
      <c r="G161" s="500"/>
      <c r="H161" s="500"/>
      <c r="I161" s="500"/>
      <c r="J161" s="500"/>
      <c r="K161" s="500"/>
      <c r="L161" s="500"/>
      <c r="M161" s="500"/>
      <c r="N161" s="500"/>
      <c r="O161" s="739" t="s">
        <v>692</v>
      </c>
      <c r="P161" s="500"/>
      <c r="Q161" s="500"/>
      <c r="R161" s="500"/>
      <c r="S161" s="500"/>
      <c r="T161" s="808" cm="1" t="str">
        <f t="array" ref="T161:T161">T160</f>
        <v>false</v>
      </c>
      <c r="U161" s="1582"/>
      <c r="V161" s="1582"/>
      <c r="W161" s="1582"/>
      <c r="X161" s="1582"/>
      <c r="Y161" s="1582"/>
      <c r="Z161" s="1582"/>
      <c r="AA161" s="500"/>
      <c r="AB161" s="847" t="str">
        <f>AB158&amp;".3"</f>
        <v>10.3</v>
      </c>
      <c r="AC161" s="418" t="s">
        <v>649</v>
      </c>
      <c r="AD161" s="511" t="s">
        <v>695</v>
      </c>
      <c r="AE161" s="74"/>
      <c r="AF161" s="74"/>
      <c r="AG161" s="74"/>
      <c r="AH161" s="74"/>
      <c r="AI161" s="1713"/>
      <c r="AJ161" s="74"/>
      <c r="AK161" s="74"/>
      <c r="AL161" s="74"/>
      <c r="AM161" s="74"/>
      <c r="AN161" s="74"/>
      <c r="AO161" s="74"/>
      <c r="AP161" s="74"/>
      <c r="AQ161" s="74"/>
      <c r="AR161" s="74"/>
      <c r="AS161" s="1713"/>
      <c r="AT161" s="74"/>
      <c r="AU161" s="74"/>
      <c r="AV161" s="74"/>
      <c r="AW161" s="74"/>
      <c r="AX161" s="74"/>
      <c r="AY161" s="74"/>
      <c r="AZ161" s="74"/>
      <c r="BA161" s="74"/>
      <c r="BB161" s="83"/>
      <c r="BC161" s="73"/>
      <c r="BD161" s="500"/>
      <c r="BE161" s="500"/>
      <c r="BF161" s="1198" t="s">
        <v>699</v>
      </c>
    </row>
    <row s="1632" customFormat="1" customHeight="1" ht="16.5" hidden="1">
      <c r="A162" s="1186"/>
      <c r="B162" s="927"/>
      <c r="C162" s="1582"/>
      <c r="D162" s="1582"/>
      <c r="E162" s="797">
        <v>17.1</v>
      </c>
      <c r="F162" s="922" cm="1" t="str">
        <f t="array" ref="F162:F162">OFFSET(G162,-1,-1)</f>
        <v>1</v>
      </c>
      <c r="G162" s="500"/>
      <c r="H162" s="500"/>
      <c r="I162" s="500"/>
      <c r="J162" s="500"/>
      <c r="K162" s="500"/>
      <c r="L162" s="500"/>
      <c r="M162" s="500"/>
      <c r="N162" s="500"/>
      <c r="O162" s="739" t="s">
        <v>692</v>
      </c>
      <c r="P162" s="500"/>
      <c r="Q162" s="500"/>
      <c r="R162" s="500"/>
      <c r="S162" s="500"/>
      <c r="T162" s="808" cm="1" t="str">
        <f t="array" ref="T162:T162">T161</f>
        <v>false</v>
      </c>
      <c r="U162" s="1582"/>
      <c r="V162" s="1582"/>
      <c r="W162" s="1582"/>
      <c r="X162" s="1582"/>
      <c r="Y162" s="1582"/>
      <c r="Z162" s="1582"/>
      <c r="AA162" s="500"/>
      <c r="AB162" s="847" t="str">
        <f>AB158&amp;".4"</f>
        <v>10.4</v>
      </c>
      <c r="AC162" s="418" t="s">
        <v>651</v>
      </c>
      <c r="AD162" s="599" t="s">
        <v>695</v>
      </c>
      <c r="AE162" s="75"/>
      <c r="AF162" s="75"/>
      <c r="AG162" s="75"/>
      <c r="AH162" s="75"/>
      <c r="AI162" s="1714"/>
      <c r="AJ162" s="75"/>
      <c r="AK162" s="75"/>
      <c r="AL162" s="75"/>
      <c r="AM162" s="75"/>
      <c r="AN162" s="75"/>
      <c r="AO162" s="75"/>
      <c r="AP162" s="75"/>
      <c r="AQ162" s="75"/>
      <c r="AR162" s="75"/>
      <c r="AS162" s="1714"/>
      <c r="AT162" s="75"/>
      <c r="AU162" s="75"/>
      <c r="AV162" s="75"/>
      <c r="AW162" s="75"/>
      <c r="AX162" s="75"/>
      <c r="AY162" s="75"/>
      <c r="AZ162" s="75"/>
      <c r="BA162" s="75"/>
      <c r="BB162" s="84"/>
      <c r="BC162" s="69"/>
      <c r="BD162" s="500"/>
      <c r="BE162" s="500"/>
      <c r="BF162" s="1198" t="s">
        <v>700</v>
      </c>
    </row>
    <row s="1632" customFormat="1" customHeight="1" ht="52.5" hidden="1">
      <c r="A163" s="1186"/>
      <c r="B163" s="927"/>
      <c r="C163" s="1582"/>
      <c r="D163" s="1582"/>
      <c r="E163" s="797">
        <v>54</v>
      </c>
      <c r="F163" s="922" cm="1" t="str">
        <f t="array" ref="F163:F163">OFFSET(G163,-1,-1)</f>
        <v>1</v>
      </c>
      <c r="G163" s="500"/>
      <c r="H163" s="500"/>
      <c r="I163" s="500"/>
      <c r="J163" s="500"/>
      <c r="K163" s="500"/>
      <c r="L163" s="500"/>
      <c r="M163" s="500"/>
      <c r="N163" s="500"/>
      <c r="O163" s="739" t="s">
        <v>692</v>
      </c>
      <c r="P163" s="500"/>
      <c r="Q163" s="500"/>
      <c r="R163" s="500"/>
      <c r="S163" s="500"/>
      <c r="T163" s="808" cm="1" t="str">
        <f t="array" ref="T163:T163">T162</f>
        <v>false</v>
      </c>
      <c r="U163" s="1582"/>
      <c r="V163" s="1582"/>
      <c r="W163" s="1582"/>
      <c r="X163" s="1582"/>
      <c r="Y163" s="1582"/>
      <c r="Z163" s="1582"/>
      <c r="AA163" s="500"/>
      <c r="AB163" s="325" t="s">
        <v>701</v>
      </c>
      <c r="AC163" s="598" t="s">
        <v>702</v>
      </c>
      <c r="AD163" s="157"/>
      <c r="AE163" s="74"/>
      <c r="AF163" s="74"/>
      <c r="AG163" s="74"/>
      <c r="AH163" s="74"/>
      <c r="AI163" s="1713"/>
      <c r="AJ163" s="74"/>
      <c r="AK163" s="74"/>
      <c r="AL163" s="74"/>
      <c r="AM163" s="74"/>
      <c r="AN163" s="74"/>
      <c r="AO163" s="74"/>
      <c r="AP163" s="74"/>
      <c r="AQ163" s="74"/>
      <c r="AR163" s="74"/>
      <c r="AS163" s="1713"/>
      <c r="AT163" s="74"/>
      <c r="AU163" s="74"/>
      <c r="AV163" s="74"/>
      <c r="AW163" s="74"/>
      <c r="AX163" s="74"/>
      <c r="AY163" s="74"/>
      <c r="AZ163" s="74"/>
      <c r="BA163" s="74"/>
      <c r="BB163" s="74"/>
      <c r="BC163" s="79"/>
      <c r="BD163" s="500"/>
      <c r="BE163" s="500"/>
      <c r="BF163" s="1198" t="s">
        <v>703</v>
      </c>
    </row>
    <row customHeight="1" ht="11.115">
      <c r="E164" s="797">
        <v>11.4</v>
      </c>
      <c r="U164" s="175" t="s">
        <v>236</v>
      </c>
      <c r="V164" s="171" t="s">
        <v>704</v>
      </c>
      <c r="AI164" s="500"/>
      <c r="AJ164" s="500"/>
      <c r="AK164" s="500"/>
      <c r="AL164" s="500"/>
      <c r="AM164" s="500"/>
      <c r="AN164" s="500"/>
      <c r="AO164" s="500"/>
      <c r="AP164" s="500"/>
      <c r="AQ164" s="500"/>
      <c r="AR164" s="500"/>
      <c r="AS164" s="500"/>
      <c r="AT164" s="500"/>
      <c r="AU164" s="500"/>
      <c r="AV164" s="500"/>
      <c r="AW164" s="500"/>
      <c r="AX164" s="500"/>
      <c r="AY164" s="500"/>
      <c r="AZ164" s="500"/>
      <c r="BA164" s="500"/>
      <c r="BB164" s="500"/>
    </row>
    <row customHeight="1" ht="11.25" hidden="1">
      <c r="E165" s="797">
        <v>0</v>
      </c>
      <c r="V165" s="179"/>
      <c r="AI165" s="500"/>
      <c r="AJ165" s="500"/>
      <c r="AK165" s="500"/>
      <c r="AL165" s="500"/>
      <c r="AM165" s="500"/>
      <c r="AN165" s="500"/>
      <c r="AO165" s="500"/>
      <c r="AP165" s="500"/>
      <c r="AQ165" s="500"/>
      <c r="AR165" s="500"/>
      <c r="AS165" s="500"/>
      <c r="AT165" s="500"/>
      <c r="AU165" s="500"/>
      <c r="AV165" s="500"/>
      <c r="AW165" s="500"/>
      <c r="AX165" s="500"/>
      <c r="AY165" s="500"/>
      <c r="AZ165" s="500"/>
      <c r="BA165" s="500"/>
      <c r="BB165" s="500"/>
    </row>
    <row customHeight="1" ht="14.625">
      <c r="E166" s="797">
        <v>15</v>
      </c>
      <c r="V166" s="179"/>
      <c r="AB166" s="1480" t="s">
        <v>705</v>
      </c>
      <c r="AC166" s="1480"/>
      <c r="AD166" s="1480"/>
      <c r="AE166" s="1481"/>
      <c r="AF166" s="1481"/>
      <c r="AG166" s="1481"/>
      <c r="AH166" s="1481"/>
      <c r="AI166" s="1481"/>
      <c r="AJ166" s="1481"/>
      <c r="AK166" s="1481"/>
      <c r="AL166" s="1481"/>
      <c r="AM166" s="1481"/>
      <c r="AN166" s="1481"/>
      <c r="AO166" s="1481"/>
      <c r="AP166" s="1481"/>
      <c r="AQ166" s="1481"/>
      <c r="AR166" s="1481"/>
      <c r="AS166" s="1481"/>
      <c r="AT166" s="1481"/>
      <c r="AU166" s="1481"/>
      <c r="AV166" s="1481"/>
      <c r="AW166" s="1481"/>
      <c r="AX166" s="1481"/>
      <c r="AY166" s="1481"/>
      <c r="AZ166" s="1481"/>
      <c r="BA166" s="1481"/>
      <c r="BB166" s="1481"/>
      <c r="BC166" s="1481"/>
    </row>
    <row customHeight="1" ht="14.625">
      <c r="E167" s="797">
        <v>15</v>
      </c>
      <c r="V167" s="179"/>
      <c r="AA167" s="921"/>
      <c r="AB167" s="1482"/>
      <c r="AC167" s="1483"/>
      <c r="AD167" s="1483"/>
      <c r="AE167" s="1483"/>
      <c r="AF167" s="1483"/>
      <c r="AG167" s="1483"/>
      <c r="AH167" s="1483"/>
      <c r="AI167" s="1483"/>
      <c r="AJ167" s="1726"/>
      <c r="AK167" s="1726"/>
      <c r="AL167" s="1726"/>
      <c r="AM167" s="1726"/>
      <c r="AN167" s="1726"/>
      <c r="AO167" s="1726"/>
      <c r="AP167" s="1726"/>
      <c r="AQ167" s="1726"/>
      <c r="AR167" s="1726"/>
      <c r="AS167" s="1483"/>
      <c r="AT167" s="1726"/>
      <c r="AU167" s="1726"/>
      <c r="AV167" s="1726"/>
      <c r="AW167" s="1726"/>
      <c r="AX167" s="1726"/>
      <c r="AY167" s="1726"/>
      <c r="AZ167" s="1726"/>
      <c r="BA167" s="1726"/>
      <c r="BB167" s="1726"/>
      <c r="BC167" s="1484"/>
    </row>
    <row customHeight="1" ht="14.625" hidden="1">
      <c r="A168" s="1186"/>
      <c r="B168" s="927"/>
      <c r="C168" s="1582"/>
      <c r="D168" s="1582"/>
      <c r="E168" s="797">
        <v>15</v>
      </c>
      <c r="F168" s="1582"/>
      <c r="G168" s="500"/>
      <c r="H168" s="500"/>
      <c r="I168" s="500"/>
      <c r="J168" s="500"/>
      <c r="K168" s="500"/>
      <c r="L168" s="500"/>
      <c r="M168" s="500"/>
      <c r="N168" s="500"/>
      <c r="O168" s="500"/>
      <c r="P168" s="500"/>
      <c r="Q168" s="500"/>
      <c r="R168" s="500"/>
      <c r="S168" s="500"/>
      <c r="T168" s="175">
        <f>ROW(W168)&gt;ROW(W$168)</f>
        <v>0</v>
      </c>
      <c r="U168" s="1582"/>
      <c r="V168" s="179"/>
      <c r="W168" s="175" t="s">
        <v>234</v>
      </c>
      <c r="X168" s="1582"/>
      <c r="Y168" s="1582"/>
      <c r="Z168" s="1582"/>
      <c r="AA168" s="917" t="s">
        <v>218</v>
      </c>
      <c r="AB168" s="1728"/>
      <c r="AC168" s="1726"/>
      <c r="AD168" s="1726"/>
      <c r="AE168" s="1726"/>
      <c r="AF168" s="1726"/>
      <c r="AG168" s="1726"/>
      <c r="AH168" s="1726"/>
      <c r="AI168" s="1483"/>
      <c r="AJ168" s="1726"/>
      <c r="AK168" s="1726"/>
      <c r="AL168" s="1726"/>
      <c r="AM168" s="1726"/>
      <c r="AN168" s="1726"/>
      <c r="AO168" s="1726"/>
      <c r="AP168" s="1726"/>
      <c r="AQ168" s="1726"/>
      <c r="AR168" s="1726"/>
      <c r="AS168" s="1483"/>
      <c r="AT168" s="1726"/>
      <c r="AU168" s="1726"/>
      <c r="AV168" s="1726"/>
      <c r="AW168" s="1726"/>
      <c r="AX168" s="1726"/>
      <c r="AY168" s="1726"/>
      <c r="AZ168" s="1726"/>
      <c r="BA168" s="1726"/>
      <c r="BB168" s="1726"/>
      <c r="BC168" s="1729"/>
      <c r="BD168" s="500"/>
      <c r="BE168" s="500"/>
      <c r="BF168" s="1148"/>
    </row>
    <row customHeight="1" ht="14.625">
      <c r="E169" s="797">
        <v>15</v>
      </c>
      <c r="W169" s="171" t="s">
        <v>235</v>
      </c>
      <c r="AB169" s="1478" t="s">
        <v>706</v>
      </c>
      <c r="AC169" s="1479"/>
      <c r="AD169" s="383"/>
      <c r="AE169" s="384"/>
      <c r="AF169" s="384"/>
      <c r="AG169" s="384"/>
      <c r="AH169" s="384"/>
      <c r="AI169" s="384"/>
      <c r="AJ169" s="384"/>
      <c r="AK169" s="384"/>
      <c r="AL169" s="384"/>
      <c r="AM169" s="384"/>
      <c r="AN169" s="384"/>
      <c r="AO169" s="384"/>
      <c r="AP169" s="384"/>
      <c r="AQ169" s="384"/>
      <c r="AR169" s="384"/>
      <c r="AS169" s="384"/>
      <c r="AT169" s="384"/>
      <c r="AU169" s="384"/>
      <c r="AV169" s="384"/>
      <c r="AW169" s="384"/>
      <c r="AX169" s="384"/>
      <c r="AY169" s="384"/>
      <c r="AZ169" s="384"/>
      <c r="BA169" s="384"/>
      <c r="BB169" s="384"/>
      <c r="BC169" s="350"/>
    </row>
    <row customHeight="1" ht="11.25">
      <c r="AI170" s="500"/>
      <c r="AJ170" s="500"/>
      <c r="AK170" s="500"/>
      <c r="AL170" s="500"/>
      <c r="AM170" s="500"/>
      <c r="AN170" s="500"/>
      <c r="AO170" s="500"/>
      <c r="AP170" s="500"/>
      <c r="AQ170" s="500"/>
      <c r="AR170" s="500"/>
      <c r="AS170" s="500"/>
      <c r="AT170" s="500"/>
      <c r="AU170" s="500"/>
      <c r="AV170" s="500"/>
      <c r="AW170" s="500"/>
      <c r="AX170" s="500"/>
      <c r="AY170" s="500"/>
      <c r="AZ170" s="500"/>
      <c r="BA170" s="500"/>
      <c r="BB170" s="500"/>
      <c r="BD170" s="213"/>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F5538-68D8-935F-5898-1698867D33A7}"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6" width="6.28125" hidden="1" customWidth="1"/>
    <col min="2" max="2" style="927" width="8.57421875" hidden="1" customWidth="1"/>
    <col min="3" max="4" style="1582" width="3.57421875" hidden="1" customWidth="1"/>
    <col min="5" max="5" style="925" width="8.421875" hidden="1" customWidth="1"/>
    <col min="6" max="6" style="1582" width="6.421875" hidden="1" customWidth="1"/>
    <col min="7" max="19" style="500"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215" width="9.1328125" customWidth="1"/>
    <col min="29" max="29" style="215" width="60.1328125" customWidth="1"/>
    <col min="30" max="30" style="215" width="10.3828125" customWidth="1"/>
    <col min="31" max="35" style="500" width="13.1328125" customWidth="1"/>
    <col min="36" max="44" style="500" width="13.1328125" hidden="1" customWidth="1"/>
    <col min="45" max="45" style="500" width="13.1328125" customWidth="1"/>
    <col min="46" max="54" style="500" width="13.1328125" hidden="1" customWidth="1"/>
    <col min="55" max="55" style="215" width="20.1328125" customWidth="1"/>
    <col min="56" max="56" style="500" width="3.00390625" customWidth="1"/>
    <col min="57" max="57" style="500" width="9.140625" hidden="1"/>
    <col min="58" max="58" style="1220" width="9.140625" hidden="1"/>
  </cols>
  <sheetData>
    <row s="1582" customFormat="1" customHeight="1" ht="12" hidden="1">
      <c r="A1" s="1186">
        <f>OR(T27:T42)</f>
        <v>0</v>
      </c>
      <c r="B1" s="788"/>
      <c r="E1" s="788"/>
      <c r="F1" s="819" t="s">
        <v>83</v>
      </c>
      <c r="G1" s="213"/>
      <c r="H1" s="213"/>
      <c r="I1" s="213"/>
      <c r="J1" s="213"/>
      <c r="K1" s="213"/>
      <c r="L1" s="213"/>
      <c r="M1" s="213"/>
      <c r="N1" s="213"/>
      <c r="O1" s="213"/>
      <c r="P1" s="213"/>
      <c r="Q1" s="213"/>
      <c r="R1" s="213"/>
      <c r="S1" s="213"/>
      <c r="T1" s="808" t="s">
        <v>86</v>
      </c>
      <c r="U1" s="808" t="s">
        <v>91</v>
      </c>
      <c r="V1" s="808" t="s">
        <v>87</v>
      </c>
      <c r="W1" s="808" t="s">
        <v>88</v>
      </c>
      <c r="X1" s="808" t="s">
        <v>89</v>
      </c>
      <c r="Y1" s="819" t="s">
        <v>372</v>
      </c>
      <c r="Z1" s="808" t="s">
        <v>93</v>
      </c>
      <c r="AA1" s="819" t="s">
        <v>90</v>
      </c>
      <c r="AB1" s="819" t="s">
        <v>92</v>
      </c>
      <c r="AC1" s="171"/>
      <c r="AD1" s="171"/>
      <c r="AI1" s="1582"/>
      <c r="AJ1" s="1582"/>
      <c r="AK1" s="1582"/>
      <c r="AL1" s="1582"/>
      <c r="AM1" s="1582"/>
      <c r="AN1" s="1582"/>
      <c r="AO1" s="1582"/>
      <c r="AP1" s="1582"/>
      <c r="AQ1" s="1582"/>
      <c r="AR1" s="1582"/>
      <c r="AS1" s="1582"/>
      <c r="AT1" s="1582"/>
      <c r="AU1" s="1582"/>
      <c r="AV1" s="1582"/>
      <c r="AW1" s="1582"/>
      <c r="AX1" s="1582"/>
      <c r="AY1" s="1582"/>
      <c r="AZ1" s="1582"/>
      <c r="BA1" s="1582"/>
      <c r="BB1" s="1582"/>
      <c r="BC1" s="171"/>
      <c r="BF1" s="1170" t="s">
        <v>373</v>
      </c>
    </row>
    <row s="927" customFormat="1" customHeight="1" ht="12" hidden="1">
      <c r="A2" s="1194"/>
      <c r="B2" s="910" t="s">
        <v>15</v>
      </c>
      <c r="G2" s="930"/>
      <c r="H2" s="930"/>
      <c r="I2" s="930"/>
      <c r="J2" s="930"/>
      <c r="K2" s="930"/>
      <c r="L2" s="930"/>
      <c r="M2" s="930"/>
      <c r="N2" s="930"/>
      <c r="O2" s="930"/>
      <c r="P2" s="930"/>
      <c r="Q2" s="930"/>
      <c r="R2" s="930"/>
      <c r="S2" s="930"/>
      <c r="AB2" s="792"/>
      <c r="AC2" s="792"/>
      <c r="AD2" s="792"/>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792"/>
      <c r="BF2" s="1200"/>
    </row>
    <row s="1582" customFormat="1" customHeight="1" ht="12" hidden="1">
      <c r="A3" s="1186"/>
      <c r="B3" s="788"/>
      <c r="E3" s="788"/>
      <c r="G3" s="213"/>
      <c r="H3" s="213"/>
      <c r="I3" s="213"/>
      <c r="J3" s="213"/>
      <c r="K3" s="213"/>
      <c r="L3" s="213"/>
      <c r="M3" s="213"/>
      <c r="N3" s="213"/>
      <c r="O3" s="213"/>
      <c r="P3" s="213"/>
      <c r="Q3" s="213"/>
      <c r="R3" s="213"/>
      <c r="S3" s="213"/>
      <c r="AB3" s="171"/>
      <c r="AC3" s="171"/>
      <c r="AD3" s="171"/>
      <c r="AI3" s="1582"/>
      <c r="AJ3" s="1582"/>
      <c r="AK3" s="1582"/>
      <c r="AL3" s="1582"/>
      <c r="AM3" s="1582"/>
      <c r="AN3" s="1582"/>
      <c r="AO3" s="1582"/>
      <c r="AP3" s="1582"/>
      <c r="AQ3" s="1582"/>
      <c r="AR3" s="1582"/>
      <c r="AS3" s="1582"/>
      <c r="AT3" s="1582"/>
      <c r="AU3" s="1582"/>
      <c r="AV3" s="1582"/>
      <c r="AW3" s="1582"/>
      <c r="AX3" s="1582"/>
      <c r="AY3" s="1582"/>
      <c r="AZ3" s="1582"/>
      <c r="BA3" s="1582"/>
      <c r="BB3" s="1582"/>
      <c r="BC3" s="171"/>
      <c r="BF3" s="1170"/>
    </row>
    <row s="1582" customFormat="1" customHeight="1" ht="12" hidden="1">
      <c r="A4" s="1186"/>
      <c r="B4" s="788"/>
      <c r="E4" s="788"/>
      <c r="G4" s="213"/>
      <c r="H4" s="213"/>
      <c r="I4" s="213"/>
      <c r="J4" s="213"/>
      <c r="K4" s="213"/>
      <c r="L4" s="213"/>
      <c r="M4" s="213"/>
      <c r="N4" s="213"/>
      <c r="O4" s="213"/>
      <c r="P4" s="213"/>
      <c r="Q4" s="213"/>
      <c r="R4" s="213"/>
      <c r="S4" s="213"/>
      <c r="AB4" s="171"/>
      <c r="AC4" s="171"/>
      <c r="AD4" s="171"/>
      <c r="AI4" s="1582"/>
      <c r="AJ4" s="1582"/>
      <c r="AK4" s="1582"/>
      <c r="AL4" s="1582"/>
      <c r="AM4" s="1582"/>
      <c r="AN4" s="1582"/>
      <c r="AO4" s="1582"/>
      <c r="AP4" s="1582"/>
      <c r="AQ4" s="1582"/>
      <c r="AR4" s="1582"/>
      <c r="AS4" s="1582"/>
      <c r="AT4" s="1582"/>
      <c r="AU4" s="1582"/>
      <c r="AV4" s="1582"/>
      <c r="AW4" s="1582"/>
      <c r="AX4" s="1582"/>
      <c r="AY4" s="1582"/>
      <c r="AZ4" s="1582"/>
      <c r="BA4" s="1582"/>
      <c r="BB4" s="1582"/>
      <c r="BC4" s="171"/>
      <c r="BF4" s="1170"/>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803">
        <v>9.13</v>
      </c>
      <c r="AC5" s="803">
        <v>60.13</v>
      </c>
      <c r="AD5" s="803">
        <v>10.38</v>
      </c>
      <c r="AE5" s="797">
        <v>13.13</v>
      </c>
      <c r="AF5" s="797">
        <v>13.13</v>
      </c>
      <c r="AG5" s="797">
        <v>13.13</v>
      </c>
      <c r="AH5" s="797">
        <v>13.13</v>
      </c>
      <c r="AI5" s="797">
        <v>13.13</v>
      </c>
      <c r="AJ5" s="797">
        <v>13.13</v>
      </c>
      <c r="AK5" s="797">
        <v>13.13</v>
      </c>
      <c r="AL5" s="797">
        <v>13.13</v>
      </c>
      <c r="AM5" s="797">
        <v>13.13</v>
      </c>
      <c r="AN5" s="797">
        <v>13.13</v>
      </c>
      <c r="AO5" s="797">
        <v>13.13</v>
      </c>
      <c r="AP5" s="797">
        <v>13.13</v>
      </c>
      <c r="AQ5" s="797">
        <v>13.13</v>
      </c>
      <c r="AR5" s="797">
        <v>13.13</v>
      </c>
      <c r="AS5" s="797">
        <v>13.13</v>
      </c>
      <c r="AT5" s="797">
        <v>13.13</v>
      </c>
      <c r="AU5" s="797">
        <v>13.13</v>
      </c>
      <c r="AV5" s="797">
        <v>13.13</v>
      </c>
      <c r="AW5" s="797">
        <v>13.13</v>
      </c>
      <c r="AX5" s="797">
        <v>13.13</v>
      </c>
      <c r="AY5" s="797">
        <v>13.13</v>
      </c>
      <c r="AZ5" s="797">
        <v>13.13</v>
      </c>
      <c r="BA5" s="797">
        <v>13.13</v>
      </c>
      <c r="BB5" s="797">
        <v>13.13</v>
      </c>
      <c r="BC5" s="803">
        <v>20.13</v>
      </c>
      <c r="BD5" s="797">
        <v>3</v>
      </c>
      <c r="BF5" s="1200"/>
    </row>
    <row s="1582" customFormat="1" customHeight="1" ht="12" hidden="1">
      <c r="A6" s="1186"/>
      <c r="B6" s="788"/>
      <c r="E6" s="797"/>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170"/>
    </row>
    <row customHeight="1" ht="12" hidden="1">
      <c r="F7" s="213"/>
      <c r="T7" s="213"/>
      <c r="U7" s="213"/>
      <c r="V7" s="213"/>
      <c r="W7" s="213"/>
      <c r="X7" s="213"/>
      <c r="Y7" s="213"/>
      <c r="Z7" s="213"/>
      <c r="AE7" s="213" cm="1" t="str">
        <f t="array" ref="AE7:AE7">AE26</f>
        <v>Принято органом регулирования</v>
      </c>
      <c r="AF7" s="213" cm="1" t="str">
        <f t="array" ref="AF7:AF7">AF26</f>
        <v>Факт по данным организации</v>
      </c>
      <c r="AG7" s="213" cm="1" t="str">
        <f t="array" ref="AG7:AG7">AG26</f>
        <v>Факт, принятый органом регулирования</v>
      </c>
      <c r="AH7" s="213" cm="1" t="str">
        <f t="array" ref="AH7:AH7">AH26</f>
        <v>Принято органом регулирования</v>
      </c>
      <c r="AI7" s="213" cm="1" t="str">
        <f t="array" ref="AI7:AI7">AI26</f>
        <v>Предложение организации</v>
      </c>
      <c r="AJ7" s="213" cm="1" t="str">
        <f t="array" ref="AJ7:AJ7">AJ26</f>
        <v>Предложение организации</v>
      </c>
      <c r="AK7" s="213" cm="1" t="str">
        <f t="array" ref="AK7:AK7">AK26</f>
        <v>Предложение организации</v>
      </c>
      <c r="AL7" s="213" cm="1" t="str">
        <f t="array" ref="AL7:AL7">AL26</f>
        <v>Предложение организации</v>
      </c>
      <c r="AM7" s="213" cm="1" t="str">
        <f t="array" ref="AM7:AM7">AM26</f>
        <v>Предложение организации</v>
      </c>
      <c r="AN7" s="213" cm="1" t="str">
        <f t="array" ref="AN7:AN7">AN26</f>
        <v>Предложение организации</v>
      </c>
      <c r="AO7" s="213" cm="1" t="str">
        <f t="array" ref="AO7:AO7">AO26</f>
        <v>Предложение организации</v>
      </c>
      <c r="AP7" s="213" cm="1" t="str">
        <f t="array" ref="AP7:AP7">AP26</f>
        <v>Предложение организации</v>
      </c>
      <c r="AQ7" s="213" cm="1" t="str">
        <f t="array" ref="AQ7:AQ7">AQ26</f>
        <v>Предложение организации</v>
      </c>
      <c r="AR7" s="213" cm="1" t="str">
        <f t="array" ref="AR7:AR7">AR26</f>
        <v>Предложение организации</v>
      </c>
      <c r="AS7" s="213" cm="1" t="str">
        <f t="array" ref="AS7:AS7">AS26</f>
        <v>Принято органом регулирования</v>
      </c>
      <c r="AT7" s="213" cm="1" t="str">
        <f t="array" ref="AT7:AT7">AT26</f>
        <v>Принято органом регулирования</v>
      </c>
      <c r="AU7" s="213" cm="1" t="str">
        <f t="array" ref="AU7:AU7">AU26</f>
        <v>Принято органом регулирования</v>
      </c>
      <c r="AV7" s="213" cm="1" t="str">
        <f t="array" ref="AV7:AV7">AV26</f>
        <v>Принято органом регулирования</v>
      </c>
      <c r="AW7" s="213" cm="1" t="str">
        <f t="array" ref="AW7:AW7">AW26</f>
        <v>Принято органом регулирования</v>
      </c>
      <c r="AX7" s="213" cm="1" t="str">
        <f t="array" ref="AX7:AX7">AX26</f>
        <v>Принято органом регулирования</v>
      </c>
      <c r="AY7" s="213" cm="1" t="str">
        <f t="array" ref="AY7:AY7">AY26</f>
        <v>Принято органом регулирования</v>
      </c>
      <c r="AZ7" s="213" cm="1" t="str">
        <f t="array" ref="AZ7:AZ7">AZ26</f>
        <v>Принято органом регулирования</v>
      </c>
      <c r="BA7" s="213" cm="1" t="str">
        <f t="array" ref="BA7:BA7">BA26</f>
        <v>Принято органом регулирования</v>
      </c>
      <c r="BB7" s="213" cm="1" t="str">
        <f t="array" ref="BB7:BB7">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217" customFormat="1" customHeight="1" ht="12" hidden="1">
      <c r="A9" s="1161" t="s">
        <v>437</v>
      </c>
      <c r="B9" s="1154"/>
      <c r="E9" s="1154"/>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70"/>
    </row>
    <row s="1217" customFormat="1" customHeight="1" ht="12" hidden="1">
      <c r="A10" s="1161" t="s">
        <v>438</v>
      </c>
      <c r="B10" s="1154"/>
      <c r="E10" s="1154"/>
      <c r="AE10" s="1162" cm="1" t="str">
        <f t="array" ref="AE10:AE10">AE26</f>
        <v>Принято органом регулирования</v>
      </c>
      <c r="AF10" s="1162" cm="1" t="str">
        <f t="array" ref="AF10:AF10">AF26</f>
        <v>Факт по данным организации</v>
      </c>
      <c r="AG10" s="1162" cm="1" t="str">
        <f t="array" ref="AG10:AG10">AG26</f>
        <v>Факт, принятый органом регулирования</v>
      </c>
      <c r="AH10" s="1162" cm="1" t="str">
        <f t="array" ref="AH10:AH10">AH26</f>
        <v>Принято органом регулирования</v>
      </c>
      <c r="AI10" s="1162" cm="1" t="str">
        <f t="array" ref="AI10:AI10">AI26</f>
        <v>Предложение организации</v>
      </c>
      <c r="AJ10" s="1162" cm="1" t="str">
        <f t="array" ref="AJ10:AJ10">AJ26</f>
        <v>Предложение организации</v>
      </c>
      <c r="AK10" s="1162" cm="1" t="str">
        <f t="array" ref="AK10:AK10">AK26</f>
        <v>Предложение организации</v>
      </c>
      <c r="AL10" s="1162" cm="1" t="str">
        <f t="array" ref="AL10:AL10">AL26</f>
        <v>Предложение организации</v>
      </c>
      <c r="AM10" s="1162" cm="1" t="str">
        <f t="array" ref="AM10:AM10">AM26</f>
        <v>Предложение организации</v>
      </c>
      <c r="AN10" s="1162" cm="1" t="str">
        <f t="array" ref="AN10:AN10">AN26</f>
        <v>Предложение организации</v>
      </c>
      <c r="AO10" s="1162" cm="1" t="str">
        <f t="array" ref="AO10:AO10">AO26</f>
        <v>Предложение организации</v>
      </c>
      <c r="AP10" s="1162" cm="1" t="str">
        <f t="array" ref="AP10:AP10">AP26</f>
        <v>Предложение организации</v>
      </c>
      <c r="AQ10" s="1162" cm="1" t="str">
        <f t="array" ref="AQ10:AQ10">AQ26</f>
        <v>Предложение организации</v>
      </c>
      <c r="AR10" s="1162" cm="1" t="str">
        <f t="array" ref="AR10:AR10">AR26</f>
        <v>Предложение организации</v>
      </c>
      <c r="AS10" s="1162" cm="1" t="str">
        <f t="array" ref="AS10:AS10">AS26</f>
        <v>Принято органом регулирования</v>
      </c>
      <c r="AT10" s="1162" cm="1" t="str">
        <f t="array" ref="AT10:AT10">AT26</f>
        <v>Принято органом регулирования</v>
      </c>
      <c r="AU10" s="1162" cm="1" t="str">
        <f t="array" ref="AU10:AU10">AU26</f>
        <v>Принято органом регулирования</v>
      </c>
      <c r="AV10" s="1162" cm="1" t="str">
        <f t="array" ref="AV10:AV10">AV26</f>
        <v>Принято органом регулирования</v>
      </c>
      <c r="AW10" s="1162" cm="1" t="str">
        <f t="array" ref="AW10:AW10">AW26</f>
        <v>Принято органом регулирования</v>
      </c>
      <c r="AX10" s="1162" cm="1" t="str">
        <f t="array" ref="AX10:AX10">AX26</f>
        <v>Принято органом регулирования</v>
      </c>
      <c r="AY10" s="1162" cm="1" t="str">
        <f t="array" ref="AY10:AY10">AY26</f>
        <v>Принято органом регулирования</v>
      </c>
      <c r="AZ10" s="1162" cm="1" t="str">
        <f t="array" ref="AZ10:AZ10">AZ26</f>
        <v>Принято органом регулирования</v>
      </c>
      <c r="BA10" s="1162" cm="1" t="str">
        <f t="array" ref="BA10:BA10">BA26</f>
        <v>Принято органом регулирования</v>
      </c>
      <c r="BB10" s="1162" cm="1" t="str">
        <f t="array" ref="BB10:BB10">BB26</f>
        <v>Принято органом регулирования</v>
      </c>
      <c r="BF10" s="1170"/>
    </row>
    <row s="1217" customFormat="1" customHeight="1" ht="12" hidden="1">
      <c r="A11" s="1161" t="s">
        <v>439</v>
      </c>
      <c r="B11" s="1154"/>
      <c r="E11" s="1154"/>
      <c r="G11" s="1170"/>
      <c r="H11" s="1170"/>
      <c r="I11" s="1170"/>
      <c r="J11" s="1170"/>
      <c r="K11" s="1170"/>
      <c r="L11" s="1170"/>
      <c r="M11" s="1170"/>
      <c r="N11" s="1170"/>
      <c r="O11" s="1170"/>
      <c r="P11" s="1170"/>
      <c r="Q11" s="1170"/>
      <c r="R11" s="1170"/>
      <c r="S11" s="1170"/>
      <c r="AB11" s="1164"/>
      <c r="AC11" s="1164"/>
      <c r="AD11" s="1164"/>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4" cm="1" t="str">
        <f t="array" ref="BC11:BC11">BC25</f>
        <v>Ссылка на правовую норму (основание для принятия показателя в расчет тарифа)</v>
      </c>
      <c r="BF11" s="1170"/>
    </row>
    <row s="1582" customFormat="1" customHeight="1" ht="12" hidden="1">
      <c r="A12" s="1186"/>
      <c r="B12" s="788"/>
      <c r="E12" s="797"/>
      <c r="G12" s="213"/>
      <c r="H12" s="213"/>
      <c r="I12" s="213"/>
      <c r="J12" s="213"/>
      <c r="K12" s="213"/>
      <c r="L12" s="213"/>
      <c r="M12" s="213"/>
      <c r="N12" s="213"/>
      <c r="O12" s="213"/>
      <c r="P12" s="213"/>
      <c r="Q12" s="213"/>
      <c r="R12" s="213"/>
      <c r="S12" s="213"/>
      <c r="AB12" s="171"/>
      <c r="AC12" s="171"/>
      <c r="AD12" s="171"/>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C12" s="171"/>
      <c r="BF12" s="1170"/>
    </row>
    <row s="1582" customFormat="1" customHeight="1" ht="12" hidden="1">
      <c r="A13" s="1186"/>
      <c r="B13" s="788"/>
      <c r="E13" s="797"/>
      <c r="G13" s="213"/>
      <c r="H13" s="213"/>
      <c r="I13" s="213"/>
      <c r="J13" s="213"/>
      <c r="K13" s="213"/>
      <c r="L13" s="213"/>
      <c r="M13" s="213"/>
      <c r="N13" s="213"/>
      <c r="O13" s="213"/>
      <c r="P13" s="213"/>
      <c r="Q13" s="213"/>
      <c r="R13" s="213"/>
      <c r="S13" s="213"/>
      <c r="AB13" s="171"/>
      <c r="AC13" s="171"/>
      <c r="AD13" s="171"/>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C13" s="171"/>
      <c r="BF13" s="1170"/>
    </row>
    <row s="1582" customFormat="1" customHeight="1" ht="12" hidden="1">
      <c r="A14" s="1186"/>
      <c r="B14" s="788"/>
      <c r="E14" s="797"/>
      <c r="G14" s="213"/>
      <c r="H14" s="213"/>
      <c r="I14" s="213"/>
      <c r="J14" s="213"/>
      <c r="K14" s="213"/>
      <c r="L14" s="213"/>
      <c r="M14" s="213"/>
      <c r="N14" s="213"/>
      <c r="O14" s="213"/>
      <c r="P14" s="213"/>
      <c r="Q14" s="213"/>
      <c r="R14" s="213"/>
      <c r="S14" s="213"/>
      <c r="AB14" s="171"/>
      <c r="AC14" s="171"/>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C14" s="171"/>
      <c r="BF14" s="1170"/>
    </row>
    <row s="1582" customFormat="1" customHeight="1" ht="12" hidden="1">
      <c r="A15" s="1186"/>
      <c r="B15" s="788"/>
      <c r="E15" s="797"/>
      <c r="G15" s="213"/>
      <c r="H15" s="213"/>
      <c r="I15" s="213"/>
      <c r="J15" s="213"/>
      <c r="K15" s="213"/>
      <c r="L15" s="213"/>
      <c r="M15" s="213"/>
      <c r="N15" s="213"/>
      <c r="O15" s="213"/>
      <c r="P15" s="213"/>
      <c r="Q15" s="213"/>
      <c r="R15" s="213"/>
      <c r="S15" s="213"/>
      <c r="AB15" s="171"/>
      <c r="AC15" s="171"/>
      <c r="AD15" s="171"/>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C15" s="171"/>
      <c r="BF15" s="1170"/>
    </row>
    <row s="1582" customFormat="1" customHeight="1" ht="12" hidden="1">
      <c r="A16" s="1186"/>
      <c r="B16" s="788"/>
      <c r="E16" s="797"/>
      <c r="G16" s="213"/>
      <c r="H16" s="213"/>
      <c r="I16" s="213"/>
      <c r="J16" s="213"/>
      <c r="K16" s="213"/>
      <c r="L16" s="213"/>
      <c r="M16" s="213"/>
      <c r="N16" s="213"/>
      <c r="O16" s="213"/>
      <c r="P16" s="213"/>
      <c r="Q16" s="213"/>
      <c r="R16" s="213"/>
      <c r="S16" s="213"/>
      <c r="AB16" s="171"/>
      <c r="AC16" s="171"/>
      <c r="AD16" s="171"/>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C16" s="171"/>
      <c r="BF16" s="1170"/>
    </row>
    <row s="1582" customFormat="1" customHeight="1" ht="12" hidden="1">
      <c r="A17" s="1186"/>
      <c r="B17" s="788"/>
      <c r="E17" s="797"/>
      <c r="G17" s="213"/>
      <c r="H17" s="213"/>
      <c r="I17" s="213"/>
      <c r="J17" s="213"/>
      <c r="K17" s="213"/>
      <c r="L17" s="213"/>
      <c r="M17" s="213"/>
      <c r="N17" s="213"/>
      <c r="O17" s="213"/>
      <c r="P17" s="213"/>
      <c r="Q17" s="213"/>
      <c r="R17" s="213"/>
      <c r="S17" s="213"/>
      <c r="AB17" s="171"/>
      <c r="AC17" s="171"/>
      <c r="AD17" s="171"/>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C17" s="171"/>
      <c r="BF17" s="1170"/>
    </row>
    <row s="1582" customFormat="1" customHeight="1" ht="12" hidden="1">
      <c r="A18" s="1186"/>
      <c r="B18" s="788"/>
      <c r="E18" s="797"/>
      <c r="G18" s="213"/>
      <c r="H18" s="213"/>
      <c r="I18" s="213"/>
      <c r="J18" s="213"/>
      <c r="K18" s="213"/>
      <c r="L18" s="213"/>
      <c r="M18" s="213"/>
      <c r="N18" s="213"/>
      <c r="O18" s="213"/>
      <c r="P18" s="213"/>
      <c r="Q18" s="213"/>
      <c r="R18" s="213"/>
      <c r="S18" s="213"/>
      <c r="AB18" s="171"/>
      <c r="AC18" s="171"/>
      <c r="AD18" s="171"/>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C18" s="171"/>
      <c r="BF18" s="1170"/>
    </row>
    <row s="1582" customFormat="1" customHeight="1" ht="12" hidden="1">
      <c r="A19" s="1186"/>
      <c r="B19" s="788"/>
      <c r="E19" s="797"/>
      <c r="G19" s="213"/>
      <c r="H19" s="213"/>
      <c r="I19" s="213"/>
      <c r="J19" s="213"/>
      <c r="K19" s="213"/>
      <c r="L19" s="213"/>
      <c r="M19" s="213"/>
      <c r="N19" s="213"/>
      <c r="O19" s="213"/>
      <c r="P19" s="213"/>
      <c r="Q19" s="213"/>
      <c r="R19" s="213"/>
      <c r="S19" s="213"/>
      <c r="AB19" s="171"/>
      <c r="AC19" s="171"/>
      <c r="AD19" s="171"/>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C19" s="171"/>
      <c r="BF19" s="1170"/>
    </row>
    <row s="1582" customFormat="1" customHeight="1" ht="12" hidden="1">
      <c r="A20" s="1186"/>
      <c r="B20" s="788"/>
      <c r="E20" s="797"/>
      <c r="G20" s="213"/>
      <c r="H20" s="213"/>
      <c r="I20" s="213"/>
      <c r="J20" s="213"/>
      <c r="K20" s="213"/>
      <c r="L20" s="213"/>
      <c r="M20" s="213"/>
      <c r="N20" s="213"/>
      <c r="O20" s="213"/>
      <c r="P20" s="213"/>
      <c r="Q20" s="213"/>
      <c r="R20" s="213"/>
      <c r="S20" s="213"/>
      <c r="AB20" s="171"/>
      <c r="AC20" s="171"/>
      <c r="AD20" s="171"/>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C20" s="171"/>
      <c r="BF20" s="1170"/>
    </row>
    <row customHeight="1" ht="14.625">
      <c r="E21" s="797">
        <v>15</v>
      </c>
      <c r="AA21" s="820"/>
      <c r="AC21" s="403" cm="1" t="str">
        <f t="array" ref="AC21:AC21">tpl_title</f>
        <v>Кемеровская область / 2026 / ООО "ВЕЛЕС" (ИНН:4212036655, КПП:421201001) / ДПР: 2016-2025</v>
      </c>
      <c r="AI21" s="500"/>
      <c r="AJ21" s="500"/>
      <c r="AK21" s="500"/>
      <c r="AL21" s="500"/>
      <c r="AM21" s="500"/>
      <c r="AN21" s="500"/>
      <c r="AO21" s="500"/>
      <c r="AP21" s="500"/>
      <c r="AQ21" s="500"/>
      <c r="AR21" s="500"/>
      <c r="AS21" s="500"/>
      <c r="AT21" s="500"/>
      <c r="AU21" s="500"/>
      <c r="AV21" s="500"/>
      <c r="AW21" s="500"/>
      <c r="AX21" s="500"/>
      <c r="AY21" s="500"/>
      <c r="AZ21" s="500"/>
      <c r="BA21" s="500"/>
      <c r="BB21" s="500"/>
    </row>
    <row s="965" customFormat="1" customHeight="1" ht="19.5975">
      <c r="A22" s="403"/>
      <c r="B22" s="788"/>
      <c r="C22" s="179"/>
      <c r="D22" s="179"/>
      <c r="E22" s="797">
        <v>20.1</v>
      </c>
      <c r="F22" s="179"/>
      <c r="T22" s="179"/>
      <c r="U22" s="179"/>
      <c r="V22" s="179"/>
      <c r="W22" s="179"/>
      <c r="X22" s="179"/>
      <c r="Y22" s="179"/>
      <c r="Z22" s="179"/>
      <c r="AB22" s="391" t="s">
        <v>35</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159"/>
    </row>
    <row customHeight="1" ht="11.0175">
      <c r="E23" s="797">
        <v>11.3</v>
      </c>
      <c r="AI23" s="500"/>
      <c r="AJ23" s="500"/>
      <c r="AK23" s="500"/>
      <c r="AL23" s="500"/>
      <c r="AM23" s="500"/>
      <c r="AN23" s="500"/>
      <c r="AO23" s="500"/>
      <c r="AP23" s="500"/>
      <c r="AQ23" s="500"/>
      <c r="AR23" s="500"/>
      <c r="AS23" s="500"/>
      <c r="AT23" s="500"/>
      <c r="AU23" s="500"/>
      <c r="AV23" s="500"/>
      <c r="AW23" s="500"/>
      <c r="AX23" s="500"/>
      <c r="AY23" s="500"/>
      <c r="AZ23" s="500"/>
      <c r="BA23" s="500"/>
      <c r="BB23" s="500"/>
    </row>
    <row s="965" customFormat="1" customHeight="1" ht="14.625">
      <c r="A24" s="403"/>
      <c r="B24" s="788"/>
      <c r="C24" s="179"/>
      <c r="D24" s="179"/>
      <c r="E24" s="797">
        <v>15</v>
      </c>
      <c r="F24" s="179"/>
      <c r="T24" s="179"/>
      <c r="U24" s="179"/>
      <c r="V24" s="179"/>
      <c r="W24" s="179"/>
      <c r="X24" s="179"/>
      <c r="Y24" s="179"/>
      <c r="Z24" s="179"/>
      <c r="AB24" s="1473" t="s">
        <v>35</v>
      </c>
      <c r="AC24" s="1473"/>
      <c r="AD24" s="1473"/>
      <c r="AE24" s="1473"/>
      <c r="AF24" s="1473"/>
      <c r="AG24" s="1473"/>
      <c r="AH24" s="1473"/>
      <c r="AI24" s="1473"/>
      <c r="AJ24" s="1473"/>
      <c r="AK24" s="1473"/>
      <c r="AL24" s="1473"/>
      <c r="AM24" s="1473"/>
      <c r="AN24" s="1473"/>
      <c r="AO24" s="1473"/>
      <c r="AP24" s="1473"/>
      <c r="AQ24" s="1473"/>
      <c r="AR24" s="1473"/>
      <c r="AS24" s="1473"/>
      <c r="AT24" s="1473"/>
      <c r="AU24" s="1473"/>
      <c r="AV24" s="1473"/>
      <c r="AW24" s="1473"/>
      <c r="AX24" s="1473"/>
      <c r="AY24" s="1473"/>
      <c r="AZ24" s="1473"/>
      <c r="BA24" s="1473"/>
      <c r="BB24" s="1473"/>
      <c r="BC24" s="1473"/>
      <c r="BF24" s="1159"/>
    </row>
    <row s="215" customFormat="1" customHeight="1" ht="14.625">
      <c r="A25" s="332"/>
      <c r="B25" s="792"/>
      <c r="C25" s="171"/>
      <c r="D25" s="171"/>
      <c r="E25" s="803">
        <v>15</v>
      </c>
      <c r="F25" s="171"/>
      <c r="T25" s="171"/>
      <c r="U25" s="171"/>
      <c r="V25" s="179"/>
      <c r="W25" s="171"/>
      <c r="X25" s="171"/>
      <c r="Y25" s="171"/>
      <c r="Z25" s="171"/>
      <c r="AB25" s="1475" t="s">
        <v>386</v>
      </c>
      <c r="AC25" s="1476" t="s">
        <v>440</v>
      </c>
      <c r="AD25" s="1468" t="s">
        <v>441</v>
      </c>
      <c r="AE25" s="412" t="str">
        <f>god-2&amp;" год"</f>
        <v>2024 год</v>
      </c>
      <c r="AF25" s="1361" t="str">
        <f>god-2&amp;" год"</f>
        <v>2024 год</v>
      </c>
      <c r="AG25" s="412" t="str">
        <f>god-2&amp;" год"</f>
        <v>2024 год</v>
      </c>
      <c r="AH25" s="174" t="str">
        <f>god-1&amp;" год"</f>
        <v>2025 год</v>
      </c>
      <c r="AI25" s="1356" t="str">
        <f>god&amp;" год"</f>
        <v>2026 год</v>
      </c>
      <c r="AJ25" s="1356" t="str">
        <f>god+1&amp;" год"</f>
        <v>2027 год</v>
      </c>
      <c r="AK25" s="1356" t="str">
        <f>god+2&amp;" год"</f>
        <v>2028 год</v>
      </c>
      <c r="AL25" s="1356" t="str">
        <f>god+3&amp;" год"</f>
        <v>2029 год</v>
      </c>
      <c r="AM25" s="1356" t="str">
        <f>god+4&amp;" год"</f>
        <v>2030 год</v>
      </c>
      <c r="AN25" s="1356" t="str">
        <f>god+5&amp;" год"</f>
        <v>2031 год</v>
      </c>
      <c r="AO25" s="1356" t="str">
        <f>god+6&amp;" год"</f>
        <v>2032 год</v>
      </c>
      <c r="AP25" s="1356" t="str">
        <f>god+7&amp;" год"</f>
        <v>2033 год</v>
      </c>
      <c r="AQ25" s="1356" t="str">
        <f>god+8&amp;" год"</f>
        <v>2034 год</v>
      </c>
      <c r="AR25" s="1356"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474" t="s">
        <v>595</v>
      </c>
      <c r="BF25" s="1170"/>
    </row>
    <row s="215" customFormat="1" customHeight="1" ht="68.1525">
      <c r="A26" s="332"/>
      <c r="B26" s="792"/>
      <c r="C26" s="171"/>
      <c r="D26" s="171"/>
      <c r="E26" s="803">
        <v>69.9</v>
      </c>
      <c r="F26" s="171"/>
      <c r="T26" s="171"/>
      <c r="U26" s="171"/>
      <c r="V26" s="179"/>
      <c r="W26" s="171"/>
      <c r="X26" s="171"/>
      <c r="Y26" s="171"/>
      <c r="Z26" s="171"/>
      <c r="AB26" s="1475"/>
      <c r="AC26" s="1477"/>
      <c r="AD26" s="1468"/>
      <c r="AE26" s="170" t="s">
        <v>402</v>
      </c>
      <c r="AF26" s="1356" t="s">
        <v>596</v>
      </c>
      <c r="AG26" s="170" t="s">
        <v>597</v>
      </c>
      <c r="AH26" s="170" t="s">
        <v>402</v>
      </c>
      <c r="AI26" s="1357" t="s">
        <v>403</v>
      </c>
      <c r="AJ26" s="1357" t="s">
        <v>403</v>
      </c>
      <c r="AK26" s="1357" t="s">
        <v>403</v>
      </c>
      <c r="AL26" s="1357" t="s">
        <v>403</v>
      </c>
      <c r="AM26" s="1357" t="s">
        <v>403</v>
      </c>
      <c r="AN26" s="1357" t="s">
        <v>403</v>
      </c>
      <c r="AO26" s="1357" t="s">
        <v>403</v>
      </c>
      <c r="AP26" s="1357" t="s">
        <v>403</v>
      </c>
      <c r="AQ26" s="1357" t="s">
        <v>403</v>
      </c>
      <c r="AR26" s="1357" t="s">
        <v>403</v>
      </c>
      <c r="AS26" s="413" t="s">
        <v>402</v>
      </c>
      <c r="AT26" s="413" t="s">
        <v>402</v>
      </c>
      <c r="AU26" s="413" t="s">
        <v>402</v>
      </c>
      <c r="AV26" s="413" t="s">
        <v>402</v>
      </c>
      <c r="AW26" s="413" t="s">
        <v>402</v>
      </c>
      <c r="AX26" s="413" t="s">
        <v>402</v>
      </c>
      <c r="AY26" s="413" t="s">
        <v>402</v>
      </c>
      <c r="AZ26" s="413" t="s">
        <v>402</v>
      </c>
      <c r="BA26" s="413" t="s">
        <v>402</v>
      </c>
      <c r="BB26" s="413" t="s">
        <v>402</v>
      </c>
      <c r="BC26" s="1474"/>
      <c r="BF26" s="1170"/>
    </row>
    <row s="215" customFormat="1" customHeight="1" ht="14.25" hidden="1">
      <c r="A27" s="332"/>
      <c r="B27" s="792"/>
      <c r="C27" s="171"/>
      <c r="D27" s="171"/>
      <c r="E27" s="803">
        <v>0</v>
      </c>
      <c r="F27" s="171"/>
      <c r="T27" s="171"/>
      <c r="U27" s="171"/>
      <c r="V27" s="179"/>
      <c r="W27" s="171"/>
      <c r="X27" s="171"/>
      <c r="Y27" s="171"/>
      <c r="Z27" s="171"/>
      <c r="AB27" s="524"/>
      <c r="AC27" s="523"/>
      <c r="AD27" s="374"/>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70"/>
    </row>
    <row customHeight="1" ht="11.115" hidden="1">
      <c r="E28" s="797">
        <v>11.4</v>
      </c>
      <c r="F28" s="175" cm="1" t="str">
        <f t="array" ref="F28:F28">X28</f>
        <v>0</v>
      </c>
      <c r="G28" s="213" cm="1" t="str">
        <f t="array" ref="G28:G28">INDEX('Общие сведения'!$AL$169:$AL$202,MATCH($F28,'Общие сведения'!$Z$169:$Z$202,0))</f>
        <v>0</v>
      </c>
      <c r="T28" s="808">
        <f>AND(X28&gt;0,G28="передача тепловой энергии")</f>
        <v>0</v>
      </c>
      <c r="V28" s="175" t="s">
        <v>310</v>
      </c>
      <c r="X28" s="175">
        <v>0</v>
      </c>
      <c r="AB28" s="466" cm="1" t="str">
        <f t="array" ref="AB28:AB28">INDEX('Общие сведения'!$AG$169:$AG$202,MATCH($F28,'Общие сведения'!$Z$169:$Z$202,0))</f>
        <v>Тариф 0 (Теплоснабжение) - </v>
      </c>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97">
        <v>17.1</v>
      </c>
      <c r="F29" s="922" cm="1" t="str">
        <f t="array" ref="F29:F29">OFFSET(G29,-1,-1)</f>
        <v>0</v>
      </c>
      <c r="T29" s="808" cm="1" t="str">
        <f t="array" ref="T29:T29">T28</f>
        <v>false</v>
      </c>
      <c r="AB29" s="568" t="s">
        <v>336</v>
      </c>
      <c r="AC29" s="569" t="s">
        <v>707</v>
      </c>
      <c r="AD29" s="170" t="s">
        <v>599</v>
      </c>
      <c r="AE29" s="77"/>
      <c r="AF29" s="77"/>
      <c r="AG29" s="77"/>
      <c r="AH29" s="77"/>
      <c r="AI29" s="1715"/>
      <c r="AJ29" s="77"/>
      <c r="AK29" s="77"/>
      <c r="AL29" s="77"/>
      <c r="AM29" s="77"/>
      <c r="AN29" s="77"/>
      <c r="AO29" s="77"/>
      <c r="AP29" s="77"/>
      <c r="AQ29" s="77"/>
      <c r="AR29" s="77"/>
      <c r="AS29" s="1715"/>
      <c r="AT29" s="77"/>
      <c r="AU29" s="77"/>
      <c r="AV29" s="77"/>
      <c r="AW29" s="77"/>
      <c r="AX29" s="77"/>
      <c r="AY29" s="77"/>
      <c r="AZ29" s="77"/>
      <c r="BA29" s="77"/>
      <c r="BB29" s="77"/>
      <c r="BC29" s="73"/>
      <c r="BF29" s="1210" t="s">
        <v>708</v>
      </c>
    </row>
    <row customHeight="1" ht="16.672500000000003" hidden="1">
      <c r="E30" s="797">
        <v>17.1</v>
      </c>
      <c r="F30" s="922" cm="1" t="str">
        <f t="array" ref="F30:F30">OFFSET(G30,-1,-1)</f>
        <v>0</v>
      </c>
      <c r="T30" s="808" cm="1" t="str">
        <f t="array" ref="T30:T30">T29</f>
        <v>false</v>
      </c>
      <c r="AB30" s="568" t="s">
        <v>426</v>
      </c>
      <c r="AC30" s="569" t="s">
        <v>709</v>
      </c>
      <c r="AD30" s="170" t="s">
        <v>599</v>
      </c>
      <c r="AE30" s="85"/>
      <c r="AF30" s="85"/>
      <c r="AG30" s="85"/>
      <c r="AH30" s="85"/>
      <c r="AI30" s="1731"/>
      <c r="AJ30" s="85"/>
      <c r="AK30" s="85"/>
      <c r="AL30" s="85"/>
      <c r="AM30" s="85"/>
      <c r="AN30" s="85"/>
      <c r="AO30" s="85"/>
      <c r="AP30" s="85"/>
      <c r="AQ30" s="85"/>
      <c r="AR30" s="85"/>
      <c r="AS30" s="1731"/>
      <c r="AT30" s="85"/>
      <c r="AU30" s="85"/>
      <c r="AV30" s="85"/>
      <c r="AW30" s="85"/>
      <c r="AX30" s="85"/>
      <c r="AY30" s="85"/>
      <c r="AZ30" s="85"/>
      <c r="BA30" s="85"/>
      <c r="BB30" s="85"/>
      <c r="BC30" s="73"/>
      <c r="BF30" s="1210" t="s">
        <v>710</v>
      </c>
    </row>
    <row customHeight="1" ht="16.672500000000003" hidden="1">
      <c r="E31" s="797">
        <v>17.1</v>
      </c>
      <c r="F31" s="922" cm="1" t="str">
        <f t="array" ref="F31:F31">OFFSET(G31,-1,-1)</f>
        <v>0</v>
      </c>
      <c r="T31" s="808" cm="1" t="str">
        <f t="array" ref="T31:T31">T30</f>
        <v>false</v>
      </c>
      <c r="AB31" s="488" t="s">
        <v>456</v>
      </c>
      <c r="AC31" s="504" t="s">
        <v>711</v>
      </c>
      <c r="AD31" s="170" t="s">
        <v>498</v>
      </c>
      <c r="AE31" s="571">
        <f>IF(AE29=0,0,AE30/AE29)</f>
        <v>0</v>
      </c>
      <c r="AF31" s="571">
        <f>IF(AF29=0,0,AF30/AF29)</f>
        <v>0</v>
      </c>
      <c r="AG31" s="571">
        <f>IF(AG29=0,0,AG30/AG29)</f>
        <v>0</v>
      </c>
      <c r="AH31" s="571">
        <f>IF(AH29=0,0,AH30/AH29)</f>
        <v>0</v>
      </c>
      <c r="AI31" s="571">
        <f>IF(AI29=0,0,AI30/AI29)</f>
        <v>0</v>
      </c>
      <c r="AJ31" s="571">
        <f>IF(AJ29=0,0,AJ30/AJ29)</f>
        <v>0</v>
      </c>
      <c r="AK31" s="571">
        <f>IF(AK29=0,0,AK30/AK29)</f>
        <v>0</v>
      </c>
      <c r="AL31" s="571">
        <f>IF(AL29=0,0,AL30/AL29)</f>
        <v>0</v>
      </c>
      <c r="AM31" s="571">
        <f>IF(AM29=0,0,AM30/AM29)</f>
        <v>0</v>
      </c>
      <c r="AN31" s="571">
        <f>IF(AN29=0,0,AN30/AN29)</f>
        <v>0</v>
      </c>
      <c r="AO31" s="571">
        <f>IF(AO29=0,0,AO30/AO29)</f>
        <v>0</v>
      </c>
      <c r="AP31" s="571">
        <f>IF(AP29=0,0,AP30/AP29)</f>
        <v>0</v>
      </c>
      <c r="AQ31" s="571">
        <f>IF(AQ29=0,0,AQ30/AQ29)</f>
        <v>0</v>
      </c>
      <c r="AR31" s="571">
        <f>IF(AR29=0,0,AR30/AR29)</f>
        <v>0</v>
      </c>
      <c r="AS31" s="571">
        <f>IF(AS29=0,0,AS30/AS29)</f>
        <v>0</v>
      </c>
      <c r="AT31" s="571">
        <f>IF(AT29=0,0,AT30/AT29)</f>
        <v>0</v>
      </c>
      <c r="AU31" s="571">
        <f>IF(AU29=0,0,AU30/AU29)</f>
        <v>0</v>
      </c>
      <c r="AV31" s="571">
        <f>IF(AV29=0,0,AV30/AV29)</f>
        <v>0</v>
      </c>
      <c r="AW31" s="571">
        <f>IF(AW29=0,0,AW30/AW29)</f>
        <v>0</v>
      </c>
      <c r="AX31" s="571">
        <f>IF(AX29=0,0,AX30/AX29)</f>
        <v>0</v>
      </c>
      <c r="AY31" s="571">
        <f>IF(AY29=0,0,AY30/AY29)</f>
        <v>0</v>
      </c>
      <c r="AZ31" s="571">
        <f>IF(AZ29=0,0,AZ30/AZ29)</f>
        <v>0</v>
      </c>
      <c r="BA31" s="571">
        <f>IF(BA29=0,0,BA30/BA29)</f>
        <v>0</v>
      </c>
      <c r="BB31" s="571">
        <f>IF(BB29=0,0,BB30/BB29)</f>
        <v>0</v>
      </c>
      <c r="BC31" s="73"/>
      <c r="BF31" s="1210" t="s">
        <v>712</v>
      </c>
    </row>
    <row customHeight="1" ht="16.672500000000003" hidden="1">
      <c r="E32" s="797">
        <v>17.1</v>
      </c>
      <c r="F32" s="922" cm="1" t="str">
        <f t="array" ref="F32:F32">OFFSET(G32,-1,-1)</f>
        <v>0</v>
      </c>
      <c r="T32" s="808" cm="1" t="str">
        <f t="array" ref="T32:T32">T31</f>
        <v>false</v>
      </c>
      <c r="AB32" s="482" t="s">
        <v>429</v>
      </c>
      <c r="AC32" s="570" t="s">
        <v>713</v>
      </c>
      <c r="AD32" s="170" t="s">
        <v>599</v>
      </c>
      <c r="AE32" s="486">
        <f>AE29-AE30</f>
        <v>0</v>
      </c>
      <c r="AF32" s="486">
        <f>AF29-AF30</f>
        <v>0</v>
      </c>
      <c r="AG32" s="486">
        <f>AG29-AG30</f>
        <v>0</v>
      </c>
      <c r="AH32" s="486">
        <f>AH29-AH30</f>
        <v>0</v>
      </c>
      <c r="AI32" s="486">
        <f>AI29-AI30</f>
        <v>0</v>
      </c>
      <c r="AJ32" s="486">
        <f>AJ29-AJ30</f>
        <v>0</v>
      </c>
      <c r="AK32" s="486">
        <f>AK29-AK30</f>
        <v>0</v>
      </c>
      <c r="AL32" s="486">
        <f>AL29-AL30</f>
        <v>0</v>
      </c>
      <c r="AM32" s="486">
        <f>AM29-AM30</f>
        <v>0</v>
      </c>
      <c r="AN32" s="486">
        <f>AN29-AN30</f>
        <v>0</v>
      </c>
      <c r="AO32" s="486">
        <f>AO29-AO30</f>
        <v>0</v>
      </c>
      <c r="AP32" s="486">
        <f>AP29-AP30</f>
        <v>0</v>
      </c>
      <c r="AQ32" s="486">
        <f>AQ29-AQ30</f>
        <v>0</v>
      </c>
      <c r="AR32" s="486">
        <f>AR29-AR30</f>
        <v>0</v>
      </c>
      <c r="AS32" s="486">
        <f>AS29-AS30</f>
        <v>0</v>
      </c>
      <c r="AT32" s="486">
        <f>AT29-AT30</f>
        <v>0</v>
      </c>
      <c r="AU32" s="486">
        <f>AU29-AU30</f>
        <v>0</v>
      </c>
      <c r="AV32" s="486">
        <f>AV29-AV30</f>
        <v>0</v>
      </c>
      <c r="AW32" s="486">
        <f>AW29-AW30</f>
        <v>0</v>
      </c>
      <c r="AX32" s="486">
        <f>AX29-AX30</f>
        <v>0</v>
      </c>
      <c r="AY32" s="486">
        <f>AY29-AY30</f>
        <v>0</v>
      </c>
      <c r="AZ32" s="486">
        <f>AZ29-AZ30</f>
        <v>0</v>
      </c>
      <c r="BA32" s="486">
        <f>BA29-BA30</f>
        <v>0</v>
      </c>
      <c r="BB32" s="486">
        <f>BB29-BB30</f>
        <v>0</v>
      </c>
      <c r="BC32" s="73"/>
      <c r="BF32" s="1210" t="s">
        <v>714</v>
      </c>
    </row>
    <row customHeight="1" ht="16.672500000000003" hidden="1">
      <c r="E33" s="797">
        <v>17.1</v>
      </c>
      <c r="F33" s="922" cm="1" t="str">
        <f t="array" ref="F33:F33">OFFSET(G33,-1,-1)</f>
        <v>0</v>
      </c>
      <c r="T33" s="808" cm="1" t="str">
        <f t="array" ref="T33:T33">T32</f>
        <v>false</v>
      </c>
      <c r="AB33" s="487" t="s">
        <v>715</v>
      </c>
      <c r="AC33" s="553" t="s">
        <v>716</v>
      </c>
      <c r="AD33" s="170" t="s">
        <v>599</v>
      </c>
      <c r="AE33" s="77"/>
      <c r="AF33" s="77"/>
      <c r="AG33" s="77"/>
      <c r="AH33" s="77"/>
      <c r="AI33" s="1715"/>
      <c r="AJ33" s="77"/>
      <c r="AK33" s="77"/>
      <c r="AL33" s="77"/>
      <c r="AM33" s="77"/>
      <c r="AN33" s="77"/>
      <c r="AO33" s="77"/>
      <c r="AP33" s="77"/>
      <c r="AQ33" s="77"/>
      <c r="AR33" s="77"/>
      <c r="AS33" s="1715"/>
      <c r="AT33" s="77"/>
      <c r="AU33" s="77"/>
      <c r="AV33" s="77"/>
      <c r="AW33" s="77"/>
      <c r="AX33" s="77"/>
      <c r="AY33" s="77"/>
      <c r="AZ33" s="77"/>
      <c r="BA33" s="77"/>
      <c r="BB33" s="77"/>
      <c r="BC33" s="73"/>
      <c r="BF33" s="1210" t="s">
        <v>717</v>
      </c>
    </row>
    <row customHeight="1" ht="16.672500000000003" hidden="1">
      <c r="E34" s="797">
        <v>17.1</v>
      </c>
      <c r="F34" s="922" cm="1" t="str">
        <f t="array" ref="F34:F34">OFFSET(G34,-1,-1)</f>
        <v>0</v>
      </c>
      <c r="T34" s="808" cm="1" t="str">
        <f t="array" ref="T34:T34">T33</f>
        <v>false</v>
      </c>
      <c r="AB34" s="487" t="s">
        <v>718</v>
      </c>
      <c r="AC34" s="553" t="s">
        <v>645</v>
      </c>
      <c r="AD34" s="170" t="s">
        <v>599</v>
      </c>
      <c r="AE34" s="526">
        <f>AE32-AE33</f>
        <v>0</v>
      </c>
      <c r="AF34" s="526">
        <f>AF32-AF33</f>
        <v>0</v>
      </c>
      <c r="AG34" s="526">
        <f>AG32-AG33</f>
        <v>0</v>
      </c>
      <c r="AH34" s="526">
        <f>AH32-AH33</f>
        <v>0</v>
      </c>
      <c r="AI34" s="526">
        <f>AI32-AI33</f>
        <v>0</v>
      </c>
      <c r="AJ34" s="526">
        <f>AJ32-AJ33</f>
        <v>0</v>
      </c>
      <c r="AK34" s="526">
        <f>AK32-AK33</f>
        <v>0</v>
      </c>
      <c r="AL34" s="526">
        <f>AL32-AL33</f>
        <v>0</v>
      </c>
      <c r="AM34" s="526">
        <f>AM32-AM33</f>
        <v>0</v>
      </c>
      <c r="AN34" s="526">
        <f>AN32-AN33</f>
        <v>0</v>
      </c>
      <c r="AO34" s="526">
        <f>AO32-AO33</f>
        <v>0</v>
      </c>
      <c r="AP34" s="526">
        <f>AP32-AP33</f>
        <v>0</v>
      </c>
      <c r="AQ34" s="526">
        <f>AQ32-AQ33</f>
        <v>0</v>
      </c>
      <c r="AR34" s="526">
        <f>AR32-AR33</f>
        <v>0</v>
      </c>
      <c r="AS34" s="526">
        <f>AS32-AS33</f>
        <v>0</v>
      </c>
      <c r="AT34" s="526">
        <f>AT32-AT33</f>
        <v>0</v>
      </c>
      <c r="AU34" s="526">
        <f>AU32-AU33</f>
        <v>0</v>
      </c>
      <c r="AV34" s="526">
        <f>AV32-AV33</f>
        <v>0</v>
      </c>
      <c r="AW34" s="526">
        <f>AW32-AW33</f>
        <v>0</v>
      </c>
      <c r="AX34" s="526">
        <f>AX32-AX33</f>
        <v>0</v>
      </c>
      <c r="AY34" s="526">
        <f>AY32-AY33</f>
        <v>0</v>
      </c>
      <c r="AZ34" s="526">
        <f>AZ32-AZ33</f>
        <v>0</v>
      </c>
      <c r="BA34" s="526">
        <f>BA32-BA33</f>
        <v>0</v>
      </c>
      <c r="BB34" s="526">
        <f>BB32-BB33</f>
        <v>0</v>
      </c>
      <c r="BC34" s="73"/>
      <c r="BF34" s="1210" t="s">
        <v>719</v>
      </c>
    </row>
    <row s="1632" customFormat="1" customHeight="1" ht="10.5" hidden="1">
      <c r="A35" s="1186"/>
      <c r="B35" s="927"/>
      <c r="C35" s="1582"/>
      <c r="D35" s="1582"/>
      <c r="E35" s="797">
        <v>11.4</v>
      </c>
      <c r="F35" s="175" cm="1" t="str">
        <f t="array" ref="F35:F35">X35</f>
        <v>1</v>
      </c>
      <c r="G35" s="213"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500"/>
      <c r="I35" s="500"/>
      <c r="J35" s="500"/>
      <c r="K35" s="500"/>
      <c r="L35" s="500"/>
      <c r="M35" s="500"/>
      <c r="N35" s="500"/>
      <c r="O35" s="500"/>
      <c r="P35" s="500"/>
      <c r="Q35" s="500"/>
      <c r="R35" s="500"/>
      <c r="S35" s="500"/>
      <c r="T35" s="808">
        <f>AND(X35&gt;0,G35="передача тепловой энергии")</f>
        <v>0</v>
      </c>
      <c r="U35" s="1582"/>
      <c r="V35" s="175" cm="1" t="str">
        <f t="array" ref="V35:V35">'Баланс Пр'!$AB$96</f>
        <v>Тариф 1 (Теплоснабжение) - Тариф на тепловую энергию (мощность), поставляемую потребителям (Не определено)</v>
      </c>
      <c r="W35" s="1582"/>
      <c r="X35" s="175" t="s">
        <v>336</v>
      </c>
      <c r="Y35" s="1582"/>
      <c r="Z35" s="1582"/>
      <c r="AA35" s="500"/>
      <c r="AB35" s="466"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500"/>
      <c r="BE35" s="500"/>
      <c r="BF35" s="1220"/>
    </row>
    <row s="1632" customFormat="1" customHeight="1" ht="16.5" hidden="1">
      <c r="A36" s="1186"/>
      <c r="B36" s="927"/>
      <c r="C36" s="1582"/>
      <c r="D36" s="1582"/>
      <c r="E36" s="797">
        <v>17.1</v>
      </c>
      <c r="F36" s="922" cm="1" t="str">
        <f t="array" ref="F36:F36">OFFSET(G36,-1,-1)</f>
        <v>1</v>
      </c>
      <c r="G36" s="500"/>
      <c r="H36" s="500"/>
      <c r="I36" s="500"/>
      <c r="J36" s="500"/>
      <c r="K36" s="500"/>
      <c r="L36" s="500"/>
      <c r="M36" s="500"/>
      <c r="N36" s="500"/>
      <c r="O36" s="500"/>
      <c r="P36" s="500"/>
      <c r="Q36" s="500"/>
      <c r="R36" s="500"/>
      <c r="S36" s="500"/>
      <c r="T36" s="808" cm="1" t="str">
        <f t="array" ref="T36:T36">T35</f>
        <v>false</v>
      </c>
      <c r="U36" s="1582"/>
      <c r="V36" s="1582"/>
      <c r="W36" s="1582"/>
      <c r="X36" s="1582"/>
      <c r="Y36" s="1582"/>
      <c r="Z36" s="1582"/>
      <c r="AA36" s="500"/>
      <c r="AB36" s="568" t="s">
        <v>336</v>
      </c>
      <c r="AC36" s="569" t="s">
        <v>707</v>
      </c>
      <c r="AD36" s="170" t="s">
        <v>599</v>
      </c>
      <c r="AE36" s="77"/>
      <c r="AF36" s="77"/>
      <c r="AG36" s="77"/>
      <c r="AH36" s="77"/>
      <c r="AI36" s="1715"/>
      <c r="AJ36" s="77"/>
      <c r="AK36" s="77"/>
      <c r="AL36" s="77"/>
      <c r="AM36" s="77"/>
      <c r="AN36" s="77"/>
      <c r="AO36" s="77"/>
      <c r="AP36" s="77"/>
      <c r="AQ36" s="77"/>
      <c r="AR36" s="77"/>
      <c r="AS36" s="1715"/>
      <c r="AT36" s="77"/>
      <c r="AU36" s="77"/>
      <c r="AV36" s="77"/>
      <c r="AW36" s="77"/>
      <c r="AX36" s="77"/>
      <c r="AY36" s="77"/>
      <c r="AZ36" s="77"/>
      <c r="BA36" s="77"/>
      <c r="BB36" s="77"/>
      <c r="BC36" s="73"/>
      <c r="BD36" s="500"/>
      <c r="BE36" s="500"/>
      <c r="BF36" s="1210" t="s">
        <v>708</v>
      </c>
    </row>
    <row s="1632" customFormat="1" customHeight="1" ht="16.5" hidden="1">
      <c r="A37" s="1186"/>
      <c r="B37" s="927"/>
      <c r="C37" s="1582"/>
      <c r="D37" s="1582"/>
      <c r="E37" s="797">
        <v>17.1</v>
      </c>
      <c r="F37" s="922" cm="1" t="str">
        <f t="array" ref="F37:F37">OFFSET(G37,-1,-1)</f>
        <v>1</v>
      </c>
      <c r="G37" s="500"/>
      <c r="H37" s="500"/>
      <c r="I37" s="500"/>
      <c r="J37" s="500"/>
      <c r="K37" s="500"/>
      <c r="L37" s="500"/>
      <c r="M37" s="500"/>
      <c r="N37" s="500"/>
      <c r="O37" s="500"/>
      <c r="P37" s="500"/>
      <c r="Q37" s="500"/>
      <c r="R37" s="500"/>
      <c r="S37" s="500"/>
      <c r="T37" s="808" cm="1" t="str">
        <f t="array" ref="T37:T37">T36</f>
        <v>false</v>
      </c>
      <c r="U37" s="1582"/>
      <c r="V37" s="1582"/>
      <c r="W37" s="1582"/>
      <c r="X37" s="1582"/>
      <c r="Y37" s="1582"/>
      <c r="Z37" s="1582"/>
      <c r="AA37" s="500"/>
      <c r="AB37" s="568" t="s">
        <v>426</v>
      </c>
      <c r="AC37" s="569" t="s">
        <v>709</v>
      </c>
      <c r="AD37" s="170" t="s">
        <v>599</v>
      </c>
      <c r="AE37" s="85"/>
      <c r="AF37" s="85"/>
      <c r="AG37" s="85"/>
      <c r="AH37" s="85"/>
      <c r="AI37" s="1731"/>
      <c r="AJ37" s="85"/>
      <c r="AK37" s="85"/>
      <c r="AL37" s="85"/>
      <c r="AM37" s="85"/>
      <c r="AN37" s="85"/>
      <c r="AO37" s="85"/>
      <c r="AP37" s="85"/>
      <c r="AQ37" s="85"/>
      <c r="AR37" s="85"/>
      <c r="AS37" s="1731"/>
      <c r="AT37" s="85"/>
      <c r="AU37" s="85"/>
      <c r="AV37" s="85"/>
      <c r="AW37" s="85"/>
      <c r="AX37" s="85"/>
      <c r="AY37" s="85"/>
      <c r="AZ37" s="85"/>
      <c r="BA37" s="85"/>
      <c r="BB37" s="85"/>
      <c r="BC37" s="73"/>
      <c r="BD37" s="500"/>
      <c r="BE37" s="500"/>
      <c r="BF37" s="1210" t="s">
        <v>710</v>
      </c>
    </row>
    <row s="1632" customFormat="1" customHeight="1" ht="16.5" hidden="1">
      <c r="A38" s="1186"/>
      <c r="B38" s="927"/>
      <c r="C38" s="1582"/>
      <c r="D38" s="1582"/>
      <c r="E38" s="797">
        <v>17.1</v>
      </c>
      <c r="F38" s="922" cm="1" t="str">
        <f t="array" ref="F38:F38">OFFSET(G38,-1,-1)</f>
        <v>1</v>
      </c>
      <c r="G38" s="500"/>
      <c r="H38" s="500"/>
      <c r="I38" s="500"/>
      <c r="J38" s="500"/>
      <c r="K38" s="500"/>
      <c r="L38" s="500"/>
      <c r="M38" s="500"/>
      <c r="N38" s="500"/>
      <c r="O38" s="500"/>
      <c r="P38" s="500"/>
      <c r="Q38" s="500"/>
      <c r="R38" s="500"/>
      <c r="S38" s="500"/>
      <c r="T38" s="808" cm="1" t="str">
        <f t="array" ref="T38:T38">T37</f>
        <v>false</v>
      </c>
      <c r="U38" s="1582"/>
      <c r="V38" s="1582"/>
      <c r="W38" s="1582"/>
      <c r="X38" s="1582"/>
      <c r="Y38" s="1582"/>
      <c r="Z38" s="1582"/>
      <c r="AA38" s="500"/>
      <c r="AB38" s="488" t="s">
        <v>456</v>
      </c>
      <c r="AC38" s="504" t="s">
        <v>711</v>
      </c>
      <c r="AD38" s="170" t="s">
        <v>498</v>
      </c>
      <c r="AE38" s="571">
        <f>IF(AE36=0,0,AE37/AE36)</f>
        <v>0</v>
      </c>
      <c r="AF38" s="571">
        <f>IF(AF36=0,0,AF37/AF36)</f>
        <v>0</v>
      </c>
      <c r="AG38" s="571">
        <f>IF(AG36=0,0,AG37/AG36)</f>
        <v>0</v>
      </c>
      <c r="AH38" s="571">
        <f>IF(AH36=0,0,AH37/AH36)</f>
        <v>0</v>
      </c>
      <c r="AI38" s="571">
        <f>IF(AI36=0,0,AI37/AI36)</f>
        <v>0</v>
      </c>
      <c r="AJ38" s="571">
        <f>IF(AJ36=0,0,AJ37/AJ36)</f>
        <v>0</v>
      </c>
      <c r="AK38" s="571">
        <f>IF(AK36=0,0,AK37/AK36)</f>
        <v>0</v>
      </c>
      <c r="AL38" s="571">
        <f>IF(AL36=0,0,AL37/AL36)</f>
        <v>0</v>
      </c>
      <c r="AM38" s="571">
        <f>IF(AM36=0,0,AM37/AM36)</f>
        <v>0</v>
      </c>
      <c r="AN38" s="571">
        <f>IF(AN36=0,0,AN37/AN36)</f>
        <v>0</v>
      </c>
      <c r="AO38" s="571">
        <f>IF(AO36=0,0,AO37/AO36)</f>
        <v>0</v>
      </c>
      <c r="AP38" s="571">
        <f>IF(AP36=0,0,AP37/AP36)</f>
        <v>0</v>
      </c>
      <c r="AQ38" s="571">
        <f>IF(AQ36=0,0,AQ37/AQ36)</f>
        <v>0</v>
      </c>
      <c r="AR38" s="571">
        <f>IF(AR36=0,0,AR37/AR36)</f>
        <v>0</v>
      </c>
      <c r="AS38" s="571">
        <f>IF(AS36=0,0,AS37/AS36)</f>
        <v>0</v>
      </c>
      <c r="AT38" s="571">
        <f>IF(AT36=0,0,AT37/AT36)</f>
        <v>0</v>
      </c>
      <c r="AU38" s="571">
        <f>IF(AU36=0,0,AU37/AU36)</f>
        <v>0</v>
      </c>
      <c r="AV38" s="571">
        <f>IF(AV36=0,0,AV37/AV36)</f>
        <v>0</v>
      </c>
      <c r="AW38" s="571">
        <f>IF(AW36=0,0,AW37/AW36)</f>
        <v>0</v>
      </c>
      <c r="AX38" s="571">
        <f>IF(AX36=0,0,AX37/AX36)</f>
        <v>0</v>
      </c>
      <c r="AY38" s="571">
        <f>IF(AY36=0,0,AY37/AY36)</f>
        <v>0</v>
      </c>
      <c r="AZ38" s="571">
        <f>IF(AZ36=0,0,AZ37/AZ36)</f>
        <v>0</v>
      </c>
      <c r="BA38" s="571">
        <f>IF(BA36=0,0,BA37/BA36)</f>
        <v>0</v>
      </c>
      <c r="BB38" s="571">
        <f>IF(BB36=0,0,BB37/BB36)</f>
        <v>0</v>
      </c>
      <c r="BC38" s="73"/>
      <c r="BD38" s="500"/>
      <c r="BE38" s="500"/>
      <c r="BF38" s="1210" t="s">
        <v>712</v>
      </c>
    </row>
    <row s="1632" customFormat="1" customHeight="1" ht="16.5" hidden="1">
      <c r="A39" s="1186"/>
      <c r="B39" s="927"/>
      <c r="C39" s="1582"/>
      <c r="D39" s="1582"/>
      <c r="E39" s="797">
        <v>17.1</v>
      </c>
      <c r="F39" s="922" cm="1" t="str">
        <f t="array" ref="F39:F39">OFFSET(G39,-1,-1)</f>
        <v>1</v>
      </c>
      <c r="G39" s="500"/>
      <c r="H39" s="500"/>
      <c r="I39" s="500"/>
      <c r="J39" s="500"/>
      <c r="K39" s="500"/>
      <c r="L39" s="500"/>
      <c r="M39" s="500"/>
      <c r="N39" s="500"/>
      <c r="O39" s="500"/>
      <c r="P39" s="500"/>
      <c r="Q39" s="500"/>
      <c r="R39" s="500"/>
      <c r="S39" s="500"/>
      <c r="T39" s="808" cm="1" t="str">
        <f t="array" ref="T39:T39">T38</f>
        <v>false</v>
      </c>
      <c r="U39" s="1582"/>
      <c r="V39" s="1582"/>
      <c r="W39" s="1582"/>
      <c r="X39" s="1582"/>
      <c r="Y39" s="1582"/>
      <c r="Z39" s="1582"/>
      <c r="AA39" s="500"/>
      <c r="AB39" s="482" t="s">
        <v>429</v>
      </c>
      <c r="AC39" s="570" t="s">
        <v>713</v>
      </c>
      <c r="AD39" s="170" t="s">
        <v>599</v>
      </c>
      <c r="AE39" s="486">
        <f>AE36-AE37</f>
        <v>0</v>
      </c>
      <c r="AF39" s="486">
        <f>AF36-AF37</f>
        <v>0</v>
      </c>
      <c r="AG39" s="486">
        <f>AG36-AG37</f>
        <v>0</v>
      </c>
      <c r="AH39" s="486">
        <f>AH36-AH37</f>
        <v>0</v>
      </c>
      <c r="AI39" s="486">
        <f>AI36-AI37</f>
        <v>0</v>
      </c>
      <c r="AJ39" s="486">
        <f>AJ36-AJ37</f>
        <v>0</v>
      </c>
      <c r="AK39" s="486">
        <f>AK36-AK37</f>
        <v>0</v>
      </c>
      <c r="AL39" s="486">
        <f>AL36-AL37</f>
        <v>0</v>
      </c>
      <c r="AM39" s="486">
        <f>AM36-AM37</f>
        <v>0</v>
      </c>
      <c r="AN39" s="486">
        <f>AN36-AN37</f>
        <v>0</v>
      </c>
      <c r="AO39" s="486">
        <f>AO36-AO37</f>
        <v>0</v>
      </c>
      <c r="AP39" s="486">
        <f>AP36-AP37</f>
        <v>0</v>
      </c>
      <c r="AQ39" s="486">
        <f>AQ36-AQ37</f>
        <v>0</v>
      </c>
      <c r="AR39" s="486">
        <f>AR36-AR37</f>
        <v>0</v>
      </c>
      <c r="AS39" s="486">
        <f>AS36-AS37</f>
        <v>0</v>
      </c>
      <c r="AT39" s="486">
        <f>AT36-AT37</f>
        <v>0</v>
      </c>
      <c r="AU39" s="486">
        <f>AU36-AU37</f>
        <v>0</v>
      </c>
      <c r="AV39" s="486">
        <f>AV36-AV37</f>
        <v>0</v>
      </c>
      <c r="AW39" s="486">
        <f>AW36-AW37</f>
        <v>0</v>
      </c>
      <c r="AX39" s="486">
        <f>AX36-AX37</f>
        <v>0</v>
      </c>
      <c r="AY39" s="486">
        <f>AY36-AY37</f>
        <v>0</v>
      </c>
      <c r="AZ39" s="486">
        <f>AZ36-AZ37</f>
        <v>0</v>
      </c>
      <c r="BA39" s="486">
        <f>BA36-BA37</f>
        <v>0</v>
      </c>
      <c r="BB39" s="486">
        <f>BB36-BB37</f>
        <v>0</v>
      </c>
      <c r="BC39" s="73"/>
      <c r="BD39" s="500"/>
      <c r="BE39" s="500"/>
      <c r="BF39" s="1210" t="s">
        <v>714</v>
      </c>
    </row>
    <row s="1632" customFormat="1" customHeight="1" ht="16.5" hidden="1">
      <c r="A40" s="1186"/>
      <c r="B40" s="927"/>
      <c r="C40" s="1582"/>
      <c r="D40" s="1582"/>
      <c r="E40" s="797">
        <v>17.1</v>
      </c>
      <c r="F40" s="922" cm="1" t="str">
        <f t="array" ref="F40:F40">OFFSET(G40,-1,-1)</f>
        <v>1</v>
      </c>
      <c r="G40" s="500"/>
      <c r="H40" s="500"/>
      <c r="I40" s="500"/>
      <c r="J40" s="500"/>
      <c r="K40" s="500"/>
      <c r="L40" s="500"/>
      <c r="M40" s="500"/>
      <c r="N40" s="500"/>
      <c r="O40" s="500"/>
      <c r="P40" s="500"/>
      <c r="Q40" s="500"/>
      <c r="R40" s="500"/>
      <c r="S40" s="500"/>
      <c r="T40" s="808" cm="1" t="str">
        <f t="array" ref="T40:T40">T39</f>
        <v>false</v>
      </c>
      <c r="U40" s="1582"/>
      <c r="V40" s="1582"/>
      <c r="W40" s="1582"/>
      <c r="X40" s="1582"/>
      <c r="Y40" s="1582"/>
      <c r="Z40" s="1582"/>
      <c r="AA40" s="500"/>
      <c r="AB40" s="487" t="s">
        <v>715</v>
      </c>
      <c r="AC40" s="553" t="s">
        <v>716</v>
      </c>
      <c r="AD40" s="170" t="s">
        <v>599</v>
      </c>
      <c r="AE40" s="77"/>
      <c r="AF40" s="77"/>
      <c r="AG40" s="77"/>
      <c r="AH40" s="77"/>
      <c r="AI40" s="1715"/>
      <c r="AJ40" s="77"/>
      <c r="AK40" s="77"/>
      <c r="AL40" s="77"/>
      <c r="AM40" s="77"/>
      <c r="AN40" s="77"/>
      <c r="AO40" s="77"/>
      <c r="AP40" s="77"/>
      <c r="AQ40" s="77"/>
      <c r="AR40" s="77"/>
      <c r="AS40" s="1715"/>
      <c r="AT40" s="77"/>
      <c r="AU40" s="77"/>
      <c r="AV40" s="77"/>
      <c r="AW40" s="77"/>
      <c r="AX40" s="77"/>
      <c r="AY40" s="77"/>
      <c r="AZ40" s="77"/>
      <c r="BA40" s="77"/>
      <c r="BB40" s="77"/>
      <c r="BC40" s="73"/>
      <c r="BD40" s="500"/>
      <c r="BE40" s="500"/>
      <c r="BF40" s="1210" t="s">
        <v>717</v>
      </c>
    </row>
    <row s="1632" customFormat="1" customHeight="1" ht="16.5" hidden="1">
      <c r="A41" s="1186"/>
      <c r="B41" s="927"/>
      <c r="C41" s="1582"/>
      <c r="D41" s="1582"/>
      <c r="E41" s="797">
        <v>17.1</v>
      </c>
      <c r="F41" s="922" cm="1" t="str">
        <f t="array" ref="F41:F41">OFFSET(G41,-1,-1)</f>
        <v>1</v>
      </c>
      <c r="G41" s="500"/>
      <c r="H41" s="500"/>
      <c r="I41" s="500"/>
      <c r="J41" s="500"/>
      <c r="K41" s="500"/>
      <c r="L41" s="500"/>
      <c r="M41" s="500"/>
      <c r="N41" s="500"/>
      <c r="O41" s="500"/>
      <c r="P41" s="500"/>
      <c r="Q41" s="500"/>
      <c r="R41" s="500"/>
      <c r="S41" s="500"/>
      <c r="T41" s="808" cm="1" t="str">
        <f t="array" ref="T41:T41">T40</f>
        <v>false</v>
      </c>
      <c r="U41" s="1582"/>
      <c r="V41" s="1582"/>
      <c r="W41" s="1582"/>
      <c r="X41" s="1582"/>
      <c r="Y41" s="1582"/>
      <c r="Z41" s="1582"/>
      <c r="AA41" s="500"/>
      <c r="AB41" s="487" t="s">
        <v>718</v>
      </c>
      <c r="AC41" s="553" t="s">
        <v>645</v>
      </c>
      <c r="AD41" s="170" t="s">
        <v>599</v>
      </c>
      <c r="AE41" s="526">
        <f>AE39-AE40</f>
        <v>0</v>
      </c>
      <c r="AF41" s="526">
        <f>AF39-AF40</f>
        <v>0</v>
      </c>
      <c r="AG41" s="526">
        <f>AG39-AG40</f>
        <v>0</v>
      </c>
      <c r="AH41" s="526">
        <f>AH39-AH40</f>
        <v>0</v>
      </c>
      <c r="AI41" s="526">
        <f>AI39-AI40</f>
        <v>0</v>
      </c>
      <c r="AJ41" s="526">
        <f>AJ39-AJ40</f>
        <v>0</v>
      </c>
      <c r="AK41" s="526">
        <f>AK39-AK40</f>
        <v>0</v>
      </c>
      <c r="AL41" s="526">
        <f>AL39-AL40</f>
        <v>0</v>
      </c>
      <c r="AM41" s="526">
        <f>AM39-AM40</f>
        <v>0</v>
      </c>
      <c r="AN41" s="526">
        <f>AN39-AN40</f>
        <v>0</v>
      </c>
      <c r="AO41" s="526">
        <f>AO39-AO40</f>
        <v>0</v>
      </c>
      <c r="AP41" s="526">
        <f>AP39-AP40</f>
        <v>0</v>
      </c>
      <c r="AQ41" s="526">
        <f>AQ39-AQ40</f>
        <v>0</v>
      </c>
      <c r="AR41" s="526">
        <f>AR39-AR40</f>
        <v>0</v>
      </c>
      <c r="AS41" s="526">
        <f>AS39-AS40</f>
        <v>0</v>
      </c>
      <c r="AT41" s="526">
        <f>AT39-AT40</f>
        <v>0</v>
      </c>
      <c r="AU41" s="526">
        <f>AU39-AU40</f>
        <v>0</v>
      </c>
      <c r="AV41" s="526">
        <f>AV39-AV40</f>
        <v>0</v>
      </c>
      <c r="AW41" s="526">
        <f>AW39-AW40</f>
        <v>0</v>
      </c>
      <c r="AX41" s="526">
        <f>AX39-AX40</f>
        <v>0</v>
      </c>
      <c r="AY41" s="526">
        <f>AY39-AY40</f>
        <v>0</v>
      </c>
      <c r="AZ41" s="526">
        <f>AZ39-AZ40</f>
        <v>0</v>
      </c>
      <c r="BA41" s="526">
        <f>BA39-BA40</f>
        <v>0</v>
      </c>
      <c r="BB41" s="526">
        <f>BB39-BB40</f>
        <v>0</v>
      </c>
      <c r="BC41" s="73"/>
      <c r="BD41" s="500"/>
      <c r="BE41" s="500"/>
      <c r="BF41" s="1210" t="s">
        <v>719</v>
      </c>
    </row>
    <row customHeight="1" ht="11.115">
      <c r="E42" s="797">
        <v>11.4</v>
      </c>
      <c r="U42" s="175" t="s">
        <v>236</v>
      </c>
      <c r="V42" s="171" t="s">
        <v>720</v>
      </c>
      <c r="AI42" s="500"/>
      <c r="AJ42" s="500"/>
      <c r="AK42" s="500"/>
      <c r="AL42" s="500"/>
      <c r="AM42" s="500"/>
      <c r="AN42" s="500"/>
      <c r="AO42" s="500"/>
      <c r="AP42" s="500"/>
      <c r="AQ42" s="500"/>
      <c r="AR42" s="500"/>
      <c r="AS42" s="500"/>
      <c r="AT42" s="500"/>
      <c r="AU42" s="500"/>
      <c r="AV42" s="500"/>
      <c r="AW42" s="500"/>
      <c r="AX42" s="500"/>
      <c r="AY42" s="500"/>
      <c r="AZ42" s="500"/>
      <c r="BA42" s="500"/>
      <c r="BB42" s="500"/>
    </row>
    <row customHeight="1" ht="11.25" hidden="1">
      <c r="E43" s="797">
        <v>0</v>
      </c>
      <c r="V43" s="179"/>
      <c r="AI43" s="500"/>
      <c r="AJ43" s="500"/>
      <c r="AK43" s="500"/>
      <c r="AL43" s="500"/>
      <c r="AM43" s="500"/>
      <c r="AN43" s="500"/>
      <c r="AO43" s="500"/>
      <c r="AP43" s="500"/>
      <c r="AQ43" s="500"/>
      <c r="AR43" s="500"/>
      <c r="AS43" s="500"/>
      <c r="AT43" s="500"/>
      <c r="AU43" s="500"/>
      <c r="AV43" s="500"/>
      <c r="AW43" s="500"/>
      <c r="AX43" s="500"/>
      <c r="AY43" s="500"/>
      <c r="AZ43" s="500"/>
      <c r="BA43" s="500"/>
      <c r="BB43" s="500"/>
    </row>
    <row customHeight="1" ht="14.625">
      <c r="E44" s="797">
        <v>15</v>
      </c>
      <c r="V44" s="179"/>
      <c r="AB44" s="1480" t="s">
        <v>705</v>
      </c>
      <c r="AC44" s="1480"/>
      <c r="AD44" s="1480"/>
      <c r="AE44" s="1481"/>
      <c r="AF44" s="1481"/>
      <c r="AG44" s="1481"/>
      <c r="AH44" s="1481"/>
      <c r="AI44" s="1481"/>
      <c r="AJ44" s="1481"/>
      <c r="AK44" s="1481"/>
      <c r="AL44" s="1481"/>
      <c r="AM44" s="1481"/>
      <c r="AN44" s="1481"/>
      <c r="AO44" s="1481"/>
      <c r="AP44" s="1481"/>
      <c r="AQ44" s="1481"/>
      <c r="AR44" s="1481"/>
      <c r="AS44" s="1481"/>
      <c r="AT44" s="1481"/>
      <c r="AU44" s="1481"/>
      <c r="AV44" s="1481"/>
      <c r="AW44" s="1481"/>
      <c r="AX44" s="1481"/>
      <c r="AY44" s="1481"/>
      <c r="AZ44" s="1481"/>
      <c r="BA44" s="1481"/>
      <c r="BB44" s="1481"/>
      <c r="BC44" s="1481"/>
    </row>
    <row customHeight="1" ht="14.625">
      <c r="E45" s="797">
        <v>15</v>
      </c>
      <c r="V45" s="179"/>
      <c r="AA45" s="921"/>
      <c r="AB45" s="1482"/>
      <c r="AC45" s="1483"/>
      <c r="AD45" s="1483"/>
      <c r="AE45" s="1483"/>
      <c r="AF45" s="1483"/>
      <c r="AG45" s="1483"/>
      <c r="AH45" s="1483"/>
      <c r="AI45" s="1483"/>
      <c r="AJ45" s="1726"/>
      <c r="AK45" s="1726"/>
      <c r="AL45" s="1726"/>
      <c r="AM45" s="1726"/>
      <c r="AN45" s="1726"/>
      <c r="AO45" s="1726"/>
      <c r="AP45" s="1726"/>
      <c r="AQ45" s="1726"/>
      <c r="AR45" s="1726"/>
      <c r="AS45" s="1483"/>
      <c r="AT45" s="1726"/>
      <c r="AU45" s="1726"/>
      <c r="AV45" s="1726"/>
      <c r="AW45" s="1726"/>
      <c r="AX45" s="1726"/>
      <c r="AY45" s="1726"/>
      <c r="AZ45" s="1726"/>
      <c r="BA45" s="1726"/>
      <c r="BB45" s="1726"/>
      <c r="BC45" s="1484"/>
    </row>
    <row customHeight="1" ht="14.625" hidden="1">
      <c r="A46" s="1186"/>
      <c r="B46" s="927"/>
      <c r="C46" s="1582"/>
      <c r="D46" s="1582"/>
      <c r="E46" s="797">
        <v>15</v>
      </c>
      <c r="F46" s="1582"/>
      <c r="G46" s="500"/>
      <c r="H46" s="500"/>
      <c r="I46" s="500"/>
      <c r="J46" s="500"/>
      <c r="K46" s="500"/>
      <c r="L46" s="500"/>
      <c r="M46" s="500"/>
      <c r="N46" s="500"/>
      <c r="O46" s="500"/>
      <c r="P46" s="500"/>
      <c r="Q46" s="500"/>
      <c r="R46" s="500"/>
      <c r="S46" s="500"/>
      <c r="T46" s="808">
        <f>ROW(W46)&gt;ROW(W$46)</f>
        <v>0</v>
      </c>
      <c r="U46" s="1582"/>
      <c r="V46" s="179"/>
      <c r="W46" s="175" t="s">
        <v>234</v>
      </c>
      <c r="X46" s="1582"/>
      <c r="Y46" s="1582"/>
      <c r="Z46" s="1582"/>
      <c r="AA46" s="917" t="s">
        <v>218</v>
      </c>
      <c r="AB46" s="1728"/>
      <c r="AC46" s="1726"/>
      <c r="AD46" s="1726"/>
      <c r="AE46" s="1726"/>
      <c r="AF46" s="1726"/>
      <c r="AG46" s="1726"/>
      <c r="AH46" s="1726"/>
      <c r="AI46" s="1483"/>
      <c r="AJ46" s="1726"/>
      <c r="AK46" s="1726"/>
      <c r="AL46" s="1726"/>
      <c r="AM46" s="1726"/>
      <c r="AN46" s="1726"/>
      <c r="AO46" s="1726"/>
      <c r="AP46" s="1726"/>
      <c r="AQ46" s="1726"/>
      <c r="AR46" s="1726"/>
      <c r="AS46" s="1483"/>
      <c r="AT46" s="1726"/>
      <c r="AU46" s="1726"/>
      <c r="AV46" s="1726"/>
      <c r="AW46" s="1726"/>
      <c r="AX46" s="1726"/>
      <c r="AY46" s="1726"/>
      <c r="AZ46" s="1726"/>
      <c r="BA46" s="1726"/>
      <c r="BB46" s="1726"/>
      <c r="BC46" s="1729"/>
      <c r="BD46" s="500"/>
      <c r="BE46" s="500"/>
      <c r="BF46" s="1220"/>
    </row>
    <row customHeight="1" ht="14.625">
      <c r="E47" s="797">
        <v>15</v>
      </c>
      <c r="W47" s="171" t="s">
        <v>235</v>
      </c>
      <c r="AB47" s="1478" t="s">
        <v>706</v>
      </c>
      <c r="AC47" s="1479"/>
      <c r="AD47" s="383"/>
      <c r="AE47" s="384"/>
      <c r="AF47" s="384"/>
      <c r="AG47" s="384"/>
      <c r="AH47" s="384"/>
      <c r="AI47" s="384"/>
      <c r="AJ47" s="384"/>
      <c r="AK47" s="384"/>
      <c r="AL47" s="384"/>
      <c r="AM47" s="384"/>
      <c r="AN47" s="384"/>
      <c r="AO47" s="384"/>
      <c r="AP47" s="384"/>
      <c r="AQ47" s="384"/>
      <c r="AR47" s="384"/>
      <c r="AS47" s="384"/>
      <c r="AT47" s="384"/>
      <c r="AU47" s="384"/>
      <c r="AV47" s="384"/>
      <c r="AW47" s="384"/>
      <c r="AX47" s="384"/>
      <c r="AY47" s="384"/>
      <c r="AZ47" s="384"/>
      <c r="BA47" s="384"/>
      <c r="BB47" s="384"/>
      <c r="BC47" s="350"/>
    </row>
    <row customHeight="1" ht="11.25">
      <c r="AI48" s="500"/>
      <c r="AJ48" s="500"/>
      <c r="AK48" s="500"/>
      <c r="AL48" s="500"/>
      <c r="AM48" s="500"/>
      <c r="AN48" s="500"/>
      <c r="AO48" s="500"/>
      <c r="AP48" s="500"/>
      <c r="AQ48" s="500"/>
      <c r="AR48" s="500"/>
      <c r="AS48" s="500"/>
      <c r="AT48" s="500"/>
      <c r="AU48" s="500"/>
      <c r="AV48" s="500"/>
      <c r="AW48" s="500"/>
      <c r="AX48" s="500"/>
      <c r="AY48" s="500"/>
      <c r="AZ48" s="500"/>
      <c r="BA48" s="500"/>
      <c r="BB48" s="500"/>
      <c r="BD48" s="213"/>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747C78-E9CE-7868-93BC-278921877B78}" mc:Ignorable="x14ac xr xr2 xr3">
  <sheetPr>
    <tabColor rgb="FFFFC000"/>
    <outlinePr summaryBelow="0"/>
  </sheetPr>
  <dimension ref="A1:DB275"/>
  <sheetViews>
    <sheetView showGridLines="0" zoomScale="85" workbookViewId="0">
      <pane xSplit="33" ySplit="26" topLeftCell="AJ185" activePane="bottomRight" state="frozen"/>
      <selection pane="bottomLeft" activeCell="A27" sqref="A27"/>
      <selection pane="topRight" activeCell="AH1" sqref="AH1"/>
      <selection pane="bottomRight" activeCell="BR223" sqref="BR223"/>
    </sheetView>
  </sheetViews>
  <sheetFormatPr defaultColWidth="9.140625" customHeight="1" defaultRowHeight="11.25"/>
  <cols>
    <col min="1" max="1" style="1443" width="3.57421875" hidden="1" customWidth="1"/>
    <col min="2" max="2" style="927" width="4.7109375" hidden="1" customWidth="1"/>
    <col min="3" max="4" style="1443" width="3.57421875" hidden="1" customWidth="1"/>
    <col min="5" max="5" style="925" width="8.421875" hidden="1" customWidth="1"/>
    <col min="6" max="6" style="1443" width="6.421875" hidden="1" customWidth="1"/>
    <col min="7" max="11" style="965" width="3.57421875" hidden="1" customWidth="1"/>
    <col min="12" max="12" style="965" width="7.7109375" hidden="1" customWidth="1"/>
    <col min="13" max="17" style="965" width="3.57421875" hidden="1" customWidth="1"/>
    <col min="18" max="18" style="1443" width="7.7109375" hidden="1" customWidth="1"/>
    <col min="19" max="19" style="922" width="7.7109375" hidden="1" customWidth="1"/>
    <col min="20" max="20" style="1443" width="8.140625" hidden="1" customWidth="1"/>
    <col min="21" max="21" style="1443" width="8.00390625" hidden="1" customWidth="1"/>
    <col min="22" max="22" style="1443" width="6.00390625" hidden="1" customWidth="1"/>
    <col min="23" max="24" style="1443" width="6.28125" hidden="1" customWidth="1"/>
    <col min="25" max="25" style="1443" width="5.7109375" hidden="1" customWidth="1"/>
    <col min="26" max="26" style="1443" width="5.421875" hidden="1" customWidth="1"/>
    <col min="27" max="27" style="820" width="3.00390625" customWidth="1"/>
    <col min="28" max="28" style="1594" width="2.75390625" customWidth="1"/>
    <col min="29" max="29" style="1594" width="3.57421875" customWidth="1"/>
    <col min="30" max="30" style="1594" width="10.00390625" customWidth="1"/>
    <col min="31" max="31" style="1594" width="45.00390625" customWidth="1"/>
    <col min="32" max="32" style="1594" width="30.00390625" customWidth="1"/>
    <col min="33" max="33" style="1594" width="20.00390625" customWidth="1"/>
    <col min="34" max="40" style="1594" width="16.25390625" customWidth="1"/>
    <col min="41" max="67" style="1594" width="16.25390625" hidden="1" customWidth="1"/>
    <col min="68" max="70" style="1594" width="16.25390625" customWidth="1"/>
    <col min="71" max="97" style="1594" width="16.25390625" hidden="1" customWidth="1"/>
    <col min="98" max="98" style="1594" width="26.00390625" customWidth="1"/>
    <col min="99" max="99" style="1594" width="3.00390625" customWidth="1"/>
    <col min="100" max="100" width="9.140625" hidden="1"/>
    <col min="101" max="101" style="1180" width="9.140625" hidden="1"/>
    <col min="102" max="104" style="1178" width="9.140625" hidden="1"/>
    <col min="105" max="106" style="1179" width="9.140625" hidden="1"/>
  </cols>
  <sheetData>
    <row s="1443" customFormat="1" customHeight="1" ht="12" hidden="1">
      <c r="B1" s="788"/>
      <c r="E1" s="788"/>
      <c r="F1" s="819" t="s">
        <v>83</v>
      </c>
      <c r="G1" s="736"/>
      <c r="H1" s="736"/>
      <c r="I1" s="736"/>
      <c r="J1" s="736"/>
      <c r="K1" s="736"/>
      <c r="L1" s="736"/>
      <c r="M1" s="736"/>
      <c r="N1" s="736"/>
      <c r="O1" s="736"/>
      <c r="P1" s="736"/>
      <c r="Q1" s="736"/>
      <c r="S1" s="949" t="s">
        <v>721</v>
      </c>
      <c r="T1" s="949" t="s">
        <v>722</v>
      </c>
      <c r="U1" s="808" t="s">
        <v>86</v>
      </c>
      <c r="V1" s="808" t="s">
        <v>91</v>
      </c>
      <c r="W1" s="808" t="s">
        <v>87</v>
      </c>
      <c r="X1" s="808" t="s">
        <v>88</v>
      </c>
      <c r="Y1" s="808" t="s">
        <v>89</v>
      </c>
      <c r="Z1" s="808" t="s">
        <v>93</v>
      </c>
      <c r="AC1" s="1733" t="s">
        <v>90</v>
      </c>
      <c r="AD1" s="1733" t="s">
        <v>372</v>
      </c>
      <c r="AE1" s="1733" t="s">
        <v>92</v>
      </c>
      <c r="AO1" s="1734"/>
      <c r="AP1" s="1734"/>
      <c r="AQ1" s="1734"/>
      <c r="AR1" s="1734"/>
      <c r="AS1" s="1734"/>
      <c r="AT1" s="1734"/>
      <c r="AU1" s="1734"/>
      <c r="AV1" s="1734"/>
      <c r="AW1" s="1734"/>
      <c r="AX1" s="1734"/>
      <c r="AY1" s="1734"/>
      <c r="AZ1" s="1734"/>
      <c r="BA1" s="1734"/>
      <c r="BB1" s="1734"/>
      <c r="BC1" s="1734"/>
      <c r="BD1" s="1734"/>
      <c r="BE1" s="1734"/>
      <c r="BF1" s="1734"/>
      <c r="BG1" s="1734"/>
      <c r="BH1" s="1734"/>
      <c r="BI1" s="1734"/>
      <c r="BJ1" s="1734"/>
      <c r="BK1" s="1734"/>
      <c r="BL1" s="1734"/>
      <c r="BM1" s="1734"/>
      <c r="BN1" s="1734"/>
      <c r="BO1" s="1734"/>
      <c r="BP1" s="1734"/>
      <c r="BQ1" s="1734"/>
      <c r="BR1" s="1734"/>
      <c r="BS1" s="1734"/>
      <c r="BT1" s="1734"/>
      <c r="BU1" s="1734"/>
      <c r="BV1" s="1734"/>
      <c r="BW1" s="1734"/>
      <c r="BX1" s="1734"/>
      <c r="BY1" s="1734"/>
      <c r="BZ1" s="1734"/>
      <c r="CA1" s="1734"/>
      <c r="CB1" s="1734"/>
      <c r="CC1" s="1734"/>
      <c r="CD1" s="1734"/>
      <c r="CE1" s="1734"/>
      <c r="CF1" s="1734"/>
      <c r="CG1" s="1734"/>
      <c r="CH1" s="1734"/>
      <c r="CI1" s="1734"/>
      <c r="CJ1" s="1734"/>
      <c r="CK1" s="1734"/>
      <c r="CL1" s="1734"/>
      <c r="CM1" s="1734"/>
      <c r="CN1" s="1734"/>
      <c r="CO1" s="1734"/>
      <c r="CP1" s="1734"/>
      <c r="CQ1" s="1734"/>
      <c r="CR1" s="1734"/>
      <c r="CS1" s="1734"/>
      <c r="CW1" s="1173" t="s">
        <v>373</v>
      </c>
      <c r="CX1" s="1172" t="s">
        <v>374</v>
      </c>
      <c r="CY1" s="1172" t="s">
        <v>375</v>
      </c>
      <c r="CZ1" s="1172" t="s">
        <v>723</v>
      </c>
      <c r="DA1" s="1175" t="s">
        <v>378</v>
      </c>
      <c r="DB1" s="1175" t="s">
        <v>379</v>
      </c>
    </row>
    <row s="927" customFormat="1" customHeight="1" ht="12" hidden="1">
      <c r="B2" s="910" t="s">
        <v>15</v>
      </c>
      <c r="G2" s="930"/>
      <c r="H2" s="930"/>
      <c r="I2" s="930"/>
      <c r="J2" s="930"/>
      <c r="K2" s="930"/>
      <c r="L2" s="930"/>
      <c r="M2" s="930"/>
      <c r="N2" s="930"/>
      <c r="O2" s="930"/>
      <c r="P2" s="930"/>
      <c r="Q2" s="930"/>
      <c r="AO2" s="809">
        <f>AO6&lt;=last_year_vis</f>
        <v>0</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0</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N2" s="809">
        <f>BN6&lt;=last_year_vis</f>
        <v>0</v>
      </c>
      <c r="BO2" s="809">
        <f>BO6&lt;=last_year_vis</f>
        <v>0</v>
      </c>
      <c r="BP2" s="809">
        <f>BP6&lt;=last_year_vis</f>
        <v>1</v>
      </c>
      <c r="BQ2" s="809">
        <f>BQ6&lt;=last_year_vis</f>
        <v>1</v>
      </c>
      <c r="BR2" s="809">
        <f>BR6&lt;=last_year_vis</f>
        <v>1</v>
      </c>
      <c r="BS2" s="809">
        <f>BS6&lt;=last_year_vis</f>
        <v>0</v>
      </c>
      <c r="BT2" s="809">
        <f>BT6&lt;=last_year_vis</f>
        <v>0</v>
      </c>
      <c r="BU2" s="809">
        <f>BU6&lt;=last_year_vis</f>
        <v>0</v>
      </c>
      <c r="BV2" s="809">
        <f>BV6&lt;=last_year_vis</f>
        <v>0</v>
      </c>
      <c r="BW2" s="809">
        <f>BW6&lt;=last_year_vis</f>
        <v>0</v>
      </c>
      <c r="BX2" s="809">
        <f>BX6&lt;=last_year_vis</f>
        <v>0</v>
      </c>
      <c r="BY2" s="809">
        <f>BY6&lt;=last_year_vis</f>
        <v>0</v>
      </c>
      <c r="BZ2" s="809">
        <f>BZ6&lt;=last_year_vis</f>
        <v>0</v>
      </c>
      <c r="CA2" s="809">
        <f>CA6&lt;=last_year_vis</f>
        <v>0</v>
      </c>
      <c r="CB2" s="809">
        <f>CB6&lt;=last_year_vis</f>
        <v>0</v>
      </c>
      <c r="CC2" s="809">
        <f>CC6&lt;=last_year_vis</f>
        <v>0</v>
      </c>
      <c r="CD2" s="809">
        <f>CD6&lt;=last_year_vis</f>
        <v>0</v>
      </c>
      <c r="CE2" s="809">
        <f>CE6&lt;=last_year_vis</f>
        <v>0</v>
      </c>
      <c r="CF2" s="809">
        <f>CF6&lt;=last_year_vis</f>
        <v>0</v>
      </c>
      <c r="CG2" s="809">
        <f>CG6&lt;=last_year_vis</f>
        <v>0</v>
      </c>
      <c r="CH2" s="809">
        <f>CH6&lt;=last_year_vis</f>
        <v>0</v>
      </c>
      <c r="CI2" s="809">
        <f>CI6&lt;=last_year_vis</f>
        <v>0</v>
      </c>
      <c r="CJ2" s="809">
        <f>CJ6&lt;=last_year_vis</f>
        <v>0</v>
      </c>
      <c r="CK2" s="809">
        <f>CK6&lt;=last_year_vis</f>
        <v>0</v>
      </c>
      <c r="CL2" s="809">
        <f>CL6&lt;=last_year_vis</f>
        <v>0</v>
      </c>
      <c r="CM2" s="809">
        <f>CM6&lt;=last_year_vis</f>
        <v>0</v>
      </c>
      <c r="CN2" s="809">
        <f>CN6&lt;=last_year_vis</f>
        <v>0</v>
      </c>
      <c r="CO2" s="809">
        <f>CO6&lt;=last_year_vis</f>
        <v>0</v>
      </c>
      <c r="CP2" s="809">
        <f>CP6&lt;=last_year_vis</f>
        <v>0</v>
      </c>
      <c r="CQ2" s="809">
        <f>CQ6&lt;=last_year_vis</f>
        <v>0</v>
      </c>
      <c r="CR2" s="809">
        <f>CR6&lt;=last_year_vis</f>
        <v>0</v>
      </c>
      <c r="CS2" s="809">
        <f>CS6&lt;=last_year_vis</f>
        <v>0</v>
      </c>
      <c r="CW2" s="1176"/>
      <c r="CX2" s="1154"/>
      <c r="CY2" s="1154"/>
      <c r="CZ2" s="1154"/>
      <c r="DA2" s="797"/>
      <c r="DB2" s="797"/>
    </row>
    <row s="1443" customFormat="1" customHeight="1" ht="12" hidden="1">
      <c r="B3" s="788"/>
      <c r="E3" s="788"/>
      <c r="G3" s="736"/>
      <c r="H3" s="736"/>
      <c r="I3" s="736"/>
      <c r="J3" s="736"/>
      <c r="K3" s="736"/>
      <c r="L3" s="736"/>
      <c r="M3" s="736"/>
      <c r="N3" s="736"/>
      <c r="O3" s="736"/>
      <c r="P3" s="736"/>
      <c r="Q3" s="736"/>
      <c r="S3" s="922"/>
      <c r="AO3" s="1734"/>
      <c r="AP3" s="1734"/>
      <c r="AQ3" s="1734"/>
      <c r="AR3" s="1734"/>
      <c r="AS3" s="1734"/>
      <c r="AT3" s="1734"/>
      <c r="AU3" s="1734"/>
      <c r="AV3" s="1734"/>
      <c r="AW3" s="1734"/>
      <c r="AX3" s="1734"/>
      <c r="AY3" s="1734"/>
      <c r="AZ3" s="1734"/>
      <c r="BA3" s="1734"/>
      <c r="BB3" s="1734"/>
      <c r="BC3" s="1734"/>
      <c r="BD3" s="1734"/>
      <c r="BE3" s="1734"/>
      <c r="BF3" s="1734"/>
      <c r="BG3" s="1734"/>
      <c r="BH3" s="1734"/>
      <c r="BI3" s="1734"/>
      <c r="BJ3" s="1734"/>
      <c r="BK3" s="1734"/>
      <c r="BL3" s="1734"/>
      <c r="BM3" s="1734"/>
      <c r="BN3" s="1734"/>
      <c r="BO3" s="1734"/>
      <c r="BP3" s="1734"/>
      <c r="BQ3" s="1734"/>
      <c r="BR3" s="1734"/>
      <c r="BS3" s="1734"/>
      <c r="BT3" s="1734"/>
      <c r="BU3" s="1734"/>
      <c r="BV3" s="1734"/>
      <c r="BW3" s="1734"/>
      <c r="BX3" s="1734"/>
      <c r="BY3" s="1734"/>
      <c r="BZ3" s="1734"/>
      <c r="CA3" s="1734"/>
      <c r="CB3" s="1734"/>
      <c r="CC3" s="1734"/>
      <c r="CD3" s="1734"/>
      <c r="CE3" s="1734"/>
      <c r="CF3" s="1734"/>
      <c r="CG3" s="1734"/>
      <c r="CH3" s="1734"/>
      <c r="CI3" s="1734"/>
      <c r="CJ3" s="1734"/>
      <c r="CK3" s="1734"/>
      <c r="CL3" s="1734"/>
      <c r="CM3" s="1734"/>
      <c r="CN3" s="1734"/>
      <c r="CO3" s="1734"/>
      <c r="CP3" s="1734"/>
      <c r="CQ3" s="1734"/>
      <c r="CR3" s="1734"/>
      <c r="CS3" s="1734"/>
      <c r="CW3" s="1173"/>
      <c r="CX3" s="1172"/>
      <c r="CY3" s="1172"/>
      <c r="CZ3" s="1172"/>
      <c r="DA3" s="1175"/>
      <c r="DB3" s="1175"/>
    </row>
    <row s="1443" customFormat="1" customHeight="1" ht="12" hidden="1">
      <c r="B4" s="788"/>
      <c r="E4" s="788"/>
      <c r="G4" s="736"/>
      <c r="H4" s="736"/>
      <c r="I4" s="736"/>
      <c r="J4" s="736"/>
      <c r="K4" s="736"/>
      <c r="L4" s="736"/>
      <c r="M4" s="736"/>
      <c r="N4" s="736"/>
      <c r="O4" s="736"/>
      <c r="P4" s="736"/>
      <c r="Q4" s="736"/>
      <c r="S4" s="922"/>
      <c r="AO4" s="1734"/>
      <c r="AP4" s="1734"/>
      <c r="AQ4" s="1734"/>
      <c r="AR4" s="1734"/>
      <c r="AS4" s="1734"/>
      <c r="AT4" s="1734"/>
      <c r="AU4" s="1734"/>
      <c r="AV4" s="1734"/>
      <c r="AW4" s="1734"/>
      <c r="AX4" s="1734"/>
      <c r="AY4" s="1734"/>
      <c r="AZ4" s="1734"/>
      <c r="BA4" s="1734"/>
      <c r="BB4" s="1734"/>
      <c r="BC4" s="1734"/>
      <c r="BD4" s="1734"/>
      <c r="BE4" s="1734"/>
      <c r="BF4" s="1734"/>
      <c r="BG4" s="1734"/>
      <c r="BH4" s="1734"/>
      <c r="BI4" s="1734"/>
      <c r="BJ4" s="1734"/>
      <c r="BK4" s="1734"/>
      <c r="BL4" s="1734"/>
      <c r="BM4" s="1734"/>
      <c r="BN4" s="1734"/>
      <c r="BO4" s="1734"/>
      <c r="BP4" s="1734"/>
      <c r="BQ4" s="1734"/>
      <c r="BR4" s="1734"/>
      <c r="BS4" s="1734"/>
      <c r="BT4" s="1734"/>
      <c r="BU4" s="1734"/>
      <c r="BV4" s="1734"/>
      <c r="BW4" s="1734"/>
      <c r="BX4" s="1734"/>
      <c r="BY4" s="1734"/>
      <c r="BZ4" s="1734"/>
      <c r="CA4" s="1734"/>
      <c r="CB4" s="1734"/>
      <c r="CC4" s="1734"/>
      <c r="CD4" s="1734"/>
      <c r="CE4" s="1734"/>
      <c r="CF4" s="1734"/>
      <c r="CG4" s="1734"/>
      <c r="CH4" s="1734"/>
      <c r="CI4" s="1734"/>
      <c r="CJ4" s="1734"/>
      <c r="CK4" s="1734"/>
      <c r="CL4" s="1734"/>
      <c r="CM4" s="1734"/>
      <c r="CN4" s="1734"/>
      <c r="CO4" s="1734"/>
      <c r="CP4" s="1734"/>
      <c r="CQ4" s="1734"/>
      <c r="CR4" s="1734"/>
      <c r="CS4" s="1734"/>
      <c r="CW4" s="1173"/>
      <c r="CX4" s="1172"/>
      <c r="CY4" s="1172"/>
      <c r="CZ4" s="1172"/>
      <c r="DA4" s="1175"/>
      <c r="DB4" s="1175"/>
    </row>
    <row s="925" customFormat="1" customHeight="1" ht="12" hidden="1">
      <c r="A5" s="788"/>
      <c r="B5" s="788"/>
      <c r="C5" s="788"/>
      <c r="D5" s="788"/>
      <c r="E5" s="797" t="s">
        <v>16</v>
      </c>
      <c r="G5" s="931"/>
      <c r="H5" s="931"/>
      <c r="I5" s="931"/>
      <c r="J5" s="931"/>
      <c r="K5" s="931"/>
      <c r="L5" s="931"/>
      <c r="M5" s="931"/>
      <c r="N5" s="931"/>
      <c r="O5" s="931"/>
      <c r="P5" s="931"/>
      <c r="Q5" s="931"/>
      <c r="AA5" s="797">
        <v>3</v>
      </c>
      <c r="AB5" s="1735">
        <v>2.75</v>
      </c>
      <c r="AD5" s="1735">
        <v>10</v>
      </c>
      <c r="AE5" s="1735">
        <v>45</v>
      </c>
      <c r="AF5" s="1735">
        <v>30</v>
      </c>
      <c r="AG5" s="1735">
        <v>20</v>
      </c>
      <c r="AH5" s="1735">
        <v>16.25</v>
      </c>
      <c r="AI5" s="1735">
        <v>16.25</v>
      </c>
      <c r="AJ5" s="1735">
        <v>16.25</v>
      </c>
      <c r="AK5" s="1735">
        <v>16.25</v>
      </c>
      <c r="AL5" s="1735">
        <v>16.25</v>
      </c>
      <c r="AM5" s="1735">
        <v>16.25</v>
      </c>
      <c r="AN5" s="1735">
        <v>16.25</v>
      </c>
      <c r="AO5" s="797">
        <v>16.25</v>
      </c>
      <c r="AP5" s="797">
        <v>16.25</v>
      </c>
      <c r="AQ5" s="797">
        <v>16.25</v>
      </c>
      <c r="AR5" s="797">
        <v>16.25</v>
      </c>
      <c r="AS5" s="797">
        <v>16.25</v>
      </c>
      <c r="AT5" s="797">
        <v>16.25</v>
      </c>
      <c r="AU5" s="797">
        <v>16.25</v>
      </c>
      <c r="AV5" s="797">
        <v>16.25</v>
      </c>
      <c r="AW5" s="797">
        <v>16.25</v>
      </c>
      <c r="AX5" s="797">
        <v>16.25</v>
      </c>
      <c r="AY5" s="797">
        <v>16.25</v>
      </c>
      <c r="AZ5" s="797">
        <v>16.25</v>
      </c>
      <c r="BA5" s="797">
        <v>16.25</v>
      </c>
      <c r="BB5" s="797">
        <v>16.25</v>
      </c>
      <c r="BC5" s="797">
        <v>16.25</v>
      </c>
      <c r="BD5" s="797">
        <v>16.25</v>
      </c>
      <c r="BE5" s="797">
        <v>16.25</v>
      </c>
      <c r="BF5" s="797">
        <v>16.25</v>
      </c>
      <c r="BG5" s="797">
        <v>16.25</v>
      </c>
      <c r="BH5" s="797">
        <v>16.25</v>
      </c>
      <c r="BI5" s="797">
        <v>16.25</v>
      </c>
      <c r="BJ5" s="797">
        <v>16.25</v>
      </c>
      <c r="BK5" s="797">
        <v>16.25</v>
      </c>
      <c r="BL5" s="797">
        <v>16.25</v>
      </c>
      <c r="BM5" s="797">
        <v>16.25</v>
      </c>
      <c r="BN5" s="797">
        <v>16.25</v>
      </c>
      <c r="BO5" s="797">
        <v>16.25</v>
      </c>
      <c r="BP5" s="797">
        <v>16.25</v>
      </c>
      <c r="BQ5" s="797">
        <v>16.25</v>
      </c>
      <c r="BR5" s="797">
        <v>16.25</v>
      </c>
      <c r="BS5" s="797">
        <v>16.25</v>
      </c>
      <c r="BT5" s="797">
        <v>16.25</v>
      </c>
      <c r="BU5" s="797">
        <v>16.25</v>
      </c>
      <c r="BV5" s="797">
        <v>16.25</v>
      </c>
      <c r="BW5" s="797">
        <v>16.25</v>
      </c>
      <c r="BX5" s="797">
        <v>16.25</v>
      </c>
      <c r="BY5" s="797">
        <v>16.25</v>
      </c>
      <c r="BZ5" s="797">
        <v>16.25</v>
      </c>
      <c r="CA5" s="797">
        <v>16.25</v>
      </c>
      <c r="CB5" s="797">
        <v>16.25</v>
      </c>
      <c r="CC5" s="797">
        <v>16.25</v>
      </c>
      <c r="CD5" s="797">
        <v>16.25</v>
      </c>
      <c r="CE5" s="797">
        <v>16.25</v>
      </c>
      <c r="CF5" s="797">
        <v>16.25</v>
      </c>
      <c r="CG5" s="797">
        <v>16.25</v>
      </c>
      <c r="CH5" s="797">
        <v>16.25</v>
      </c>
      <c r="CI5" s="797">
        <v>16.25</v>
      </c>
      <c r="CJ5" s="797">
        <v>16.25</v>
      </c>
      <c r="CK5" s="797">
        <v>16.25</v>
      </c>
      <c r="CL5" s="797">
        <v>16.25</v>
      </c>
      <c r="CM5" s="797">
        <v>16.25</v>
      </c>
      <c r="CN5" s="797">
        <v>16.25</v>
      </c>
      <c r="CO5" s="797">
        <v>16.25</v>
      </c>
      <c r="CP5" s="797">
        <v>16.25</v>
      </c>
      <c r="CQ5" s="797">
        <v>16.25</v>
      </c>
      <c r="CR5" s="797">
        <v>16.25</v>
      </c>
      <c r="CS5" s="797">
        <v>16.25</v>
      </c>
      <c r="CT5" s="1735">
        <v>26</v>
      </c>
      <c r="CU5" s="1735">
        <v>3</v>
      </c>
      <c r="CW5" s="1176"/>
      <c r="CX5" s="1154"/>
      <c r="CY5" s="1154"/>
      <c r="CZ5" s="1154"/>
    </row>
    <row s="1443" customFormat="1" customHeight="1" ht="12" hidden="1">
      <c r="B6" s="788"/>
      <c r="E6" s="797"/>
      <c r="G6" s="736"/>
      <c r="H6" s="736"/>
      <c r="I6" s="736"/>
      <c r="J6" s="736"/>
      <c r="K6" s="736"/>
      <c r="L6" s="736"/>
      <c r="M6" s="736"/>
      <c r="N6" s="736"/>
      <c r="O6" s="736"/>
      <c r="P6" s="736"/>
      <c r="Q6" s="736"/>
      <c r="S6" s="922"/>
      <c r="AH6" s="1734">
        <f>god-2</f>
        <v>2024</v>
      </c>
      <c r="AI6" s="1734">
        <f>god-2</f>
        <v>2024</v>
      </c>
      <c r="AJ6" s="1734">
        <f>god-2</f>
        <v>2024</v>
      </c>
      <c r="AK6" s="1734">
        <f>god-1</f>
        <v>2025</v>
      </c>
      <c r="AL6" s="1734" cm="1" t="str">
        <f t="array" ref="AL6:AL6">god</f>
        <v>2026</v>
      </c>
      <c r="AM6" s="1734" cm="1" t="str">
        <f t="array" ref="AM6:AM6">god</f>
        <v>2026</v>
      </c>
      <c r="AN6" s="1734" cm="1" t="str">
        <f t="array" ref="AN6:AN6">god</f>
        <v>2026</v>
      </c>
      <c r="AO6" s="159">
        <f>god+1</f>
        <v>2027</v>
      </c>
      <c r="AP6" s="159">
        <f>god+1</f>
        <v>2027</v>
      </c>
      <c r="AQ6" s="159">
        <f>god+1</f>
        <v>2027</v>
      </c>
      <c r="AR6" s="159">
        <f>god+2</f>
        <v>2028</v>
      </c>
      <c r="AS6" s="159">
        <f>god+2</f>
        <v>2028</v>
      </c>
      <c r="AT6" s="159">
        <f>god+2</f>
        <v>2028</v>
      </c>
      <c r="AU6" s="159">
        <f>god+3</f>
        <v>2029</v>
      </c>
      <c r="AV6" s="159">
        <f>god+3</f>
        <v>2029</v>
      </c>
      <c r="AW6" s="159">
        <f>god+3</f>
        <v>2029</v>
      </c>
      <c r="AX6" s="159">
        <f>god+4</f>
        <v>2030</v>
      </c>
      <c r="AY6" s="159">
        <f>god+4</f>
        <v>2030</v>
      </c>
      <c r="AZ6" s="159">
        <f>god+4</f>
        <v>2030</v>
      </c>
      <c r="BA6" s="159">
        <f>god+5</f>
        <v>2031</v>
      </c>
      <c r="BB6" s="159">
        <f>god+5</f>
        <v>2031</v>
      </c>
      <c r="BC6" s="159">
        <f>god+5</f>
        <v>2031</v>
      </c>
      <c r="BD6" s="159">
        <f>god+6</f>
        <v>2032</v>
      </c>
      <c r="BE6" s="159">
        <f>god+6</f>
        <v>2032</v>
      </c>
      <c r="BF6" s="159">
        <f>god+6</f>
        <v>2032</v>
      </c>
      <c r="BG6" s="159">
        <f>god+7</f>
        <v>2033</v>
      </c>
      <c r="BH6" s="159">
        <f>god+7</f>
        <v>2033</v>
      </c>
      <c r="BI6" s="159">
        <f>god+7</f>
        <v>2033</v>
      </c>
      <c r="BJ6" s="159">
        <f>god+8</f>
        <v>2034</v>
      </c>
      <c r="BK6" s="159">
        <f>god+8</f>
        <v>2034</v>
      </c>
      <c r="BL6" s="159">
        <f>god+8</f>
        <v>2034</v>
      </c>
      <c r="BM6" s="159">
        <f>god+9</f>
        <v>2035</v>
      </c>
      <c r="BN6" s="159">
        <f>god+9</f>
        <v>2035</v>
      </c>
      <c r="BO6" s="159">
        <f>god+9</f>
        <v>2035</v>
      </c>
      <c r="BP6" s="159" cm="1" t="str">
        <f t="array" ref="BP6:BP6">god</f>
        <v>2026</v>
      </c>
      <c r="BQ6" s="159" cm="1" t="str">
        <f t="array" ref="BQ6:BQ6">god</f>
        <v>2026</v>
      </c>
      <c r="BR6" s="159" cm="1" t="str">
        <f t="array" ref="BR6:BR6">god</f>
        <v>2026</v>
      </c>
      <c r="BS6" s="159">
        <f>god+1</f>
        <v>2027</v>
      </c>
      <c r="BT6" s="159">
        <f>god+1</f>
        <v>2027</v>
      </c>
      <c r="BU6" s="159">
        <f>god+1</f>
        <v>2027</v>
      </c>
      <c r="BV6" s="159">
        <f>god+2</f>
        <v>2028</v>
      </c>
      <c r="BW6" s="159">
        <f>god+2</f>
        <v>2028</v>
      </c>
      <c r="BX6" s="159">
        <f>god+2</f>
        <v>2028</v>
      </c>
      <c r="BY6" s="159">
        <f>god+3</f>
        <v>2029</v>
      </c>
      <c r="BZ6" s="159">
        <f>god+3</f>
        <v>2029</v>
      </c>
      <c r="CA6" s="159">
        <f>god+3</f>
        <v>2029</v>
      </c>
      <c r="CB6" s="159">
        <f>god+4</f>
        <v>2030</v>
      </c>
      <c r="CC6" s="159">
        <f>god+4</f>
        <v>2030</v>
      </c>
      <c r="CD6" s="159">
        <f>god+4</f>
        <v>2030</v>
      </c>
      <c r="CE6" s="159">
        <f>god+5</f>
        <v>2031</v>
      </c>
      <c r="CF6" s="159">
        <f>god+5</f>
        <v>2031</v>
      </c>
      <c r="CG6" s="159">
        <f>god+5</f>
        <v>2031</v>
      </c>
      <c r="CH6" s="159">
        <f>god+6</f>
        <v>2032</v>
      </c>
      <c r="CI6" s="159">
        <f>god+6</f>
        <v>2032</v>
      </c>
      <c r="CJ6" s="159">
        <f>god+6</f>
        <v>2032</v>
      </c>
      <c r="CK6" s="159">
        <f>god+7</f>
        <v>2033</v>
      </c>
      <c r="CL6" s="159">
        <f>god+7</f>
        <v>2033</v>
      </c>
      <c r="CM6" s="159">
        <f>god+7</f>
        <v>2033</v>
      </c>
      <c r="CN6" s="159">
        <f>god+8</f>
        <v>2034</v>
      </c>
      <c r="CO6" s="159">
        <f>god+8</f>
        <v>2034</v>
      </c>
      <c r="CP6" s="159">
        <f>god+8</f>
        <v>2034</v>
      </c>
      <c r="CQ6" s="159">
        <f>god+9</f>
        <v>2035</v>
      </c>
      <c r="CR6" s="159">
        <f>god+9</f>
        <v>2035</v>
      </c>
      <c r="CS6" s="159">
        <f>god+9</f>
        <v>2035</v>
      </c>
      <c r="CW6" s="1173"/>
      <c r="CX6" s="1172"/>
      <c r="CY6" s="1172"/>
      <c r="CZ6" s="1172"/>
      <c r="DA6" s="1175"/>
      <c r="DB6" s="1175"/>
    </row>
    <row s="965" customFormat="1" customHeight="1" ht="12" hidden="1">
      <c r="A7" s="159"/>
      <c r="B7" s="788"/>
      <c r="C7" s="159"/>
      <c r="D7" s="159"/>
      <c r="E7" s="797"/>
      <c r="S7" s="739"/>
      <c r="AH7" s="1737" t="str">
        <f>AH26&amp;AH25</f>
        <v>Принято органом регулированияГод</v>
      </c>
      <c r="AI7" s="1737" t="str">
        <f>AI26&amp;AI25</f>
        <v>Факт по данным организацииГод</v>
      </c>
      <c r="AJ7" s="1737" t="str">
        <f>AJ26&amp;AJ25</f>
        <v>Факт, принятый органом регулированияГод</v>
      </c>
      <c r="AK7" s="1737" t="str">
        <f>AK26&amp;AK25</f>
        <v>Принято органом регулированияГод</v>
      </c>
      <c r="AL7" s="1737" t="str">
        <f>AL26&amp;AL25</f>
        <v>Предложение организацииГод</v>
      </c>
      <c r="AM7" s="1737" t="str">
        <f>AM26&amp;AM25</f>
        <v>Предложение организации01.01.-30.09.</v>
      </c>
      <c r="AN7" s="1737" t="str">
        <f>AN26&amp;AN25</f>
        <v>Предложение организации01.10.-31.12.</v>
      </c>
      <c r="AO7" s="736" t="str">
        <f>AO26&amp;AO25</f>
        <v>Предложение организацииГод</v>
      </c>
      <c r="AP7" s="736" t="str">
        <f>AP26&amp;AP25</f>
        <v>Предложение организации1 полугодие</v>
      </c>
      <c r="AQ7" s="736" t="str">
        <f>AQ26&amp;AQ25</f>
        <v>Предложение организации2 полугодие</v>
      </c>
      <c r="AR7" s="736" t="str">
        <f>AR26&amp;AR25</f>
        <v>Предложение организацииГод</v>
      </c>
      <c r="AS7" s="736" t="str">
        <f>AS26&amp;AS25</f>
        <v>Предложение организации1 полугодие</v>
      </c>
      <c r="AT7" s="736" t="str">
        <f>AT26&amp;AT25</f>
        <v>Предложение организации2 полугодие</v>
      </c>
      <c r="AU7" s="736" t="str">
        <f>AU26&amp;AU25</f>
        <v>Предложение организацииГод</v>
      </c>
      <c r="AV7" s="736" t="str">
        <f>AV26&amp;AV25</f>
        <v>Предложение организации1 полугодие</v>
      </c>
      <c r="AW7" s="736" t="str">
        <f>AW26&amp;AW25</f>
        <v>Предложение организации2 полугодие</v>
      </c>
      <c r="AX7" s="736" t="str">
        <f>AX26&amp;AX25</f>
        <v>Предложение организацииГод</v>
      </c>
      <c r="AY7" s="736" t="str">
        <f>AY26&amp;AY25</f>
        <v>Предложение организации1 полугодие</v>
      </c>
      <c r="AZ7" s="736" t="str">
        <f>AZ26&amp;AZ25</f>
        <v>Предложение организации2 полугодие</v>
      </c>
      <c r="BA7" s="736" t="str">
        <f>BA26&amp;BA25</f>
        <v>Предложение организацииГод</v>
      </c>
      <c r="BB7" s="736" t="str">
        <f>BB26&amp;BB25</f>
        <v>Предложение организации1 полугодие</v>
      </c>
      <c r="BC7" s="736" t="str">
        <f>BC26&amp;BC25</f>
        <v>Предложение организации2 полугодие</v>
      </c>
      <c r="BD7" s="736" t="str">
        <f>BD26&amp;BD25</f>
        <v>Предложение организацииГод</v>
      </c>
      <c r="BE7" s="736" t="str">
        <f>BE26&amp;BE25</f>
        <v>Предложение организации1 полугодие</v>
      </c>
      <c r="BF7" s="736" t="str">
        <f>BF26&amp;BF25</f>
        <v>Предложение организации2 полугодие</v>
      </c>
      <c r="BG7" s="736" t="str">
        <f>BG26&amp;BG25</f>
        <v>Предложение организацииГод</v>
      </c>
      <c r="BH7" s="736" t="str">
        <f>BH26&amp;BH25</f>
        <v>Предложение организации1 полугодие</v>
      </c>
      <c r="BI7" s="736" t="str">
        <f>BI26&amp;BI25</f>
        <v>Предложение организации2 полугодие</v>
      </c>
      <c r="BJ7" s="736" t="str">
        <f>BJ26&amp;BJ25</f>
        <v>Предложение организацииГод</v>
      </c>
      <c r="BK7" s="736" t="str">
        <f>BK26&amp;BK25</f>
        <v>Предложение организации1 полугодие</v>
      </c>
      <c r="BL7" s="736" t="str">
        <f>BL26&amp;BL25</f>
        <v>Предложение организации2 полугодие</v>
      </c>
      <c r="BM7" s="736" t="str">
        <f>BM26&amp;BM25</f>
        <v>Предложение организацииГод</v>
      </c>
      <c r="BN7" s="736" t="str">
        <f>BN26&amp;BN25</f>
        <v>Предложение организации1 полугодие</v>
      </c>
      <c r="BO7" s="736" t="str">
        <f>BO26&amp;BO25</f>
        <v>Предложение организации2 полугодие</v>
      </c>
      <c r="BP7" s="736" t="str">
        <f>BP26&amp;BP25</f>
        <v>Принято органом регулированияГод</v>
      </c>
      <c r="BQ7" s="736" t="str">
        <f>BQ26&amp;BQ25</f>
        <v>Принято органом регулирования01.01.-30.09.</v>
      </c>
      <c r="BR7" s="736" t="str">
        <f>BR26&amp;BR25</f>
        <v>Принято органом регулирования01.10.-31.12.</v>
      </c>
      <c r="BS7" s="736" t="str">
        <f>BS26&amp;BS25</f>
        <v>Принято органом регулированияГод</v>
      </c>
      <c r="BT7" s="736" t="str">
        <f>BT26&amp;BT25</f>
        <v>Принято органом регулирования1 полугодие</v>
      </c>
      <c r="BU7" s="736" t="str">
        <f>BU26&amp;BU25</f>
        <v>Принято органом регулирования2 полугодие</v>
      </c>
      <c r="BV7" s="736" t="str">
        <f>BV26&amp;BV25</f>
        <v>Принято органом регулированияГод</v>
      </c>
      <c r="BW7" s="736" t="str">
        <f>BW26&amp;BW25</f>
        <v>Принято органом регулирования1 полугодие</v>
      </c>
      <c r="BX7" s="736" t="str">
        <f>BX26&amp;BX25</f>
        <v>Принято органом регулирования2 полугодие</v>
      </c>
      <c r="BY7" s="736" t="str">
        <f>BY26&amp;BY25</f>
        <v>Принято органом регулированияГод</v>
      </c>
      <c r="BZ7" s="736" t="str">
        <f>BZ26&amp;BZ25</f>
        <v>Принято органом регулирования1 полугодие</v>
      </c>
      <c r="CA7" s="736" t="str">
        <f>CA26&amp;CA25</f>
        <v>Принято органом регулирования2 полугодие</v>
      </c>
      <c r="CB7" s="736" t="str">
        <f>CB26&amp;CB25</f>
        <v>Принято органом регулированияГод</v>
      </c>
      <c r="CC7" s="736" t="str">
        <f>CC26&amp;CC25</f>
        <v>Принято органом регулирования1 полугодие</v>
      </c>
      <c r="CD7" s="736" t="str">
        <f>CD26&amp;CD25</f>
        <v>Принято органом регулирования2 полугодие</v>
      </c>
      <c r="CE7" s="736" t="str">
        <f>CE26&amp;CE25</f>
        <v>Принято органом регулированияГод</v>
      </c>
      <c r="CF7" s="736" t="str">
        <f>CF26&amp;CF25</f>
        <v>Принято органом регулирования1 полугодие</v>
      </c>
      <c r="CG7" s="736" t="str">
        <f>CG26&amp;CG25</f>
        <v>Принято органом регулирования2 полугодие</v>
      </c>
      <c r="CH7" s="736" t="str">
        <f>CH26&amp;CH25</f>
        <v>Принято органом регулированияГод</v>
      </c>
      <c r="CI7" s="736" t="str">
        <f>CI26&amp;CI25</f>
        <v>Принято органом регулирования1 полугодие</v>
      </c>
      <c r="CJ7" s="736" t="str">
        <f>CJ26&amp;CJ25</f>
        <v>Принято органом регулирования2 полугодие</v>
      </c>
      <c r="CK7" s="736" t="str">
        <f>CK26&amp;CK25</f>
        <v>Принято органом регулированияГод</v>
      </c>
      <c r="CL7" s="736" t="str">
        <f>CL26&amp;CL25</f>
        <v>Принято органом регулирования1 полугодие</v>
      </c>
      <c r="CM7" s="736" t="str">
        <f>CM26&amp;CM25</f>
        <v>Принято органом регулирования2 полугодие</v>
      </c>
      <c r="CN7" s="736" t="str">
        <f>CN26&amp;CN25</f>
        <v>Принято органом регулированияГод</v>
      </c>
      <c r="CO7" s="736" t="str">
        <f>CO26&amp;CO25</f>
        <v>Принято органом регулирования1 полугодие</v>
      </c>
      <c r="CP7" s="736" t="str">
        <f>CP26&amp;CP25</f>
        <v>Принято органом регулирования2 полугодие</v>
      </c>
      <c r="CQ7" s="736" t="str">
        <f>CQ26&amp;CQ25</f>
        <v>Принято органом регулированияГод</v>
      </c>
      <c r="CR7" s="736" t="str">
        <f>CR26&amp;CR25</f>
        <v>Принято органом регулирования1 полугодие</v>
      </c>
      <c r="CS7" s="736" t="str">
        <f>CS26&amp;CS25</f>
        <v>Принято органом регулирования2 полугодие</v>
      </c>
      <c r="CW7" s="1173"/>
      <c r="CX7" s="1174"/>
      <c r="CY7" s="1174"/>
      <c r="CZ7" s="1174"/>
      <c r="DA7" s="1177"/>
      <c r="DB7" s="1177"/>
    </row>
    <row s="965" customFormat="1" customHeight="1" ht="12" hidden="1">
      <c r="A8" s="988"/>
      <c r="B8" s="788"/>
      <c r="C8" s="159"/>
      <c r="D8" s="159"/>
      <c r="E8" s="797"/>
      <c r="S8" s="739"/>
      <c r="AO8" s="1737"/>
      <c r="AP8" s="1737"/>
      <c r="AQ8" s="1737"/>
      <c r="AR8" s="1737"/>
      <c r="AS8" s="1737"/>
      <c r="AT8" s="1737"/>
      <c r="AU8" s="1737"/>
      <c r="AV8" s="1737"/>
      <c r="AW8" s="1737"/>
      <c r="AX8" s="1737"/>
      <c r="AY8" s="1737"/>
      <c r="AZ8" s="1737"/>
      <c r="BA8" s="1737"/>
      <c r="BB8" s="1737"/>
      <c r="BC8" s="1737"/>
      <c r="BD8" s="1737"/>
      <c r="BE8" s="1737"/>
      <c r="BF8" s="1737"/>
      <c r="BG8" s="1737"/>
      <c r="BH8" s="1737"/>
      <c r="BI8" s="1737"/>
      <c r="BJ8" s="1737"/>
      <c r="BK8" s="1737"/>
      <c r="BL8" s="1737"/>
      <c r="BM8" s="1737"/>
      <c r="BN8" s="1737"/>
      <c r="BO8" s="1737"/>
      <c r="BP8" s="1737"/>
      <c r="BQ8" s="1737"/>
      <c r="BR8" s="1737"/>
      <c r="BS8" s="1737"/>
      <c r="BT8" s="1737"/>
      <c r="BU8" s="1737"/>
      <c r="BV8" s="1737"/>
      <c r="BW8" s="1737"/>
      <c r="BX8" s="1737"/>
      <c r="BY8" s="1737"/>
      <c r="BZ8" s="1737"/>
      <c r="CA8" s="1737"/>
      <c r="CB8" s="1737"/>
      <c r="CC8" s="1737"/>
      <c r="CD8" s="1737"/>
      <c r="CE8" s="1737"/>
      <c r="CF8" s="1737"/>
      <c r="CG8" s="1737"/>
      <c r="CH8" s="1737"/>
      <c r="CI8" s="1737"/>
      <c r="CJ8" s="1737"/>
      <c r="CK8" s="1737"/>
      <c r="CL8" s="1737"/>
      <c r="CM8" s="1737"/>
      <c r="CN8" s="1737"/>
      <c r="CO8" s="1737"/>
      <c r="CP8" s="1737"/>
      <c r="CQ8" s="1737"/>
      <c r="CR8" s="1737"/>
      <c r="CS8" s="1737"/>
      <c r="CW8" s="1173"/>
      <c r="CX8" s="1174"/>
      <c r="CY8" s="1174"/>
      <c r="CZ8" s="1174"/>
      <c r="DA8" s="1177"/>
      <c r="DB8" s="1177"/>
    </row>
    <row s="1172" customFormat="1" customHeight="1" ht="12" hidden="1">
      <c r="A9" s="1171" t="s">
        <v>437</v>
      </c>
      <c r="B9" s="1154"/>
      <c r="E9" s="1154"/>
      <c r="S9" s="1163"/>
      <c r="AH9" s="1739">
        <f>god-2</f>
        <v>2024</v>
      </c>
      <c r="AI9" s="1739">
        <f>god-2</f>
        <v>2024</v>
      </c>
      <c r="AJ9" s="1739">
        <f>god-2</f>
        <v>2024</v>
      </c>
      <c r="AK9" s="1739">
        <f>god-1</f>
        <v>2025</v>
      </c>
      <c r="AL9" s="1739" cm="1" t="str">
        <f t="array" ref="AL9:AL9">god</f>
        <v>2026</v>
      </c>
      <c r="AM9" s="1739" cm="1" t="str">
        <f t="array" ref="AM9:AM9">god</f>
        <v>2026</v>
      </c>
      <c r="AN9" s="1739" cm="1" t="str">
        <f t="array" ref="AN9:AN9">god</f>
        <v>2026</v>
      </c>
      <c r="AO9" s="1172">
        <f>god+1</f>
        <v>2027</v>
      </c>
      <c r="AP9" s="1172">
        <f>god+1</f>
        <v>2027</v>
      </c>
      <c r="AQ9" s="1172">
        <f>god+1</f>
        <v>2027</v>
      </c>
      <c r="AR9" s="1172">
        <f>god+2</f>
        <v>2028</v>
      </c>
      <c r="AS9" s="1172">
        <f>god+2</f>
        <v>2028</v>
      </c>
      <c r="AT9" s="1172">
        <f>god+2</f>
        <v>2028</v>
      </c>
      <c r="AU9" s="1172">
        <f>god+3</f>
        <v>2029</v>
      </c>
      <c r="AV9" s="1172">
        <f>god+3</f>
        <v>2029</v>
      </c>
      <c r="AW9" s="1172">
        <f>god+3</f>
        <v>2029</v>
      </c>
      <c r="AX9" s="1172">
        <f>god+4</f>
        <v>2030</v>
      </c>
      <c r="AY9" s="1172">
        <f>god+4</f>
        <v>2030</v>
      </c>
      <c r="AZ9" s="1172">
        <f>god+4</f>
        <v>2030</v>
      </c>
      <c r="BA9" s="1172">
        <f>god+5</f>
        <v>2031</v>
      </c>
      <c r="BB9" s="1172">
        <f>god+5</f>
        <v>2031</v>
      </c>
      <c r="BC9" s="1172">
        <f>god+5</f>
        <v>2031</v>
      </c>
      <c r="BD9" s="1172">
        <f>god+6</f>
        <v>2032</v>
      </c>
      <c r="BE9" s="1172">
        <f>god+6</f>
        <v>2032</v>
      </c>
      <c r="BF9" s="1172">
        <f>god+6</f>
        <v>2032</v>
      </c>
      <c r="BG9" s="1172">
        <f>god+7</f>
        <v>2033</v>
      </c>
      <c r="BH9" s="1172">
        <f>god+7</f>
        <v>2033</v>
      </c>
      <c r="BI9" s="1172">
        <f>god+7</f>
        <v>2033</v>
      </c>
      <c r="BJ9" s="1172">
        <f>god+8</f>
        <v>2034</v>
      </c>
      <c r="BK9" s="1172">
        <f>god+8</f>
        <v>2034</v>
      </c>
      <c r="BL9" s="1172">
        <f>god+8</f>
        <v>2034</v>
      </c>
      <c r="BM9" s="1172">
        <f>god+9</f>
        <v>2035</v>
      </c>
      <c r="BN9" s="1172">
        <f>god+9</f>
        <v>2035</v>
      </c>
      <c r="BO9" s="1172">
        <f>god+9</f>
        <v>2035</v>
      </c>
      <c r="BP9" s="1172" cm="1" t="str">
        <f t="array" ref="BP9:BP9">god</f>
        <v>2026</v>
      </c>
      <c r="BQ9" s="1172" cm="1" t="str">
        <f t="array" ref="BQ9:BQ9">god</f>
        <v>2026</v>
      </c>
      <c r="BR9" s="1172" cm="1" t="str">
        <f t="array" ref="BR9:BR9">god</f>
        <v>2026</v>
      </c>
      <c r="BS9" s="1172">
        <f>god+1</f>
        <v>2027</v>
      </c>
      <c r="BT9" s="1172">
        <f>god+1</f>
        <v>2027</v>
      </c>
      <c r="BU9" s="1172">
        <f>god+1</f>
        <v>2027</v>
      </c>
      <c r="BV9" s="1172">
        <f>god+2</f>
        <v>2028</v>
      </c>
      <c r="BW9" s="1172">
        <f>god+2</f>
        <v>2028</v>
      </c>
      <c r="BX9" s="1172">
        <f>god+2</f>
        <v>2028</v>
      </c>
      <c r="BY9" s="1172">
        <f>god+3</f>
        <v>2029</v>
      </c>
      <c r="BZ9" s="1172">
        <f>god+3</f>
        <v>2029</v>
      </c>
      <c r="CA9" s="1172">
        <f>god+3</f>
        <v>2029</v>
      </c>
      <c r="CB9" s="1172">
        <f>god+4</f>
        <v>2030</v>
      </c>
      <c r="CC9" s="1172">
        <f>god+4</f>
        <v>2030</v>
      </c>
      <c r="CD9" s="1172">
        <f>god+4</f>
        <v>2030</v>
      </c>
      <c r="CE9" s="1172">
        <f>god+5</f>
        <v>2031</v>
      </c>
      <c r="CF9" s="1172">
        <f>god+5</f>
        <v>2031</v>
      </c>
      <c r="CG9" s="1172">
        <f>god+5</f>
        <v>2031</v>
      </c>
      <c r="CH9" s="1172">
        <f>god+6</f>
        <v>2032</v>
      </c>
      <c r="CI9" s="1172">
        <f>god+6</f>
        <v>2032</v>
      </c>
      <c r="CJ9" s="1172">
        <f>god+6</f>
        <v>2032</v>
      </c>
      <c r="CK9" s="1172">
        <f>god+7</f>
        <v>2033</v>
      </c>
      <c r="CL9" s="1172">
        <f>god+7</f>
        <v>2033</v>
      </c>
      <c r="CM9" s="1172">
        <f>god+7</f>
        <v>2033</v>
      </c>
      <c r="CN9" s="1172">
        <f>god+8</f>
        <v>2034</v>
      </c>
      <c r="CO9" s="1172">
        <f>god+8</f>
        <v>2034</v>
      </c>
      <c r="CP9" s="1172">
        <f>god+8</f>
        <v>2034</v>
      </c>
      <c r="CQ9" s="1172">
        <f>god+9</f>
        <v>2035</v>
      </c>
      <c r="CR9" s="1172">
        <f>god+9</f>
        <v>2035</v>
      </c>
      <c r="CS9" s="1172">
        <f>god+9</f>
        <v>2035</v>
      </c>
      <c r="CW9" s="1173"/>
    </row>
    <row s="1172" customFormat="1" customHeight="1" ht="12" hidden="1">
      <c r="A10" s="1171" t="s">
        <v>438</v>
      </c>
      <c r="B10" s="1154"/>
      <c r="E10" s="1154"/>
      <c r="S10" s="1163"/>
      <c r="AH10" s="1739" cm="1" t="str">
        <f t="array" ref="AH10:AH10">AH26</f>
        <v>Принято органом регулирования</v>
      </c>
      <c r="AI10" s="1739" cm="1" t="str">
        <f t="array" ref="AI10:AI10">AI26</f>
        <v>Факт по данным организации</v>
      </c>
      <c r="AJ10" s="1739" cm="1" t="str">
        <f t="array" ref="AJ10:AJ10">AJ26</f>
        <v>Факт, принятый органом регулирования</v>
      </c>
      <c r="AK10" s="1739" cm="1" t="str">
        <f t="array" ref="AK10:AK10">AK26</f>
        <v>Принято органом регулирования</v>
      </c>
      <c r="AL10" s="1739" cm="1" t="str">
        <f t="array" ref="AL10:AL10">AL26</f>
        <v>Предложение организации</v>
      </c>
      <c r="AM10" s="1739" cm="1" t="str">
        <f t="array" ref="AM10:AM10">AM26</f>
        <v>Предложение организации</v>
      </c>
      <c r="AN10" s="1739" cm="1" t="str">
        <f t="array" ref="AN10:AN10">AN26</f>
        <v>Предложение организации</v>
      </c>
      <c r="AO10" s="1172" cm="1" t="str">
        <f t="array" ref="AO10:AO10">AO26</f>
        <v>Предложение организации</v>
      </c>
      <c r="AP10" s="1172" cm="1" t="str">
        <f t="array" ref="AP10:AP10">AP26</f>
        <v>Предложение организации</v>
      </c>
      <c r="AQ10" s="1172" cm="1" t="str">
        <f t="array" ref="AQ10:AQ10">AQ26</f>
        <v>Предложение организации</v>
      </c>
      <c r="AR10" s="1172" cm="1" t="str">
        <f t="array" ref="AR10:AR10">AR26</f>
        <v>Предложение организации</v>
      </c>
      <c r="AS10" s="1172" cm="1" t="str">
        <f t="array" ref="AS10:AS10">AS26</f>
        <v>Предложение организации</v>
      </c>
      <c r="AT10" s="1172" cm="1" t="str">
        <f t="array" ref="AT10:AT10">AT26</f>
        <v>Предложение организации</v>
      </c>
      <c r="AU10" s="1172" cm="1" t="str">
        <f t="array" ref="AU10:AU10">AU26</f>
        <v>Предложение организации</v>
      </c>
      <c r="AV10" s="1172" cm="1" t="str">
        <f t="array" ref="AV10:AV10">AV26</f>
        <v>Предложение организации</v>
      </c>
      <c r="AW10" s="1172" cm="1" t="str">
        <f t="array" ref="AW10:AW10">AW26</f>
        <v>Предложение организации</v>
      </c>
      <c r="AX10" s="1172" cm="1" t="str">
        <f t="array" ref="AX10:AX10">AX26</f>
        <v>Предложение организации</v>
      </c>
      <c r="AY10" s="1172" cm="1" t="str">
        <f t="array" ref="AY10:AY10">AY26</f>
        <v>Предложение организации</v>
      </c>
      <c r="AZ10" s="1172" cm="1" t="str">
        <f t="array" ref="AZ10:AZ10">AZ26</f>
        <v>Предложение организации</v>
      </c>
      <c r="BA10" s="1172" cm="1" t="str">
        <f t="array" ref="BA10:BA10">BA26</f>
        <v>Предложение организации</v>
      </c>
      <c r="BB10" s="1172" cm="1" t="str">
        <f t="array" ref="BB10:BB10">BB26</f>
        <v>Предложение организации</v>
      </c>
      <c r="BC10" s="1172" cm="1" t="str">
        <f t="array" ref="BC10:BC10">BC26</f>
        <v>Предложение организации</v>
      </c>
      <c r="BD10" s="1172" cm="1" t="str">
        <f t="array" ref="BD10:BD10">BD26</f>
        <v>Предложение организации</v>
      </c>
      <c r="BE10" s="1172" cm="1" t="str">
        <f t="array" ref="BE10:BE10">BE26</f>
        <v>Предложение организации</v>
      </c>
      <c r="BF10" s="1172" cm="1" t="str">
        <f t="array" ref="BF10:BF10">BF26</f>
        <v>Предложение организации</v>
      </c>
      <c r="BG10" s="1172" cm="1" t="str">
        <f t="array" ref="BG10:BG10">BG26</f>
        <v>Предложение организации</v>
      </c>
      <c r="BH10" s="1172" cm="1" t="str">
        <f t="array" ref="BH10:BH10">BH26</f>
        <v>Предложение организации</v>
      </c>
      <c r="BI10" s="1172" cm="1" t="str">
        <f t="array" ref="BI10:BI10">BI26</f>
        <v>Предложение организации</v>
      </c>
      <c r="BJ10" s="1172" cm="1" t="str">
        <f t="array" ref="BJ10:BJ10">BJ26</f>
        <v>Предложение организации</v>
      </c>
      <c r="BK10" s="1172" cm="1" t="str">
        <f t="array" ref="BK10:BK10">BK26</f>
        <v>Предложение организации</v>
      </c>
      <c r="BL10" s="1172" cm="1" t="str">
        <f t="array" ref="BL10:BL10">BL26</f>
        <v>Предложение организации</v>
      </c>
      <c r="BM10" s="1172" cm="1" t="str">
        <f t="array" ref="BM10:BM10">BM26</f>
        <v>Предложение организации</v>
      </c>
      <c r="BN10" s="1172" cm="1" t="str">
        <f t="array" ref="BN10:BN10">BN26</f>
        <v>Предложение организации</v>
      </c>
      <c r="BO10" s="1172" cm="1" t="str">
        <f t="array" ref="BO10:BO10">BO26</f>
        <v>Предложение организации</v>
      </c>
      <c r="BP10" s="1172" cm="1" t="str">
        <f t="array" ref="BP10:BP10">BP26</f>
        <v>Принято органом регулирования</v>
      </c>
      <c r="BQ10" s="1172" cm="1" t="str">
        <f t="array" ref="BQ10:BQ10">BQ26</f>
        <v>Принято органом регулирования</v>
      </c>
      <c r="BR10" s="1172" cm="1" t="str">
        <f t="array" ref="BR10:BR10">BR26</f>
        <v>Принято органом регулирования</v>
      </c>
      <c r="BS10" s="1172" cm="1" t="str">
        <f t="array" ref="BS10:BS10">BS26</f>
        <v>Принято органом регулирования</v>
      </c>
      <c r="BT10" s="1172" cm="1" t="str">
        <f t="array" ref="BT10:BT10">BT26</f>
        <v>Принято органом регулирования</v>
      </c>
      <c r="BU10" s="1172" cm="1" t="str">
        <f t="array" ref="BU10:BU10">BU26</f>
        <v>Принято органом регулирования</v>
      </c>
      <c r="BV10" s="1172" cm="1" t="str">
        <f t="array" ref="BV10:BV10">BV26</f>
        <v>Принято органом регулирования</v>
      </c>
      <c r="BW10" s="1172" cm="1" t="str">
        <f t="array" ref="BW10:BW10">BW26</f>
        <v>Принято органом регулирования</v>
      </c>
      <c r="BX10" s="1172" cm="1" t="str">
        <f t="array" ref="BX10:BX10">BX26</f>
        <v>Принято органом регулирования</v>
      </c>
      <c r="BY10" s="1172" cm="1" t="str">
        <f t="array" ref="BY10:BY10">BY26</f>
        <v>Принято органом регулирования</v>
      </c>
      <c r="BZ10" s="1172" cm="1" t="str">
        <f t="array" ref="BZ10:BZ10">BZ26</f>
        <v>Принято органом регулирования</v>
      </c>
      <c r="CA10" s="1172" cm="1" t="str">
        <f t="array" ref="CA10:CA10">CA26</f>
        <v>Принято органом регулирования</v>
      </c>
      <c r="CB10" s="1172" cm="1" t="str">
        <f t="array" ref="CB10:CB10">CB26</f>
        <v>Принято органом регулирования</v>
      </c>
      <c r="CC10" s="1172" cm="1" t="str">
        <f t="array" ref="CC10:CC10">CC26</f>
        <v>Принято органом регулирования</v>
      </c>
      <c r="CD10" s="1172" cm="1" t="str">
        <f t="array" ref="CD10:CD10">CD26</f>
        <v>Принято органом регулирования</v>
      </c>
      <c r="CE10" s="1172" cm="1" t="str">
        <f t="array" ref="CE10:CE10">CE26</f>
        <v>Принято органом регулирования</v>
      </c>
      <c r="CF10" s="1172" cm="1" t="str">
        <f t="array" ref="CF10:CF10">CF26</f>
        <v>Принято органом регулирования</v>
      </c>
      <c r="CG10" s="1172" cm="1" t="str">
        <f t="array" ref="CG10:CG10">CG26</f>
        <v>Принято органом регулирования</v>
      </c>
      <c r="CH10" s="1172" cm="1" t="str">
        <f t="array" ref="CH10:CH10">CH26</f>
        <v>Принято органом регулирования</v>
      </c>
      <c r="CI10" s="1172" cm="1" t="str">
        <f t="array" ref="CI10:CI10">CI26</f>
        <v>Принято органом регулирования</v>
      </c>
      <c r="CJ10" s="1172" cm="1" t="str">
        <f t="array" ref="CJ10:CJ10">CJ26</f>
        <v>Принято органом регулирования</v>
      </c>
      <c r="CK10" s="1172" cm="1" t="str">
        <f t="array" ref="CK10:CK10">CK26</f>
        <v>Принято органом регулирования</v>
      </c>
      <c r="CL10" s="1172" cm="1" t="str">
        <f t="array" ref="CL10:CL10">CL26</f>
        <v>Принято органом регулирования</v>
      </c>
      <c r="CM10" s="1172" cm="1" t="str">
        <f t="array" ref="CM10:CM10">CM26</f>
        <v>Принято органом регулирования</v>
      </c>
      <c r="CN10" s="1172" cm="1" t="str">
        <f t="array" ref="CN10:CN10">CN26</f>
        <v>Принято органом регулирования</v>
      </c>
      <c r="CO10" s="1172" cm="1" t="str">
        <f t="array" ref="CO10:CO10">CO26</f>
        <v>Принято органом регулирования</v>
      </c>
      <c r="CP10" s="1172" cm="1" t="str">
        <f t="array" ref="CP10:CP10">CP26</f>
        <v>Принято органом регулирования</v>
      </c>
      <c r="CQ10" s="1172" cm="1" t="str">
        <f t="array" ref="CQ10:CQ10">CQ26</f>
        <v>Принято органом регулирования</v>
      </c>
      <c r="CR10" s="1172" cm="1" t="str">
        <f t="array" ref="CR10:CR10">CR26</f>
        <v>Принято органом регулирования</v>
      </c>
      <c r="CS10" s="1172" cm="1" t="str">
        <f t="array" ref="CS10:CS10">CS26</f>
        <v>Принято органом регулирования</v>
      </c>
      <c r="CW10" s="1173"/>
    </row>
    <row s="1172" customFormat="1" customHeight="1" ht="12" hidden="1">
      <c r="A11" s="1171" t="s">
        <v>439</v>
      </c>
      <c r="B11" s="1154"/>
      <c r="E11" s="1154"/>
      <c r="G11" s="1174"/>
      <c r="H11" s="1174"/>
      <c r="I11" s="1174"/>
      <c r="J11" s="1174"/>
      <c r="K11" s="1174"/>
      <c r="L11" s="1174"/>
      <c r="M11" s="1174"/>
      <c r="N11" s="1174"/>
      <c r="O11" s="1174"/>
      <c r="P11" s="1174"/>
      <c r="Q11" s="1174"/>
      <c r="S11" s="1163"/>
      <c r="AH11" s="1739" cm="1" t="str">
        <f t="array" ref="AH11:AH11">AH25</f>
        <v>Год</v>
      </c>
      <c r="AI11" s="1739" cm="1" t="str">
        <f t="array" ref="AI11:AI11">AI25</f>
        <v>Год</v>
      </c>
      <c r="AJ11" s="1739" cm="1" t="str">
        <f t="array" ref="AJ11:AJ11">AJ25</f>
        <v>Год</v>
      </c>
      <c r="AK11" s="1739" cm="1" t="str">
        <f t="array" ref="AK11:AK11">AK25</f>
        <v>Год</v>
      </c>
      <c r="AL11" s="1739" cm="1" t="str">
        <f t="array" ref="AL11:AL11">AL25</f>
        <v>Год</v>
      </c>
      <c r="AM11" s="1739" cm="1" t="str">
        <f t="array" ref="AM11:AM11">AM25</f>
        <v>01.01.-30.09.</v>
      </c>
      <c r="AN11" s="1739" cm="1" t="str">
        <f t="array" ref="AN11:AN11">AN25</f>
        <v>01.10.-31.12.</v>
      </c>
      <c r="AO11" s="1172" cm="1" t="str">
        <f t="array" ref="AO11:AO11">AO25</f>
        <v>Год</v>
      </c>
      <c r="AP11" s="1172" cm="1" t="str">
        <f t="array" ref="AP11:AP11">AP25</f>
        <v>1 полугодие</v>
      </c>
      <c r="AQ11" s="1172" cm="1" t="str">
        <f t="array" ref="AQ11:AQ11">AQ25</f>
        <v>2 полугодие</v>
      </c>
      <c r="AR11" s="1172" cm="1" t="str">
        <f t="array" ref="AR11:AR11">AR25</f>
        <v>Год</v>
      </c>
      <c r="AS11" s="1172" cm="1" t="str">
        <f t="array" ref="AS11:AS11">AS25</f>
        <v>1 полугодие</v>
      </c>
      <c r="AT11" s="1172" cm="1" t="str">
        <f t="array" ref="AT11:AT11">AT25</f>
        <v>2 полугодие</v>
      </c>
      <c r="AU11" s="1172" cm="1" t="str">
        <f t="array" ref="AU11:AU11">AU25</f>
        <v>Год</v>
      </c>
      <c r="AV11" s="1172" cm="1" t="str">
        <f t="array" ref="AV11:AV11">AV25</f>
        <v>1 полугодие</v>
      </c>
      <c r="AW11" s="1172" cm="1" t="str">
        <f t="array" ref="AW11:AW11">AW25</f>
        <v>2 полугодие</v>
      </c>
      <c r="AX11" s="1172" cm="1" t="str">
        <f t="array" ref="AX11:AX11">AX25</f>
        <v>Год</v>
      </c>
      <c r="AY11" s="1172" cm="1" t="str">
        <f t="array" ref="AY11:AY11">AY25</f>
        <v>1 полугодие</v>
      </c>
      <c r="AZ11" s="1172" cm="1" t="str">
        <f t="array" ref="AZ11:AZ11">AZ25</f>
        <v>2 полугодие</v>
      </c>
      <c r="BA11" s="1172" cm="1" t="str">
        <f t="array" ref="BA11:BA11">BA25</f>
        <v>Год</v>
      </c>
      <c r="BB11" s="1172" cm="1" t="str">
        <f t="array" ref="BB11:BB11">BB25</f>
        <v>1 полугодие</v>
      </c>
      <c r="BC11" s="1172" cm="1" t="str">
        <f t="array" ref="BC11:BC11">BC25</f>
        <v>2 полугодие</v>
      </c>
      <c r="BD11" s="1172" cm="1" t="str">
        <f t="array" ref="BD11:BD11">BD25</f>
        <v>Год</v>
      </c>
      <c r="BE11" s="1172" cm="1" t="str">
        <f t="array" ref="BE11:BE11">BE25</f>
        <v>1 полугодие</v>
      </c>
      <c r="BF11" s="1172" cm="1" t="str">
        <f t="array" ref="BF11:BF11">BF25</f>
        <v>2 полугодие</v>
      </c>
      <c r="BG11" s="1172" cm="1" t="str">
        <f t="array" ref="BG11:BG11">BG25</f>
        <v>Год</v>
      </c>
      <c r="BH11" s="1172" cm="1" t="str">
        <f t="array" ref="BH11:BH11">BH25</f>
        <v>1 полугодие</v>
      </c>
      <c r="BI11" s="1172" cm="1" t="str">
        <f t="array" ref="BI11:BI11">BI25</f>
        <v>2 полугодие</v>
      </c>
      <c r="BJ11" s="1172" cm="1" t="str">
        <f t="array" ref="BJ11:BJ11">BJ25</f>
        <v>Год</v>
      </c>
      <c r="BK11" s="1172" cm="1" t="str">
        <f t="array" ref="BK11:BK11">BK25</f>
        <v>1 полугодие</v>
      </c>
      <c r="BL11" s="1172" cm="1" t="str">
        <f t="array" ref="BL11:BL11">BL25</f>
        <v>2 полугодие</v>
      </c>
      <c r="BM11" s="1172" cm="1" t="str">
        <f t="array" ref="BM11:BM11">BM25</f>
        <v>Год</v>
      </c>
      <c r="BN11" s="1172" cm="1" t="str">
        <f t="array" ref="BN11:BN11">BN25</f>
        <v>1 полугодие</v>
      </c>
      <c r="BO11" s="1172" cm="1" t="str">
        <f t="array" ref="BO11:BO11">BO25</f>
        <v>2 полугодие</v>
      </c>
      <c r="BP11" s="1172" cm="1" t="str">
        <f t="array" ref="BP11:BP11">BP25</f>
        <v>Год</v>
      </c>
      <c r="BQ11" s="1172" cm="1" t="str">
        <f t="array" ref="BQ11:BQ11">BQ25</f>
        <v>01.01.-30.09.</v>
      </c>
      <c r="BR11" s="1172" cm="1" t="str">
        <f t="array" ref="BR11:BR11">BR25</f>
        <v>01.10.-31.12.</v>
      </c>
      <c r="BS11" s="1172" cm="1" t="str">
        <f t="array" ref="BS11:BS11">BS25</f>
        <v>Год</v>
      </c>
      <c r="BT11" s="1172" cm="1" t="str">
        <f t="array" ref="BT11:BT11">BT25</f>
        <v>1 полугодие</v>
      </c>
      <c r="BU11" s="1172" cm="1" t="str">
        <f t="array" ref="BU11:BU11">BU25</f>
        <v>2 полугодие</v>
      </c>
      <c r="BV11" s="1172" cm="1" t="str">
        <f t="array" ref="BV11:BV11">BV25</f>
        <v>Год</v>
      </c>
      <c r="BW11" s="1172" cm="1" t="str">
        <f t="array" ref="BW11:BW11">BW25</f>
        <v>1 полугодие</v>
      </c>
      <c r="BX11" s="1172" cm="1" t="str">
        <f t="array" ref="BX11:BX11">BX25</f>
        <v>2 полугодие</v>
      </c>
      <c r="BY11" s="1172" cm="1" t="str">
        <f t="array" ref="BY11:BY11">BY25</f>
        <v>Год</v>
      </c>
      <c r="BZ11" s="1172" cm="1" t="str">
        <f t="array" ref="BZ11:BZ11">BZ25</f>
        <v>1 полугодие</v>
      </c>
      <c r="CA11" s="1172" cm="1" t="str">
        <f t="array" ref="CA11:CA11">CA25</f>
        <v>2 полугодие</v>
      </c>
      <c r="CB11" s="1172" cm="1" t="str">
        <f t="array" ref="CB11:CB11">CB25</f>
        <v>Год</v>
      </c>
      <c r="CC11" s="1172" cm="1" t="str">
        <f t="array" ref="CC11:CC11">CC25</f>
        <v>1 полугодие</v>
      </c>
      <c r="CD11" s="1172" cm="1" t="str">
        <f t="array" ref="CD11:CD11">CD25</f>
        <v>2 полугодие</v>
      </c>
      <c r="CE11" s="1172" cm="1" t="str">
        <f t="array" ref="CE11:CE11">CE25</f>
        <v>Год</v>
      </c>
      <c r="CF11" s="1172" cm="1" t="str">
        <f t="array" ref="CF11:CF11">CF25</f>
        <v>1 полугодие</v>
      </c>
      <c r="CG11" s="1172" cm="1" t="str">
        <f t="array" ref="CG11:CG11">CG25</f>
        <v>2 полугодие</v>
      </c>
      <c r="CH11" s="1172" cm="1" t="str">
        <f t="array" ref="CH11:CH11">CH25</f>
        <v>Год</v>
      </c>
      <c r="CI11" s="1172" cm="1" t="str">
        <f t="array" ref="CI11:CI11">CI25</f>
        <v>1 полугодие</v>
      </c>
      <c r="CJ11" s="1172" cm="1" t="str">
        <f t="array" ref="CJ11:CJ11">CJ25</f>
        <v>2 полугодие</v>
      </c>
      <c r="CK11" s="1172" cm="1" t="str">
        <f t="array" ref="CK11:CK11">CK25</f>
        <v>Год</v>
      </c>
      <c r="CL11" s="1172" cm="1" t="str">
        <f t="array" ref="CL11:CL11">CL25</f>
        <v>1 полугодие</v>
      </c>
      <c r="CM11" s="1172" cm="1" t="str">
        <f t="array" ref="CM11:CM11">CM25</f>
        <v>2 полугодие</v>
      </c>
      <c r="CN11" s="1172" cm="1" t="str">
        <f t="array" ref="CN11:CN11">CN25</f>
        <v>Год</v>
      </c>
      <c r="CO11" s="1172" cm="1" t="str">
        <f t="array" ref="CO11:CO11">CO25</f>
        <v>1 полугодие</v>
      </c>
      <c r="CP11" s="1172" cm="1" t="str">
        <f t="array" ref="CP11:CP11">CP25</f>
        <v>2 полугодие</v>
      </c>
      <c r="CQ11" s="1172" cm="1" t="str">
        <f t="array" ref="CQ11:CQ11">CQ25</f>
        <v>Год</v>
      </c>
      <c r="CR11" s="1172" cm="1" t="str">
        <f t="array" ref="CR11:CR11">CR25</f>
        <v>1 полугодие</v>
      </c>
      <c r="CS11" s="1172" cm="1" t="str">
        <f t="array" ref="CS11:CS11">CS25</f>
        <v>2 полугодие</v>
      </c>
      <c r="CT11" s="1739" cm="1" t="str">
        <f t="array" ref="CT11:CT11">CT24</f>
        <v>Ссылка на правовую норму (основание для принятия показателя в расчет тарифа)</v>
      </c>
      <c r="CW11" s="1173"/>
    </row>
    <row s="1172" customFormat="1" customHeight="1" ht="12" hidden="1">
      <c r="A12" s="1171" t="s">
        <v>384</v>
      </c>
      <c r="B12" s="1154"/>
      <c r="E12" s="1154"/>
      <c r="G12" s="1174"/>
      <c r="H12" s="1174"/>
      <c r="I12" s="1174"/>
      <c r="J12" s="1174"/>
      <c r="K12" s="1174"/>
      <c r="L12" s="1174"/>
      <c r="M12" s="1174"/>
      <c r="N12" s="1174"/>
      <c r="O12" s="1174"/>
      <c r="P12" s="1174"/>
      <c r="Q12" s="1174"/>
      <c r="S12" s="1163"/>
      <c r="AE12" s="1739" t="s">
        <v>375</v>
      </c>
      <c r="AF12" s="1739" t="s">
        <v>723</v>
      </c>
      <c r="AO12" s="1739"/>
      <c r="AP12" s="1739"/>
      <c r="AQ12" s="1739"/>
      <c r="AR12" s="1739"/>
      <c r="AS12" s="1739"/>
      <c r="AT12" s="1739"/>
      <c r="AU12" s="1739"/>
      <c r="AV12" s="1739"/>
      <c r="AW12" s="1739"/>
      <c r="AX12" s="1739"/>
      <c r="AY12" s="1739"/>
      <c r="AZ12" s="1739"/>
      <c r="BA12" s="1739"/>
      <c r="BB12" s="1739"/>
      <c r="BC12" s="1739"/>
      <c r="BD12" s="1739"/>
      <c r="BE12" s="1739"/>
      <c r="BF12" s="1739"/>
      <c r="BG12" s="1739"/>
      <c r="BH12" s="1739"/>
      <c r="BI12" s="1739"/>
      <c r="BJ12" s="1739"/>
      <c r="BK12" s="1739"/>
      <c r="BL12" s="1739"/>
      <c r="BM12" s="1739"/>
      <c r="BN12" s="1739"/>
      <c r="BO12" s="1739"/>
      <c r="BP12" s="1739"/>
      <c r="BQ12" s="1739"/>
      <c r="BR12" s="1739"/>
      <c r="BS12" s="1739"/>
      <c r="BT12" s="1739"/>
      <c r="BU12" s="1739"/>
      <c r="BV12" s="1739"/>
      <c r="BW12" s="1739"/>
      <c r="BX12" s="1739"/>
      <c r="BY12" s="1739"/>
      <c r="BZ12" s="1739"/>
      <c r="CA12" s="1739"/>
      <c r="CB12" s="1739"/>
      <c r="CC12" s="1739"/>
      <c r="CD12" s="1739"/>
      <c r="CE12" s="1739"/>
      <c r="CF12" s="1739"/>
      <c r="CG12" s="1739"/>
      <c r="CH12" s="1739"/>
      <c r="CI12" s="1739"/>
      <c r="CJ12" s="1739"/>
      <c r="CK12" s="1739"/>
      <c r="CL12" s="1739"/>
      <c r="CM12" s="1739"/>
      <c r="CN12" s="1739"/>
      <c r="CO12" s="1739"/>
      <c r="CP12" s="1739"/>
      <c r="CQ12" s="1739"/>
      <c r="CR12" s="1739"/>
      <c r="CS12" s="1739"/>
      <c r="CW12" s="1173"/>
    </row>
    <row s="1443" customFormat="1" customHeight="1" ht="12" hidden="1">
      <c r="B13" s="788"/>
      <c r="E13" s="797"/>
      <c r="G13" s="736"/>
      <c r="H13" s="736"/>
      <c r="I13" s="736"/>
      <c r="J13" s="736"/>
      <c r="K13" s="736"/>
      <c r="L13" s="736"/>
      <c r="M13" s="736"/>
      <c r="N13" s="736"/>
      <c r="O13" s="736"/>
      <c r="P13" s="736"/>
      <c r="Q13" s="736"/>
      <c r="S13" s="922"/>
      <c r="AO13" s="1734"/>
      <c r="AP13" s="1734"/>
      <c r="AQ13" s="1734"/>
      <c r="AR13" s="1734"/>
      <c r="AS13" s="1734"/>
      <c r="AT13" s="1734"/>
      <c r="AU13" s="1734"/>
      <c r="AV13" s="1734"/>
      <c r="AW13" s="1734"/>
      <c r="AX13" s="1734"/>
      <c r="AY13" s="1734"/>
      <c r="AZ13" s="1734"/>
      <c r="BA13" s="1734"/>
      <c r="BB13" s="1734"/>
      <c r="BC13" s="1734"/>
      <c r="BD13" s="1734"/>
      <c r="BE13" s="1734"/>
      <c r="BF13" s="1734"/>
      <c r="BG13" s="1734"/>
      <c r="BH13" s="1734"/>
      <c r="BI13" s="1734"/>
      <c r="BJ13" s="1734"/>
      <c r="BK13" s="1734"/>
      <c r="BL13" s="1734"/>
      <c r="BM13" s="1734"/>
      <c r="BN13" s="1734"/>
      <c r="BO13" s="1734"/>
      <c r="BP13" s="1734"/>
      <c r="BQ13" s="1734"/>
      <c r="BR13" s="1734"/>
      <c r="BS13" s="1734"/>
      <c r="BT13" s="1734"/>
      <c r="BU13" s="1734"/>
      <c r="BV13" s="1734"/>
      <c r="BW13" s="1734"/>
      <c r="BX13" s="1734"/>
      <c r="BY13" s="1734"/>
      <c r="BZ13" s="1734"/>
      <c r="CA13" s="1734"/>
      <c r="CB13" s="1734"/>
      <c r="CC13" s="1734"/>
      <c r="CD13" s="1734"/>
      <c r="CE13" s="1734"/>
      <c r="CF13" s="1734"/>
      <c r="CG13" s="1734"/>
      <c r="CH13" s="1734"/>
      <c r="CI13" s="1734"/>
      <c r="CJ13" s="1734"/>
      <c r="CK13" s="1734"/>
      <c r="CL13" s="1734"/>
      <c r="CM13" s="1734"/>
      <c r="CN13" s="1734"/>
      <c r="CO13" s="1734"/>
      <c r="CP13" s="1734"/>
      <c r="CQ13" s="1734"/>
      <c r="CR13" s="1734"/>
      <c r="CS13" s="1734"/>
      <c r="CW13" s="1173"/>
      <c r="CX13" s="1172"/>
      <c r="CY13" s="1172"/>
      <c r="CZ13" s="1172"/>
      <c r="DA13" s="1175"/>
      <c r="DB13" s="1175"/>
    </row>
    <row s="1443" customFormat="1" customHeight="1" ht="12" hidden="1">
      <c r="B14" s="788"/>
      <c r="E14" s="797"/>
      <c r="G14" s="736"/>
      <c r="H14" s="736"/>
      <c r="I14" s="736"/>
      <c r="J14" s="736"/>
      <c r="K14" s="736"/>
      <c r="L14" s="736"/>
      <c r="M14" s="736"/>
      <c r="N14" s="736"/>
      <c r="O14" s="736"/>
      <c r="P14" s="736"/>
      <c r="Q14" s="736"/>
      <c r="S14" s="922"/>
      <c r="AO14" s="1734"/>
      <c r="AP14" s="1734"/>
      <c r="AQ14" s="1734"/>
      <c r="AR14" s="1734"/>
      <c r="AS14" s="1734"/>
      <c r="AT14" s="1734"/>
      <c r="AU14" s="1734"/>
      <c r="AV14" s="1734"/>
      <c r="AW14" s="1734"/>
      <c r="AX14" s="1734"/>
      <c r="AY14" s="1734"/>
      <c r="AZ14" s="1734"/>
      <c r="BA14" s="1734"/>
      <c r="BB14" s="1734"/>
      <c r="BC14" s="1734"/>
      <c r="BD14" s="1734"/>
      <c r="BE14" s="1734"/>
      <c r="BF14" s="1734"/>
      <c r="BG14" s="1734"/>
      <c r="BH14" s="1734"/>
      <c r="BI14" s="1734"/>
      <c r="BJ14" s="1734"/>
      <c r="BK14" s="1734"/>
      <c r="BL14" s="1734"/>
      <c r="BM14" s="1734"/>
      <c r="BN14" s="1734"/>
      <c r="BO14" s="1734"/>
      <c r="BP14" s="1734"/>
      <c r="BQ14" s="1734"/>
      <c r="BR14" s="1734"/>
      <c r="BS14" s="1734"/>
      <c r="BT14" s="1734"/>
      <c r="BU14" s="1734"/>
      <c r="BV14" s="1734"/>
      <c r="BW14" s="1734"/>
      <c r="BX14" s="1734"/>
      <c r="BY14" s="1734"/>
      <c r="BZ14" s="1734"/>
      <c r="CA14" s="1734"/>
      <c r="CB14" s="1734"/>
      <c r="CC14" s="1734"/>
      <c r="CD14" s="1734"/>
      <c r="CE14" s="1734"/>
      <c r="CF14" s="1734"/>
      <c r="CG14" s="1734"/>
      <c r="CH14" s="1734"/>
      <c r="CI14" s="1734"/>
      <c r="CJ14" s="1734"/>
      <c r="CK14" s="1734"/>
      <c r="CL14" s="1734"/>
      <c r="CM14" s="1734"/>
      <c r="CN14" s="1734"/>
      <c r="CO14" s="1734"/>
      <c r="CP14" s="1734"/>
      <c r="CQ14" s="1734"/>
      <c r="CR14" s="1734"/>
      <c r="CS14" s="1734"/>
      <c r="CW14" s="1173"/>
      <c r="CX14" s="1172"/>
      <c r="CY14" s="1172"/>
      <c r="CZ14" s="1172"/>
      <c r="DA14" s="1175"/>
      <c r="DB14" s="1175"/>
    </row>
    <row s="1443" customFormat="1" customHeight="1" ht="12" hidden="1">
      <c r="B15" s="788"/>
      <c r="E15" s="797"/>
      <c r="G15" s="736"/>
      <c r="H15" s="736"/>
      <c r="I15" s="736"/>
      <c r="J15" s="736"/>
      <c r="K15" s="736"/>
      <c r="L15" s="736"/>
      <c r="M15" s="736"/>
      <c r="N15" s="736"/>
      <c r="O15" s="736"/>
      <c r="P15" s="736"/>
      <c r="Q15" s="736"/>
      <c r="S15" s="922"/>
      <c r="AO15" s="1734"/>
      <c r="AP15" s="1734"/>
      <c r="AQ15" s="1734"/>
      <c r="AR15" s="1734"/>
      <c r="AS15" s="1734"/>
      <c r="AT15" s="1734"/>
      <c r="AU15" s="1734"/>
      <c r="AV15" s="1734"/>
      <c r="AW15" s="1734"/>
      <c r="AX15" s="1734"/>
      <c r="AY15" s="1734"/>
      <c r="AZ15" s="1734"/>
      <c r="BA15" s="1734"/>
      <c r="BB15" s="1734"/>
      <c r="BC15" s="1734"/>
      <c r="BD15" s="1734"/>
      <c r="BE15" s="1734"/>
      <c r="BF15" s="1734"/>
      <c r="BG15" s="1734"/>
      <c r="BH15" s="1734"/>
      <c r="BI15" s="1734"/>
      <c r="BJ15" s="1734"/>
      <c r="BK15" s="1734"/>
      <c r="BL15" s="1734"/>
      <c r="BM15" s="1734"/>
      <c r="BN15" s="1734"/>
      <c r="BO15" s="1734"/>
      <c r="BP15" s="1734"/>
      <c r="BQ15" s="1734"/>
      <c r="BR15" s="1734"/>
      <c r="BS15" s="1734"/>
      <c r="BT15" s="1734"/>
      <c r="BU15" s="1734"/>
      <c r="BV15" s="1734"/>
      <c r="BW15" s="1734"/>
      <c r="BX15" s="1734"/>
      <c r="BY15" s="1734"/>
      <c r="BZ15" s="1734"/>
      <c r="CA15" s="1734"/>
      <c r="CB15" s="1734"/>
      <c r="CC15" s="1734"/>
      <c r="CD15" s="1734"/>
      <c r="CE15" s="1734"/>
      <c r="CF15" s="1734"/>
      <c r="CG15" s="1734"/>
      <c r="CH15" s="1734"/>
      <c r="CI15" s="1734"/>
      <c r="CJ15" s="1734"/>
      <c r="CK15" s="1734"/>
      <c r="CL15" s="1734"/>
      <c r="CM15" s="1734"/>
      <c r="CN15" s="1734"/>
      <c r="CO15" s="1734"/>
      <c r="CP15" s="1734"/>
      <c r="CQ15" s="1734"/>
      <c r="CR15" s="1734"/>
      <c r="CS15" s="1734"/>
      <c r="CW15" s="1173"/>
      <c r="CX15" s="1172"/>
      <c r="CY15" s="1172"/>
      <c r="CZ15" s="1172"/>
      <c r="DA15" s="1175"/>
      <c r="DB15" s="1175"/>
    </row>
    <row s="1443" customFormat="1" customHeight="1" ht="12" hidden="1">
      <c r="B16" s="788"/>
      <c r="E16" s="797"/>
      <c r="G16" s="736"/>
      <c r="H16" s="736"/>
      <c r="I16" s="736"/>
      <c r="J16" s="736"/>
      <c r="K16" s="736"/>
      <c r="L16" s="736"/>
      <c r="M16" s="736"/>
      <c r="N16" s="736"/>
      <c r="O16" s="736"/>
      <c r="P16" s="736"/>
      <c r="Q16" s="736"/>
      <c r="S16" s="922"/>
      <c r="AO16" s="1734"/>
      <c r="AP16" s="1734"/>
      <c r="AQ16" s="1734"/>
      <c r="AR16" s="1734"/>
      <c r="AS16" s="1734"/>
      <c r="AT16" s="1734"/>
      <c r="AU16" s="1734"/>
      <c r="AV16" s="1734"/>
      <c r="AW16" s="1734"/>
      <c r="AX16" s="1734"/>
      <c r="AY16" s="1734"/>
      <c r="AZ16" s="1734"/>
      <c r="BA16" s="1734"/>
      <c r="BB16" s="1734"/>
      <c r="BC16" s="1734"/>
      <c r="BD16" s="1734"/>
      <c r="BE16" s="1734"/>
      <c r="BF16" s="1734"/>
      <c r="BG16" s="1734"/>
      <c r="BH16" s="1734"/>
      <c r="BI16" s="1734"/>
      <c r="BJ16" s="1734"/>
      <c r="BK16" s="1734"/>
      <c r="BL16" s="1734"/>
      <c r="BM16" s="1734"/>
      <c r="BN16" s="1734"/>
      <c r="BO16" s="1734"/>
      <c r="BP16" s="1734"/>
      <c r="BQ16" s="1734"/>
      <c r="BR16" s="1734"/>
      <c r="BS16" s="1734"/>
      <c r="BT16" s="1734"/>
      <c r="BU16" s="1734"/>
      <c r="BV16" s="1734"/>
      <c r="BW16" s="1734"/>
      <c r="BX16" s="1734"/>
      <c r="BY16" s="1734"/>
      <c r="BZ16" s="1734"/>
      <c r="CA16" s="1734"/>
      <c r="CB16" s="1734"/>
      <c r="CC16" s="1734"/>
      <c r="CD16" s="1734"/>
      <c r="CE16" s="1734"/>
      <c r="CF16" s="1734"/>
      <c r="CG16" s="1734"/>
      <c r="CH16" s="1734"/>
      <c r="CI16" s="1734"/>
      <c r="CJ16" s="1734"/>
      <c r="CK16" s="1734"/>
      <c r="CL16" s="1734"/>
      <c r="CM16" s="1734"/>
      <c r="CN16" s="1734"/>
      <c r="CO16" s="1734"/>
      <c r="CP16" s="1734"/>
      <c r="CQ16" s="1734"/>
      <c r="CR16" s="1734"/>
      <c r="CS16" s="1734"/>
      <c r="CW16" s="1173"/>
      <c r="CX16" s="1172"/>
      <c r="CY16" s="1172"/>
      <c r="CZ16" s="1172"/>
      <c r="DA16" s="1175"/>
      <c r="DB16" s="1175"/>
    </row>
    <row s="1443" customFormat="1" customHeight="1" ht="12" hidden="1">
      <c r="B17" s="788"/>
      <c r="E17" s="797"/>
      <c r="G17" s="736"/>
      <c r="H17" s="736"/>
      <c r="I17" s="736"/>
      <c r="J17" s="736"/>
      <c r="K17" s="736"/>
      <c r="L17" s="736"/>
      <c r="M17" s="736"/>
      <c r="N17" s="736"/>
      <c r="O17" s="736"/>
      <c r="P17" s="736"/>
      <c r="Q17" s="736"/>
      <c r="S17" s="922"/>
      <c r="AO17" s="1734"/>
      <c r="AP17" s="1734"/>
      <c r="AQ17" s="1734"/>
      <c r="AR17" s="1734"/>
      <c r="AS17" s="1734"/>
      <c r="AT17" s="1734"/>
      <c r="AU17" s="1734"/>
      <c r="AV17" s="1734"/>
      <c r="AW17" s="1734"/>
      <c r="AX17" s="1734"/>
      <c r="AY17" s="1734"/>
      <c r="AZ17" s="1734"/>
      <c r="BA17" s="1734"/>
      <c r="BB17" s="1734"/>
      <c r="BC17" s="1734"/>
      <c r="BD17" s="1734"/>
      <c r="BE17" s="1734"/>
      <c r="BF17" s="1734"/>
      <c r="BG17" s="1734"/>
      <c r="BH17" s="1734"/>
      <c r="BI17" s="1734"/>
      <c r="BJ17" s="1734"/>
      <c r="BK17" s="1734"/>
      <c r="BL17" s="1734"/>
      <c r="BM17" s="1734"/>
      <c r="BN17" s="1734"/>
      <c r="BO17" s="1734"/>
      <c r="BP17" s="1734"/>
      <c r="BQ17" s="1734"/>
      <c r="BR17" s="1734"/>
      <c r="BS17" s="1734"/>
      <c r="BT17" s="1734"/>
      <c r="BU17" s="1734"/>
      <c r="BV17" s="1734"/>
      <c r="BW17" s="1734"/>
      <c r="BX17" s="1734"/>
      <c r="BY17" s="1734"/>
      <c r="BZ17" s="1734"/>
      <c r="CA17" s="1734"/>
      <c r="CB17" s="1734"/>
      <c r="CC17" s="1734"/>
      <c r="CD17" s="1734"/>
      <c r="CE17" s="1734"/>
      <c r="CF17" s="1734"/>
      <c r="CG17" s="1734"/>
      <c r="CH17" s="1734"/>
      <c r="CI17" s="1734"/>
      <c r="CJ17" s="1734"/>
      <c r="CK17" s="1734"/>
      <c r="CL17" s="1734"/>
      <c r="CM17" s="1734"/>
      <c r="CN17" s="1734"/>
      <c r="CO17" s="1734"/>
      <c r="CP17" s="1734"/>
      <c r="CQ17" s="1734"/>
      <c r="CR17" s="1734"/>
      <c r="CS17" s="1734"/>
      <c r="CW17" s="1173"/>
      <c r="CX17" s="1172"/>
      <c r="CY17" s="1172"/>
      <c r="CZ17" s="1172"/>
      <c r="DA17" s="1175"/>
      <c r="DB17" s="1175"/>
    </row>
    <row s="1443" customFormat="1" customHeight="1" ht="12" hidden="1">
      <c r="A18" s="1020" t="s">
        <v>495</v>
      </c>
      <c r="B18" s="788"/>
      <c r="E18" s="797"/>
      <c r="G18" s="736"/>
      <c r="H18" s="736"/>
      <c r="I18" s="736"/>
      <c r="J18" s="736"/>
      <c r="K18" s="736"/>
      <c r="L18" s="736"/>
      <c r="M18" s="736"/>
      <c r="N18" s="736"/>
      <c r="O18" s="736"/>
      <c r="P18" s="736"/>
      <c r="Q18" s="736"/>
      <c r="S18" s="922"/>
      <c r="AE18" s="1734" t="s">
        <v>724</v>
      </c>
      <c r="AF18" s="1734" t="s">
        <v>725</v>
      </c>
      <c r="AO18" s="1734"/>
      <c r="AP18" s="1734"/>
      <c r="AQ18" s="1734"/>
      <c r="AR18" s="1734"/>
      <c r="AS18" s="1734"/>
      <c r="AT18" s="1734"/>
      <c r="AU18" s="1734"/>
      <c r="AV18" s="1734"/>
      <c r="AW18" s="1734"/>
      <c r="AX18" s="1734"/>
      <c r="AY18" s="1734"/>
      <c r="AZ18" s="1734"/>
      <c r="BA18" s="1734"/>
      <c r="BB18" s="1734"/>
      <c r="BC18" s="1734"/>
      <c r="BD18" s="1734"/>
      <c r="BE18" s="1734"/>
      <c r="BF18" s="1734"/>
      <c r="BG18" s="1734"/>
      <c r="BH18" s="1734"/>
      <c r="BI18" s="1734"/>
      <c r="BJ18" s="1734"/>
      <c r="BK18" s="1734"/>
      <c r="BL18" s="1734"/>
      <c r="BM18" s="1734"/>
      <c r="BN18" s="1734"/>
      <c r="BO18" s="1734"/>
      <c r="BP18" s="1734"/>
      <c r="BQ18" s="1734"/>
      <c r="BR18" s="1734"/>
      <c r="BS18" s="1734"/>
      <c r="BT18" s="1734"/>
      <c r="BU18" s="1734"/>
      <c r="BV18" s="1734"/>
      <c r="BW18" s="1734"/>
      <c r="BX18" s="1734"/>
      <c r="BY18" s="1734"/>
      <c r="BZ18" s="1734"/>
      <c r="CA18" s="1734"/>
      <c r="CB18" s="1734"/>
      <c r="CC18" s="1734"/>
      <c r="CD18" s="1734"/>
      <c r="CE18" s="1734"/>
      <c r="CF18" s="1734"/>
      <c r="CG18" s="1734"/>
      <c r="CH18" s="1734"/>
      <c r="CI18" s="1734"/>
      <c r="CJ18" s="1734"/>
      <c r="CK18" s="1734"/>
      <c r="CL18" s="1734"/>
      <c r="CM18" s="1734"/>
      <c r="CN18" s="1734"/>
      <c r="CO18" s="1734"/>
      <c r="CP18" s="1734"/>
      <c r="CQ18" s="1734"/>
      <c r="CR18" s="1734"/>
      <c r="CS18" s="1734"/>
      <c r="CW18" s="1173"/>
      <c r="CX18" s="1172"/>
      <c r="CY18" s="1172"/>
      <c r="CZ18" s="1172"/>
      <c r="DA18" s="1175"/>
      <c r="DB18" s="1175"/>
    </row>
    <row s="1443" customFormat="1" customHeight="1" ht="12" hidden="1">
      <c r="B19" s="788"/>
      <c r="E19" s="797"/>
      <c r="G19" s="736"/>
      <c r="H19" s="736"/>
      <c r="I19" s="736"/>
      <c r="J19" s="736"/>
      <c r="K19" s="736"/>
      <c r="L19" s="736"/>
      <c r="M19" s="736"/>
      <c r="N19" s="736"/>
      <c r="O19" s="736"/>
      <c r="P19" s="736"/>
      <c r="Q19" s="736"/>
      <c r="S19" s="922"/>
      <c r="AO19" s="1734"/>
      <c r="AP19" s="1734"/>
      <c r="AQ19" s="1734"/>
      <c r="AR19" s="1734"/>
      <c r="AS19" s="1734"/>
      <c r="AT19" s="1734"/>
      <c r="AU19" s="1734"/>
      <c r="AV19" s="1734"/>
      <c r="AW19" s="1734"/>
      <c r="AX19" s="1734"/>
      <c r="AY19" s="1734"/>
      <c r="AZ19" s="1734"/>
      <c r="BA19" s="1734"/>
      <c r="BB19" s="1734"/>
      <c r="BC19" s="1734"/>
      <c r="BD19" s="1734"/>
      <c r="BE19" s="1734"/>
      <c r="BF19" s="1734"/>
      <c r="BG19" s="1734"/>
      <c r="BH19" s="1734"/>
      <c r="BI19" s="1734"/>
      <c r="BJ19" s="1734"/>
      <c r="BK19" s="1734"/>
      <c r="BL19" s="1734"/>
      <c r="BM19" s="1734"/>
      <c r="BN19" s="1734"/>
      <c r="BO19" s="1734"/>
      <c r="BP19" s="1734"/>
      <c r="BQ19" s="1734"/>
      <c r="BR19" s="1734"/>
      <c r="BS19" s="1734"/>
      <c r="BT19" s="1734"/>
      <c r="BU19" s="1734"/>
      <c r="BV19" s="1734"/>
      <c r="BW19" s="1734"/>
      <c r="BX19" s="1734"/>
      <c r="BY19" s="1734"/>
      <c r="BZ19" s="1734"/>
      <c r="CA19" s="1734"/>
      <c r="CB19" s="1734"/>
      <c r="CC19" s="1734"/>
      <c r="CD19" s="1734"/>
      <c r="CE19" s="1734"/>
      <c r="CF19" s="1734"/>
      <c r="CG19" s="1734"/>
      <c r="CH19" s="1734"/>
      <c r="CI19" s="1734"/>
      <c r="CJ19" s="1734"/>
      <c r="CK19" s="1734"/>
      <c r="CL19" s="1734"/>
      <c r="CM19" s="1734"/>
      <c r="CN19" s="1734"/>
      <c r="CO19" s="1734"/>
      <c r="CP19" s="1734"/>
      <c r="CQ19" s="1734"/>
      <c r="CR19" s="1734"/>
      <c r="CS19" s="1734"/>
      <c r="CW19" s="1173"/>
      <c r="CX19" s="1172"/>
      <c r="CY19" s="1172"/>
      <c r="CZ19" s="1172"/>
      <c r="DA19" s="1175"/>
      <c r="DB19" s="1175"/>
    </row>
    <row s="1443" customFormat="1" customHeight="1" ht="12" hidden="1">
      <c r="B20" s="788"/>
      <c r="E20" s="797"/>
      <c r="G20" s="736"/>
      <c r="H20" s="736"/>
      <c r="I20" s="736"/>
      <c r="J20" s="736"/>
      <c r="K20" s="736"/>
      <c r="L20" s="736"/>
      <c r="M20" s="736"/>
      <c r="N20" s="736"/>
      <c r="O20" s="736"/>
      <c r="P20" s="736"/>
      <c r="Q20" s="736"/>
      <c r="S20" s="922"/>
      <c r="AO20" s="1734"/>
      <c r="AP20" s="1734"/>
      <c r="AQ20" s="1734"/>
      <c r="AR20" s="1734"/>
      <c r="AS20" s="1734"/>
      <c r="AT20" s="1734"/>
      <c r="AU20" s="1734"/>
      <c r="AV20" s="1734"/>
      <c r="AW20" s="1734"/>
      <c r="AX20" s="1734"/>
      <c r="AY20" s="1734"/>
      <c r="AZ20" s="1734"/>
      <c r="BA20" s="1734"/>
      <c r="BB20" s="1734"/>
      <c r="BC20" s="1734"/>
      <c r="BD20" s="1734"/>
      <c r="BE20" s="1734"/>
      <c r="BF20" s="1734"/>
      <c r="BG20" s="1734"/>
      <c r="BH20" s="1734"/>
      <c r="BI20" s="1734"/>
      <c r="BJ20" s="1734"/>
      <c r="BK20" s="1734"/>
      <c r="BL20" s="1734"/>
      <c r="BM20" s="1734"/>
      <c r="BN20" s="1734"/>
      <c r="BO20" s="1734"/>
      <c r="BP20" s="1734"/>
      <c r="BQ20" s="1734"/>
      <c r="BR20" s="1734"/>
      <c r="BS20" s="1734"/>
      <c r="BT20" s="1734"/>
      <c r="BU20" s="1734"/>
      <c r="BV20" s="1734"/>
      <c r="BW20" s="1734"/>
      <c r="BX20" s="1734"/>
      <c r="BY20" s="1734"/>
      <c r="BZ20" s="1734"/>
      <c r="CA20" s="1734"/>
      <c r="CB20" s="1734"/>
      <c r="CC20" s="1734"/>
      <c r="CD20" s="1734"/>
      <c r="CE20" s="1734"/>
      <c r="CF20" s="1734"/>
      <c r="CG20" s="1734"/>
      <c r="CH20" s="1734"/>
      <c r="CI20" s="1734"/>
      <c r="CJ20" s="1734"/>
      <c r="CK20" s="1734"/>
      <c r="CL20" s="1734"/>
      <c r="CM20" s="1734"/>
      <c r="CN20" s="1734"/>
      <c r="CO20" s="1734"/>
      <c r="CP20" s="1734"/>
      <c r="CQ20" s="1734"/>
      <c r="CR20" s="1734"/>
      <c r="CS20" s="1734"/>
      <c r="CW20" s="1173"/>
      <c r="CX20" s="1172"/>
      <c r="CY20" s="1172"/>
      <c r="CZ20" s="1172"/>
      <c r="DA20" s="1175"/>
      <c r="DB20" s="1175"/>
    </row>
    <row s="820" customFormat="1" customHeight="1" ht="11.115">
      <c r="A21" s="159"/>
      <c r="B21" s="788"/>
      <c r="C21" s="159"/>
      <c r="D21" s="159"/>
      <c r="E21" s="797">
        <v>11.4</v>
      </c>
      <c r="F21" s="159"/>
      <c r="G21" s="736"/>
      <c r="H21" s="736"/>
      <c r="I21" s="736"/>
      <c r="J21" s="736"/>
      <c r="K21" s="736"/>
      <c r="L21" s="736"/>
      <c r="M21" s="736"/>
      <c r="N21" s="736"/>
      <c r="O21" s="736"/>
      <c r="P21" s="736"/>
      <c r="Q21" s="736"/>
      <c r="R21" s="159"/>
      <c r="S21" s="922"/>
      <c r="T21" s="159"/>
      <c r="U21" s="159"/>
      <c r="V21" s="159"/>
      <c r="W21" s="159"/>
      <c r="X21" s="159"/>
      <c r="Y21" s="159"/>
      <c r="Z21" s="159"/>
      <c r="AA21" s="820"/>
      <c r="AE21" s="1741" cm="1" t="str">
        <f t="array" ref="AE21:AE21">tpl_title</f>
        <v>Кемеровская область / 2026 / ООО "ВЕЛЕС" (ИНН:4212036655, КПП:421201001) / ДПР: 2016-2025</v>
      </c>
      <c r="AO21" s="1742"/>
      <c r="AP21" s="1742"/>
      <c r="AQ21" s="1742"/>
      <c r="AR21" s="1742"/>
      <c r="AS21" s="1742"/>
      <c r="AT21" s="1742"/>
      <c r="AU21" s="1742"/>
      <c r="AV21" s="1742"/>
      <c r="AW21" s="1742"/>
      <c r="AX21" s="1742"/>
      <c r="AY21" s="1742"/>
      <c r="AZ21" s="1742"/>
      <c r="BA21" s="1742"/>
      <c r="BB21" s="1742"/>
      <c r="BC21" s="1742"/>
      <c r="BD21" s="1742"/>
      <c r="BE21" s="1742"/>
      <c r="BF21" s="1742"/>
      <c r="BG21" s="1742"/>
      <c r="BH21" s="1742"/>
      <c r="BI21" s="1742"/>
      <c r="BJ21" s="1742"/>
      <c r="BK21" s="1742"/>
      <c r="BL21" s="1742"/>
      <c r="BM21" s="1742"/>
      <c r="BN21" s="1742"/>
      <c r="BO21" s="1742"/>
      <c r="BP21" s="1742"/>
      <c r="BQ21" s="1742"/>
      <c r="BR21" s="1742"/>
      <c r="BS21" s="1742"/>
      <c r="BT21" s="1742"/>
      <c r="BU21" s="1742"/>
      <c r="BV21" s="1742"/>
      <c r="BW21" s="1742"/>
      <c r="BX21" s="1742"/>
      <c r="BY21" s="1742"/>
      <c r="BZ21" s="1742"/>
      <c r="CA21" s="1742"/>
      <c r="CB21" s="1742"/>
      <c r="CC21" s="1742"/>
      <c r="CD21" s="1742"/>
      <c r="CE21" s="1742"/>
      <c r="CF21" s="1742"/>
      <c r="CG21" s="1742"/>
      <c r="CH21" s="1742"/>
      <c r="CI21" s="1742"/>
      <c r="CJ21" s="1742"/>
      <c r="CK21" s="1742"/>
      <c r="CL21" s="1742"/>
      <c r="CM21" s="1742"/>
      <c r="CN21" s="1742"/>
      <c r="CO21" s="1742"/>
      <c r="CP21" s="1742"/>
      <c r="CQ21" s="1742"/>
      <c r="CR21" s="1742"/>
      <c r="CS21" s="1742"/>
      <c r="CW21" s="1173"/>
      <c r="CX21" s="1178"/>
      <c r="CY21" s="1178"/>
      <c r="CZ21" s="1178"/>
      <c r="DA21" s="1179"/>
      <c r="DB21" s="1179"/>
    </row>
    <row s="965" customFormat="1" customHeight="1" ht="19.5975">
      <c r="A22" s="179"/>
      <c r="B22" s="788"/>
      <c r="C22" s="179"/>
      <c r="D22" s="179"/>
      <c r="E22" s="797">
        <v>20.1</v>
      </c>
      <c r="F22" s="179"/>
      <c r="R22" s="179"/>
      <c r="S22" s="179"/>
      <c r="T22" s="179"/>
      <c r="U22" s="179"/>
      <c r="V22" s="179"/>
      <c r="W22" s="179"/>
      <c r="X22" s="179"/>
      <c r="Y22" s="179"/>
      <c r="Z22" s="179"/>
      <c r="AD22" s="1743" t="s">
        <v>37</v>
      </c>
      <c r="AE22" s="1743"/>
      <c r="AF22" s="1744"/>
      <c r="AG22" s="1745"/>
      <c r="AH22" s="1745"/>
      <c r="AI22" s="1745"/>
      <c r="AJ22" s="1745"/>
      <c r="AK22" s="1745"/>
      <c r="AL22" s="1745"/>
      <c r="AM22" s="1745"/>
      <c r="AN22" s="1745"/>
      <c r="AO22" s="307"/>
      <c r="AP22" s="307"/>
      <c r="AQ22" s="307"/>
      <c r="AR22" s="307"/>
      <c r="AS22" s="307"/>
      <c r="AT22" s="307"/>
      <c r="AU22" s="307"/>
      <c r="AV22" s="307"/>
      <c r="AW22" s="307"/>
      <c r="AX22" s="307"/>
      <c r="AY22" s="307"/>
      <c r="AZ22" s="307"/>
      <c r="BA22" s="307"/>
      <c r="BB22" s="307"/>
      <c r="BC22" s="307"/>
      <c r="BD22" s="307"/>
      <c r="BE22" s="307"/>
      <c r="BF22" s="307"/>
      <c r="BG22" s="1737"/>
      <c r="BH22" s="1737"/>
      <c r="BI22" s="1737"/>
      <c r="BJ22" s="1737"/>
      <c r="BK22" s="1737"/>
      <c r="BL22" s="1737"/>
      <c r="BM22" s="1737"/>
      <c r="BN22" s="1737"/>
      <c r="BO22" s="1737"/>
      <c r="BP22" s="1737"/>
      <c r="BQ22" s="1737"/>
      <c r="BR22" s="1737"/>
      <c r="BS22" s="1737"/>
      <c r="BT22" s="1737"/>
      <c r="BU22" s="1737"/>
      <c r="BV22" s="1737"/>
      <c r="BW22" s="1737"/>
      <c r="BX22" s="1737"/>
      <c r="BY22" s="1737"/>
      <c r="BZ22" s="1737"/>
      <c r="CA22" s="1737"/>
      <c r="CB22" s="1737"/>
      <c r="CC22" s="1737"/>
      <c r="CD22" s="1737"/>
      <c r="CE22" s="1737"/>
      <c r="CF22" s="1737"/>
      <c r="CG22" s="1737"/>
      <c r="CH22" s="1737"/>
      <c r="CI22" s="1737"/>
      <c r="CJ22" s="1737"/>
      <c r="CK22" s="1737"/>
      <c r="CL22" s="1737"/>
      <c r="CM22" s="1737"/>
      <c r="CN22" s="1737"/>
      <c r="CO22" s="1737"/>
      <c r="CP22" s="1737"/>
      <c r="CQ22" s="1737"/>
      <c r="CR22" s="1737"/>
      <c r="CS22" s="1737"/>
      <c r="CW22" s="1180"/>
      <c r="CX22" s="1159"/>
      <c r="CY22" s="1159"/>
      <c r="CZ22" s="1159"/>
      <c r="DA22" s="1181"/>
      <c r="DB22" s="1181"/>
    </row>
    <row customHeight="1" ht="11.115">
      <c r="E23" s="797">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7">
        <v>15.8</v>
      </c>
      <c r="AB24" s="1747" t="s">
        <v>726</v>
      </c>
      <c r="AC24" s="1512"/>
      <c r="AD24" s="1512"/>
      <c r="AE24" s="1512" t="s">
        <v>727</v>
      </c>
      <c r="AF24" s="1512"/>
      <c r="AG24" s="1512" t="s">
        <v>441</v>
      </c>
      <c r="AH24" s="1748" t="str">
        <f>god-2&amp;" год"</f>
        <v>2024 год</v>
      </c>
      <c r="AI24" s="1749" t="str">
        <f>god-2&amp;" год"</f>
        <v>2024 год</v>
      </c>
      <c r="AJ24" s="1750" t="str">
        <f>god-2&amp;" год"</f>
        <v>2024 год</v>
      </c>
      <c r="AK24" s="1751" t="str">
        <f>god-1&amp;" год"</f>
        <v>2025 год</v>
      </c>
      <c r="AL24" s="1752" t="str">
        <f>god&amp;" год"</f>
        <v>2026 год</v>
      </c>
      <c r="AM24" s="1752" cm="1" t="str">
        <f t="array" ref="AM24:AM24">AL24</f>
        <v>2026 год</v>
      </c>
      <c r="AN24" s="1752" cm="1" t="str">
        <f t="array" ref="AN24:AN24">AM24</f>
        <v>2026 год</v>
      </c>
      <c r="AO24" s="1356" t="str">
        <f>god+1&amp;" год"</f>
        <v>2027 год</v>
      </c>
      <c r="AP24" s="1356" cm="1" t="str">
        <f t="array" ref="AP24:AP24">AO24</f>
        <v>2027 год</v>
      </c>
      <c r="AQ24" s="1356" cm="1" t="str">
        <f t="array" ref="AQ24:AQ24">AP24</f>
        <v>2027 год</v>
      </c>
      <c r="AR24" s="1356" t="str">
        <f>god+2&amp;" год"</f>
        <v>2028 год</v>
      </c>
      <c r="AS24" s="1356" cm="1" t="str">
        <f t="array" ref="AS24:AS24">AR24</f>
        <v>2028 год</v>
      </c>
      <c r="AT24" s="1356" cm="1" t="str">
        <f t="array" ref="AT24:AT24">AS24</f>
        <v>2028 год</v>
      </c>
      <c r="AU24" s="1356" t="str">
        <f>god+3&amp;" год"</f>
        <v>2029 год</v>
      </c>
      <c r="AV24" s="1356" cm="1" t="str">
        <f t="array" ref="AV24:AV24">AU24</f>
        <v>2029 год</v>
      </c>
      <c r="AW24" s="1356" cm="1" t="str">
        <f t="array" ref="AW24:AW24">AV24</f>
        <v>2029 год</v>
      </c>
      <c r="AX24" s="1356" t="str">
        <f>god+4&amp;" год"</f>
        <v>2030 год</v>
      </c>
      <c r="AY24" s="1356" cm="1" t="str">
        <f t="array" ref="AY24:AY24">AX24</f>
        <v>2030 год</v>
      </c>
      <c r="AZ24" s="1356" cm="1" t="str">
        <f t="array" ref="AZ24:AZ24">AY24</f>
        <v>2030 год</v>
      </c>
      <c r="BA24" s="1356" t="str">
        <f>god+5&amp;" год"</f>
        <v>2031 год</v>
      </c>
      <c r="BB24" s="1356" cm="1" t="str">
        <f t="array" ref="BB24:BB24">BA24</f>
        <v>2031 год</v>
      </c>
      <c r="BC24" s="1356" cm="1" t="str">
        <f t="array" ref="BC24:BC24">BB24</f>
        <v>2031 год</v>
      </c>
      <c r="BD24" s="1356" t="str">
        <f>god+6&amp;" год"</f>
        <v>2032 год</v>
      </c>
      <c r="BE24" s="1356" cm="1" t="str">
        <f t="array" ref="BE24:BE24">BD24</f>
        <v>2032 год</v>
      </c>
      <c r="BF24" s="1356" cm="1" t="str">
        <f t="array" ref="BF24:BF24">BE24</f>
        <v>2032 год</v>
      </c>
      <c r="BG24" s="1356" t="str">
        <f>god+7&amp;" год"</f>
        <v>2033 год</v>
      </c>
      <c r="BH24" s="1356" cm="1" t="str">
        <f t="array" ref="BH24:BH24">BG24</f>
        <v>2033 год</v>
      </c>
      <c r="BI24" s="1356" cm="1" t="str">
        <f t="array" ref="BI24:BI24">BH24</f>
        <v>2033 год</v>
      </c>
      <c r="BJ24" s="1356" t="str">
        <f>god+8&amp;" год"</f>
        <v>2034 год</v>
      </c>
      <c r="BK24" s="1356" cm="1" t="str">
        <f t="array" ref="BK24:BK24">BJ24</f>
        <v>2034 год</v>
      </c>
      <c r="BL24" s="1356" cm="1" t="str">
        <f t="array" ref="BL24:BL24">BK24</f>
        <v>2034 год</v>
      </c>
      <c r="BM24" s="1356" t="str">
        <f>god+9&amp;" год"</f>
        <v>2035 год</v>
      </c>
      <c r="BN24" s="1356" cm="1" t="str">
        <f t="array" ref="BN24:BN24">BM24</f>
        <v>2035 год</v>
      </c>
      <c r="BO24" s="1356" cm="1" t="str">
        <f t="array" ref="BO24:BO24">BN24</f>
        <v>2035 год</v>
      </c>
      <c r="BP24" s="170" t="str">
        <f>god&amp;" год"</f>
        <v>2026 год</v>
      </c>
      <c r="BQ24" s="170" cm="1" t="str">
        <f t="array" ref="BQ24:BQ24">BP24</f>
        <v>2026 год</v>
      </c>
      <c r="BR24" s="170" cm="1" t="str">
        <f t="array" ref="BR24:BR24">BQ24</f>
        <v>2026 год</v>
      </c>
      <c r="BS24" s="170" t="str">
        <f>god+1&amp;" год"</f>
        <v>2027 год</v>
      </c>
      <c r="BT24" s="170" cm="1" t="str">
        <f t="array" ref="BT24:BT24">BS24</f>
        <v>2027 год</v>
      </c>
      <c r="BU24" s="170" cm="1" t="str">
        <f t="array" ref="BU24:BU24">BT24</f>
        <v>2027 год</v>
      </c>
      <c r="BV24" s="170" t="str">
        <f>god+2&amp;" год"</f>
        <v>2028 год</v>
      </c>
      <c r="BW24" s="170" cm="1" t="str">
        <f t="array" ref="BW24:BW24">BV24</f>
        <v>2028 год</v>
      </c>
      <c r="BX24" s="170" cm="1" t="str">
        <f t="array" ref="BX24:BX24">BW24</f>
        <v>2028 год</v>
      </c>
      <c r="BY24" s="413" t="str">
        <f>god+3&amp;" год"</f>
        <v>2029 год</v>
      </c>
      <c r="BZ24" s="170" cm="1" t="str">
        <f t="array" ref="BZ24:BZ24">BY24</f>
        <v>2029 год</v>
      </c>
      <c r="CA24" s="170" cm="1" t="str">
        <f t="array" ref="CA24:CA24">BZ24</f>
        <v>2029 год</v>
      </c>
      <c r="CB24" s="169" t="str">
        <f>god+4&amp;" год"</f>
        <v>2030 год</v>
      </c>
      <c r="CC24" s="170" cm="1" t="str">
        <f t="array" ref="CC24:CC24">CB24</f>
        <v>2030 год</v>
      </c>
      <c r="CD24" s="170" cm="1" t="str">
        <f t="array" ref="CD24:CD24">CC24</f>
        <v>2030 год</v>
      </c>
      <c r="CE24" s="626" t="str">
        <f>god+5&amp;" год"</f>
        <v>2031 год</v>
      </c>
      <c r="CF24" s="170" cm="1" t="str">
        <f t="array" ref="CF24:CF24">CE24</f>
        <v>2031 год</v>
      </c>
      <c r="CG24" s="170" cm="1" t="str">
        <f t="array" ref="CG24:CG24">CF24</f>
        <v>2031 год</v>
      </c>
      <c r="CH24" s="170" t="str">
        <f>god+6&amp;" год"</f>
        <v>2032 год</v>
      </c>
      <c r="CI24" s="170" cm="1" t="str">
        <f t="array" ref="CI24:CI24">CH24</f>
        <v>2032 год</v>
      </c>
      <c r="CJ24" s="170" cm="1" t="str">
        <f t="array" ref="CJ24:CJ24">CI24</f>
        <v>2032 год</v>
      </c>
      <c r="CK24" s="170" t="str">
        <f>god+7&amp;" год"</f>
        <v>2033 год</v>
      </c>
      <c r="CL24" s="170" cm="1" t="str">
        <f t="array" ref="CL24:CL24">CK24</f>
        <v>2033 год</v>
      </c>
      <c r="CM24" s="170" cm="1" t="str">
        <f t="array" ref="CM24:CM24">CL24</f>
        <v>2033 год</v>
      </c>
      <c r="CN24" s="413" t="str">
        <f>god+8&amp;" год"</f>
        <v>2034 год</v>
      </c>
      <c r="CO24" s="170" cm="1" t="str">
        <f t="array" ref="CO24:CO24">CN24</f>
        <v>2034 год</v>
      </c>
      <c r="CP24" s="170" cm="1" t="str">
        <f t="array" ref="CP24:CP24">CO24</f>
        <v>2034 год</v>
      </c>
      <c r="CQ24" s="169" t="str">
        <f>god+9&amp;" год"</f>
        <v>2035 год</v>
      </c>
      <c r="CR24" s="170" cm="1" t="str">
        <f t="array" ref="CR24:CR24">CQ24</f>
        <v>2035 год</v>
      </c>
      <c r="CS24" s="170" cm="1" t="str">
        <f t="array" ref="CS24:CS24">CR24</f>
        <v>2035 год</v>
      </c>
      <c r="CT24" s="1754" t="s">
        <v>595</v>
      </c>
    </row>
    <row customHeight="1" ht="15.405000000000001">
      <c r="E25" s="797">
        <v>15.8</v>
      </c>
      <c r="AB25" s="1512"/>
      <c r="AC25" s="1512"/>
      <c r="AD25" s="1512"/>
      <c r="AE25" s="1512"/>
      <c r="AF25" s="1512"/>
      <c r="AG25" s="1512"/>
      <c r="AH25" s="1748" t="s">
        <v>119</v>
      </c>
      <c r="AI25" s="1749" t="s">
        <v>119</v>
      </c>
      <c r="AJ25" s="1750" t="s">
        <v>119</v>
      </c>
      <c r="AK25" s="1750" t="s">
        <v>119</v>
      </c>
      <c r="AL25" s="1749" t="s">
        <v>119</v>
      </c>
      <c r="AM25" s="1755" t="str">
        <f>IF(god=2026,"01.01.-30.09.","1 полугодие")</f>
        <v>01.01.-30.09.</v>
      </c>
      <c r="AN25" s="1755" t="str">
        <f>IF(god=2026,"01.10.-31.12.","2 полугодие")</f>
        <v>01.10.-31.12.</v>
      </c>
      <c r="AO25" s="1361" t="s">
        <v>119</v>
      </c>
      <c r="AP25" s="1357" t="str">
        <f>IF(god=2025,"01.01.-30.09.","1 полугодие")</f>
        <v>1 полугодие</v>
      </c>
      <c r="AQ25" s="1357" t="str">
        <f>IF(god=2025,"01.10.-31.12.","2 полугодие")</f>
        <v>2 полугодие</v>
      </c>
      <c r="AR25" s="1361" t="s">
        <v>119</v>
      </c>
      <c r="AS25" s="1357" t="s">
        <v>728</v>
      </c>
      <c r="AT25" s="1357" t="s">
        <v>729</v>
      </c>
      <c r="AU25" s="1361" t="s">
        <v>119</v>
      </c>
      <c r="AV25" s="1357" t="s">
        <v>728</v>
      </c>
      <c r="AW25" s="1357" t="s">
        <v>729</v>
      </c>
      <c r="AX25" s="1361" t="s">
        <v>119</v>
      </c>
      <c r="AY25" s="1357" t="s">
        <v>728</v>
      </c>
      <c r="AZ25" s="1357" t="s">
        <v>729</v>
      </c>
      <c r="BA25" s="1361" t="s">
        <v>119</v>
      </c>
      <c r="BB25" s="1357" t="s">
        <v>728</v>
      </c>
      <c r="BC25" s="1357" t="s">
        <v>729</v>
      </c>
      <c r="BD25" s="1361" t="s">
        <v>119</v>
      </c>
      <c r="BE25" s="1357" t="s">
        <v>728</v>
      </c>
      <c r="BF25" s="1357" t="s">
        <v>729</v>
      </c>
      <c r="BG25" s="1361" t="s">
        <v>119</v>
      </c>
      <c r="BH25" s="1357" t="s">
        <v>728</v>
      </c>
      <c r="BI25" s="1357" t="s">
        <v>729</v>
      </c>
      <c r="BJ25" s="1361" t="s">
        <v>119</v>
      </c>
      <c r="BK25" s="1357" t="s">
        <v>728</v>
      </c>
      <c r="BL25" s="1357" t="s">
        <v>729</v>
      </c>
      <c r="BM25" s="1361" t="s">
        <v>119</v>
      </c>
      <c r="BN25" s="1357" t="s">
        <v>728</v>
      </c>
      <c r="BO25" s="1357" t="s">
        <v>729</v>
      </c>
      <c r="BP25" s="412" t="s">
        <v>119</v>
      </c>
      <c r="BQ25" s="413" t="str">
        <f>IF(god=2026,"01.01.-30.09.","1 полугодие")</f>
        <v>01.01.-30.09.</v>
      </c>
      <c r="BR25" s="413" t="str">
        <f>IF(god=2026,"01.10.-31.12.","2 полугодие")</f>
        <v>01.10.-31.12.</v>
      </c>
      <c r="BS25" s="412" t="s">
        <v>119</v>
      </c>
      <c r="BT25" s="413" t="str">
        <f>IF(god=2025,"01.01.-30.09.","1 полугодие")</f>
        <v>1 полугодие</v>
      </c>
      <c r="BU25" s="413" t="str">
        <f>IF(god=2025,"01.10.-31.12.","2 полугодие")</f>
        <v>2 полугодие</v>
      </c>
      <c r="BV25" s="412" t="s">
        <v>119</v>
      </c>
      <c r="BW25" s="413" t="s">
        <v>728</v>
      </c>
      <c r="BX25" s="413" t="s">
        <v>729</v>
      </c>
      <c r="BY25" s="412" t="s">
        <v>119</v>
      </c>
      <c r="BZ25" s="413" t="s">
        <v>728</v>
      </c>
      <c r="CA25" s="413" t="s">
        <v>729</v>
      </c>
      <c r="CB25" s="412" t="s">
        <v>119</v>
      </c>
      <c r="CC25" s="413" t="s">
        <v>728</v>
      </c>
      <c r="CD25" s="412" t="s">
        <v>729</v>
      </c>
      <c r="CE25" s="412" t="s">
        <v>119</v>
      </c>
      <c r="CF25" s="413" t="s">
        <v>728</v>
      </c>
      <c r="CG25" s="413" t="s">
        <v>729</v>
      </c>
      <c r="CH25" s="412" t="s">
        <v>119</v>
      </c>
      <c r="CI25" s="413" t="s">
        <v>728</v>
      </c>
      <c r="CJ25" s="413" t="s">
        <v>729</v>
      </c>
      <c r="CK25" s="412" t="s">
        <v>119</v>
      </c>
      <c r="CL25" s="413" t="s">
        <v>728</v>
      </c>
      <c r="CM25" s="413" t="s">
        <v>729</v>
      </c>
      <c r="CN25" s="412" t="s">
        <v>119</v>
      </c>
      <c r="CO25" s="413" t="s">
        <v>728</v>
      </c>
      <c r="CP25" s="413" t="s">
        <v>729</v>
      </c>
      <c r="CQ25" s="412" t="s">
        <v>119</v>
      </c>
      <c r="CR25" s="413" t="s">
        <v>728</v>
      </c>
      <c r="CS25" s="413" t="s">
        <v>729</v>
      </c>
      <c r="CT25" s="1754"/>
    </row>
    <row customHeight="1" ht="52.650000000000006">
      <c r="E26" s="797">
        <v>54</v>
      </c>
      <c r="AB26" s="1512"/>
      <c r="AC26" s="1512"/>
      <c r="AD26" s="1512"/>
      <c r="AE26" s="1512"/>
      <c r="AF26" s="1512"/>
      <c r="AG26" s="1512"/>
      <c r="AH26" s="1758" t="s">
        <v>402</v>
      </c>
      <c r="AI26" s="1752" t="s">
        <v>596</v>
      </c>
      <c r="AJ26" s="1754" t="s">
        <v>597</v>
      </c>
      <c r="AK26" s="1754" t="s">
        <v>402</v>
      </c>
      <c r="AL26" s="1755" t="s">
        <v>403</v>
      </c>
      <c r="AM26" s="1755" t="s">
        <v>403</v>
      </c>
      <c r="AN26" s="1755" t="s">
        <v>403</v>
      </c>
      <c r="AO26" s="1357" t="s">
        <v>403</v>
      </c>
      <c r="AP26" s="1357" t="s">
        <v>403</v>
      </c>
      <c r="AQ26" s="1357" t="s">
        <v>403</v>
      </c>
      <c r="AR26" s="1357" t="s">
        <v>403</v>
      </c>
      <c r="AS26" s="1357" t="s">
        <v>403</v>
      </c>
      <c r="AT26" s="1357" t="s">
        <v>403</v>
      </c>
      <c r="AU26" s="1357" t="s">
        <v>403</v>
      </c>
      <c r="AV26" s="1357" t="s">
        <v>403</v>
      </c>
      <c r="AW26" s="1357" t="s">
        <v>403</v>
      </c>
      <c r="AX26" s="1357" t="s">
        <v>403</v>
      </c>
      <c r="AY26" s="1357" t="s">
        <v>403</v>
      </c>
      <c r="AZ26" s="1357" t="s">
        <v>403</v>
      </c>
      <c r="BA26" s="1357" t="s">
        <v>403</v>
      </c>
      <c r="BB26" s="1357" t="s">
        <v>403</v>
      </c>
      <c r="BC26" s="1357" t="s">
        <v>403</v>
      </c>
      <c r="BD26" s="1357" t="s">
        <v>403</v>
      </c>
      <c r="BE26" s="1357" t="s">
        <v>403</v>
      </c>
      <c r="BF26" s="1357" t="s">
        <v>403</v>
      </c>
      <c r="BG26" s="1357" t="s">
        <v>403</v>
      </c>
      <c r="BH26" s="1357" t="s">
        <v>403</v>
      </c>
      <c r="BI26" s="1357" t="s">
        <v>403</v>
      </c>
      <c r="BJ26" s="1357" t="s">
        <v>403</v>
      </c>
      <c r="BK26" s="1357" t="s">
        <v>403</v>
      </c>
      <c r="BL26" s="1357" t="s">
        <v>403</v>
      </c>
      <c r="BM26" s="1357" t="s">
        <v>403</v>
      </c>
      <c r="BN26" s="1357" t="s">
        <v>403</v>
      </c>
      <c r="BO26" s="1357" t="s">
        <v>403</v>
      </c>
      <c r="BP26" s="413" t="s">
        <v>402</v>
      </c>
      <c r="BQ26" s="413" t="s">
        <v>402</v>
      </c>
      <c r="BR26" s="413" t="s">
        <v>402</v>
      </c>
      <c r="BS26" s="413" t="s">
        <v>402</v>
      </c>
      <c r="BT26" s="413" t="s">
        <v>402</v>
      </c>
      <c r="BU26" s="413" t="s">
        <v>402</v>
      </c>
      <c r="BV26" s="413" t="s">
        <v>402</v>
      </c>
      <c r="BW26" s="413" t="s">
        <v>402</v>
      </c>
      <c r="BX26" s="413" t="s">
        <v>402</v>
      </c>
      <c r="BY26" s="413" t="s">
        <v>402</v>
      </c>
      <c r="BZ26" s="413" t="s">
        <v>402</v>
      </c>
      <c r="CA26" s="413" t="s">
        <v>402</v>
      </c>
      <c r="CB26" s="413" t="s">
        <v>402</v>
      </c>
      <c r="CC26" s="413" t="s">
        <v>402</v>
      </c>
      <c r="CD26" s="413" t="s">
        <v>402</v>
      </c>
      <c r="CE26" s="413" t="s">
        <v>402</v>
      </c>
      <c r="CF26" s="413" t="s">
        <v>402</v>
      </c>
      <c r="CG26" s="413" t="s">
        <v>402</v>
      </c>
      <c r="CH26" s="413" t="s">
        <v>402</v>
      </c>
      <c r="CI26" s="413" t="s">
        <v>402</v>
      </c>
      <c r="CJ26" s="413" t="s">
        <v>402</v>
      </c>
      <c r="CK26" s="413" t="s">
        <v>402</v>
      </c>
      <c r="CL26" s="413" t="s">
        <v>402</v>
      </c>
      <c r="CM26" s="413" t="s">
        <v>402</v>
      </c>
      <c r="CN26" s="413" t="s">
        <v>402</v>
      </c>
      <c r="CO26" s="413" t="s">
        <v>402</v>
      </c>
      <c r="CP26" s="413" t="s">
        <v>402</v>
      </c>
      <c r="CQ26" s="413" t="s">
        <v>402</v>
      </c>
      <c r="CR26" s="413" t="s">
        <v>402</v>
      </c>
      <c r="CS26" s="413" t="s">
        <v>402</v>
      </c>
      <c r="CT26" s="1754"/>
    </row>
    <row customHeight="1" ht="12" hidden="1">
      <c r="E27" s="797">
        <v>0</v>
      </c>
      <c r="AB27" s="1759"/>
      <c r="AC27" s="1759"/>
      <c r="AD27" s="1760"/>
      <c r="AE27" s="1759"/>
      <c r="AF27" s="1759"/>
      <c r="AG27" s="1760"/>
      <c r="AH27" s="1761"/>
      <c r="AI27" s="1761"/>
      <c r="AJ27" s="1761"/>
      <c r="AK27" s="1761"/>
      <c r="AL27" s="1761"/>
      <c r="AM27" s="1761"/>
      <c r="AN27" s="176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510"/>
      <c r="CC27" s="171"/>
      <c r="CD27" s="521"/>
      <c r="CE27" s="521"/>
      <c r="CF27" s="171"/>
      <c r="CG27" s="171"/>
      <c r="CH27" s="171"/>
      <c r="CI27" s="171"/>
      <c r="CJ27" s="171"/>
      <c r="CK27" s="171"/>
      <c r="CL27" s="171"/>
      <c r="CM27" s="171"/>
      <c r="CN27" s="171"/>
      <c r="CO27" s="171"/>
      <c r="CP27" s="171"/>
      <c r="CQ27" s="510"/>
      <c r="CR27" s="171"/>
      <c r="CS27" s="171"/>
      <c r="CT27" s="1761"/>
    </row>
    <row customHeight="1" ht="16.672500000000003" hidden="1">
      <c r="E28" s="797">
        <v>17.1</v>
      </c>
      <c r="F28" s="922" cm="1" t="str">
        <f t="array" ref="F28:F28">Y28</f>
        <v>0</v>
      </c>
      <c r="G28" s="213" cm="1" t="str">
        <f t="array" ref="G28:G28">INDEX('Общие сведения'!$AE$169:$AE$202,MATCH($F28,'Общие сведения'!$Z$169:$Z$202,0))</f>
        <v>Теплоснабжение</v>
      </c>
      <c r="H28" s="213" cm="1" t="str">
        <f t="array" ref="H28:H28">INDEX('Общие сведения'!$AK$169:$AK$202,MATCH($F28,'Общие сведения'!$Z$169:$Z$202,0))</f>
        <v>0</v>
      </c>
      <c r="I28" s="213" cm="1" t="str">
        <f t="array" ref="I28:I28">INDEX('Общие сведения'!$AH$169:$AH$202,MATCH($F28,'Общие сведения'!$Z$169:$Z$202,0))</f>
        <v>0</v>
      </c>
      <c r="J28" s="213" cm="1" t="str">
        <f t="array" ref="J28:J28">INDEX('Общие сведения'!$AI$169:$AI$202,MATCH($F28,'Общие сведения'!$Z$169:$Z$202,0))</f>
        <v>0</v>
      </c>
      <c r="K28" s="213" cm="1" t="str">
        <f t="array" ref="K28:K28">INDEX('Общие сведения'!$AJ$169:$AJ$202,MATCH($F28,'Общие сведения'!$Z$169:$Z$202,0))</f>
        <v>0</v>
      </c>
      <c r="L28" s="214" cm="1" t="str">
        <f t="array" ref="L28:L28">INDEX('Общие сведения'!$AN$169:$AN$202,MATCH($F28,'Общие сведения'!$Z$169:$Z$202,0))</f>
        <v>false</v>
      </c>
      <c r="S28" s="159">
        <f>Y28&gt;0</f>
        <v>0</v>
      </c>
      <c r="U28" s="819">
        <f>AND(S28,IF(ISBLANK(T28),TRUE,T28))</f>
        <v>0</v>
      </c>
      <c r="W28" s="175" t="s">
        <v>310</v>
      </c>
      <c r="Y28" s="1521">
        <v>0</v>
      </c>
      <c r="AB28" s="1764" cm="1" t="str">
        <f t="array" ref="AB28:AB28">INDEX('Общие сведения'!$AG$169:$AG$202,MATCH(F28,'Общие сведения'!$Z$169:$Z$202,0))</f>
        <v>Тариф 0 (Теплоснабжение) - </v>
      </c>
      <c r="AC28" s="1764"/>
      <c r="AD28" s="1765"/>
      <c r="AE28" s="1766"/>
      <c r="AF28" s="1766"/>
      <c r="AG28" s="1766"/>
      <c r="AH28" s="1766"/>
      <c r="AI28" s="1766"/>
      <c r="AJ28" s="1766"/>
      <c r="AK28" s="1766"/>
      <c r="AL28" s="1766"/>
      <c r="AM28" s="1766"/>
      <c r="AN28" s="1766"/>
      <c r="AO28" s="1766"/>
      <c r="AP28" s="1766"/>
      <c r="AQ28" s="1766"/>
      <c r="AR28" s="1766"/>
      <c r="AS28" s="1766"/>
      <c r="AT28" s="1766"/>
      <c r="AU28" s="1766"/>
      <c r="AV28" s="1766"/>
      <c r="AW28" s="1766"/>
      <c r="AX28" s="1766"/>
      <c r="AY28" s="1766"/>
      <c r="AZ28" s="1766"/>
      <c r="BA28" s="1766"/>
      <c r="BB28" s="1766"/>
      <c r="BC28" s="1766"/>
      <c r="BD28" s="1766"/>
      <c r="BE28" s="1766"/>
      <c r="BF28" s="1766"/>
      <c r="BG28" s="1766"/>
      <c r="BH28" s="1766"/>
      <c r="BI28" s="1766"/>
      <c r="BJ28" s="1766"/>
      <c r="BK28" s="1766"/>
      <c r="BL28" s="1766"/>
      <c r="BM28" s="1766"/>
      <c r="BN28" s="1766"/>
      <c r="BO28" s="1766"/>
      <c r="BP28" s="1766"/>
      <c r="BQ28" s="1766"/>
      <c r="BR28" s="1766"/>
      <c r="BS28" s="1766"/>
      <c r="BT28" s="1766"/>
      <c r="BU28" s="1766"/>
      <c r="BV28" s="1766"/>
      <c r="BW28" s="1766"/>
      <c r="BX28" s="1766"/>
      <c r="BY28" s="1766"/>
      <c r="BZ28" s="1766"/>
      <c r="CA28" s="1766"/>
      <c r="CB28" s="1766"/>
      <c r="CC28" s="1766"/>
      <c r="CD28" s="1767"/>
      <c r="CE28" s="1767"/>
      <c r="CF28" s="1766"/>
      <c r="CG28" s="1766"/>
      <c r="CH28" s="1766"/>
      <c r="CI28" s="1766"/>
      <c r="CJ28" s="1766"/>
      <c r="CK28" s="1766"/>
      <c r="CL28" s="1766"/>
      <c r="CM28" s="1766"/>
      <c r="CN28" s="1766"/>
      <c r="CO28" s="1766"/>
      <c r="CP28" s="1766"/>
      <c r="CQ28" s="1766"/>
      <c r="CR28" s="1766"/>
      <c r="CS28" s="1766"/>
      <c r="CT28" s="1766"/>
      <c r="CW28" s="1173" t="str">
        <f>IF(AND(ISNUMBER(VALUE(TRIM(SUBSTITUTE(AD28,".","")))),TRIM(SUBSTITUTE(AD28,".",""))&lt;&gt;""),"P"&amp;SUBSTITUTE(AD28,".",""),"")</f>
        <v/>
      </c>
    </row>
    <row customHeight="1" ht="16.672500000000003" hidden="1">
      <c r="E29" s="797">
        <v>17.1</v>
      </c>
      <c r="F29" s="922" cm="1" t="str">
        <f t="array" ref="F29:F29">OFFSET(G29,-1,-1)</f>
        <v>0</v>
      </c>
      <c r="L29" s="922" cm="1" t="str">
        <f t="array" ref="L29:L29">OFFSET(M29,-1,-1)</f>
        <v>false</v>
      </c>
      <c r="R29" s="922" t="s">
        <v>730</v>
      </c>
      <c r="S29" s="159" cm="1" t="str">
        <f t="array" ref="S29:S29">OFFSET(T29,-1,-1)</f>
        <v>false</v>
      </c>
      <c r="T29" s="159" cm="1" t="str">
        <f t="array" ref="T29:T29">L29</f>
        <v>false</v>
      </c>
      <c r="U29" s="819">
        <f>AND(S29,IF(ISBLANK(T29),TRUE,T29))</f>
        <v>0</v>
      </c>
      <c r="AB29" s="1768" t="s">
        <v>731</v>
      </c>
      <c r="AD29" s="160">
        <v>1</v>
      </c>
      <c r="AE29" s="1769" t="s">
        <v>732</v>
      </c>
      <c r="AF29" s="1770"/>
      <c r="AG29" s="160" t="s">
        <v>733</v>
      </c>
      <c r="AH29" s="86"/>
      <c r="AI29" s="87"/>
      <c r="AJ29" s="87"/>
      <c r="AK29" s="87"/>
      <c r="AL29" s="1771">
        <f>AM29+AN29</f>
        <v>0</v>
      </c>
      <c r="AM29" s="87"/>
      <c r="AN29" s="87"/>
      <c r="AO29" s="862">
        <f>AP29+AQ29</f>
        <v>0</v>
      </c>
      <c r="AP29" s="87"/>
      <c r="AQ29" s="87"/>
      <c r="AR29" s="862">
        <f>AS29+AT29</f>
        <v>0</v>
      </c>
      <c r="AS29" s="87"/>
      <c r="AT29" s="87"/>
      <c r="AU29" s="862">
        <f>AV29+AW29</f>
        <v>0</v>
      </c>
      <c r="AV29" s="87"/>
      <c r="AW29" s="87"/>
      <c r="AX29" s="862">
        <f>AY29+AZ29</f>
        <v>0</v>
      </c>
      <c r="AY29" s="87"/>
      <c r="AZ29" s="87"/>
      <c r="BA29" s="862">
        <f>BB29+BC29</f>
        <v>0</v>
      </c>
      <c r="BB29" s="87"/>
      <c r="BC29" s="87"/>
      <c r="BD29" s="862">
        <f>BE29+BF29</f>
        <v>0</v>
      </c>
      <c r="BE29" s="87"/>
      <c r="BF29" s="87"/>
      <c r="BG29" s="862">
        <f>BH29+BI29</f>
        <v>0</v>
      </c>
      <c r="BH29" s="87"/>
      <c r="BI29" s="87"/>
      <c r="BJ29" s="862">
        <f>BK29+BL29</f>
        <v>0</v>
      </c>
      <c r="BK29" s="87"/>
      <c r="BL29" s="87"/>
      <c r="BM29" s="862">
        <f>BN29+BO29</f>
        <v>0</v>
      </c>
      <c r="BN29" s="87"/>
      <c r="BO29" s="87"/>
      <c r="BP29" s="862">
        <f>BQ29+BR29</f>
        <v>0</v>
      </c>
      <c r="BQ29" s="1772"/>
      <c r="BR29" s="1772"/>
      <c r="BS29" s="862">
        <f>BT29+BU29</f>
        <v>0</v>
      </c>
      <c r="BT29" s="87"/>
      <c r="BU29" s="87"/>
      <c r="BV29" s="862">
        <f>BW29+BX29</f>
        <v>0</v>
      </c>
      <c r="BW29" s="87"/>
      <c r="BX29" s="87"/>
      <c r="BY29" s="862">
        <f>BZ29+CA29</f>
        <v>0</v>
      </c>
      <c r="BZ29" s="87"/>
      <c r="CA29" s="87"/>
      <c r="CB29" s="862">
        <f>CC29+CD29</f>
        <v>0</v>
      </c>
      <c r="CC29" s="87"/>
      <c r="CD29" s="87"/>
      <c r="CE29" s="862">
        <f>CF29+CG29</f>
        <v>0</v>
      </c>
      <c r="CF29" s="87"/>
      <c r="CG29" s="87"/>
      <c r="CH29" s="862">
        <f>CI29+CJ29</f>
        <v>0</v>
      </c>
      <c r="CI29" s="87"/>
      <c r="CJ29" s="87"/>
      <c r="CK29" s="862">
        <f>CL29+CM29</f>
        <v>0</v>
      </c>
      <c r="CL29" s="87"/>
      <c r="CM29" s="87"/>
      <c r="CN29" s="862">
        <f>CO29+CP29</f>
        <v>0</v>
      </c>
      <c r="CO29" s="87"/>
      <c r="CP29" s="87"/>
      <c r="CQ29" s="862">
        <f>CR29+CS29</f>
        <v>0</v>
      </c>
      <c r="CR29" s="87"/>
      <c r="CS29" s="87"/>
      <c r="CT29" s="73"/>
      <c r="CW29" s="1173" t="s">
        <v>734</v>
      </c>
    </row>
    <row customHeight="1" ht="16.672500000000003" hidden="1">
      <c r="E30" s="797">
        <v>17.1</v>
      </c>
      <c r="F30" s="922" cm="1" t="str">
        <f t="array" ref="F30:F30">OFFSET(G30,-1,-1)</f>
        <v>0</v>
      </c>
      <c r="L30" s="922" cm="1" t="str">
        <f t="array" ref="L30:L30">OFFSET(M30,-1,-1)</f>
        <v>false</v>
      </c>
      <c r="R30" s="922" t="s">
        <v>730</v>
      </c>
      <c r="S30" s="159" cm="1" t="str">
        <f t="array" ref="S30:S30">OFFSET(T30,-1,-1)</f>
        <v>false</v>
      </c>
      <c r="T30" s="159" cm="1" t="str">
        <f t="array" ref="T30:T30">T29</f>
        <v>false</v>
      </c>
      <c r="U30" s="819">
        <f>AND(S30,IF(ISBLANK(T30),TRUE,T30))</f>
        <v>0</v>
      </c>
      <c r="AB30" s="1773"/>
      <c r="AD30" s="160">
        <v>2</v>
      </c>
      <c r="AE30" s="1498" t="s">
        <v>735</v>
      </c>
      <c r="AF30" s="1770"/>
      <c r="AG30" s="160" t="s">
        <v>733</v>
      </c>
      <c r="AH30" s="1774">
        <f>AH31+AH33</f>
        <v>0</v>
      </c>
      <c r="AI30" s="862">
        <f>AI31+AI33</f>
        <v>0</v>
      </c>
      <c r="AJ30" s="862">
        <f>AJ31+AJ33</f>
        <v>0</v>
      </c>
      <c r="AK30" s="862">
        <f>AK31+AK33</f>
        <v>0</v>
      </c>
      <c r="AL30" s="862">
        <f>AL31+AL33</f>
        <v>0</v>
      </c>
      <c r="AM30" s="862">
        <f>AM31+AM33</f>
        <v>0</v>
      </c>
      <c r="AN30" s="862">
        <f>AN31+AN33</f>
        <v>0</v>
      </c>
      <c r="AO30" s="862">
        <f>AO31+AO33</f>
        <v>0</v>
      </c>
      <c r="AP30" s="862">
        <f>AP31+AP33</f>
        <v>0</v>
      </c>
      <c r="AQ30" s="862">
        <f>AQ31+AQ33</f>
        <v>0</v>
      </c>
      <c r="AR30" s="862">
        <f>AR31+AR33</f>
        <v>0</v>
      </c>
      <c r="AS30" s="862">
        <f>AS31+AS33</f>
        <v>0</v>
      </c>
      <c r="AT30" s="862">
        <f>AT31+AT33</f>
        <v>0</v>
      </c>
      <c r="AU30" s="862">
        <f>AU31+AU33</f>
        <v>0</v>
      </c>
      <c r="AV30" s="862">
        <f>AV31+AV33</f>
        <v>0</v>
      </c>
      <c r="AW30" s="862">
        <f>AW31+AW33</f>
        <v>0</v>
      </c>
      <c r="AX30" s="862">
        <f>AX31+AX33</f>
        <v>0</v>
      </c>
      <c r="AY30" s="862">
        <f>AY31+AY33</f>
        <v>0</v>
      </c>
      <c r="AZ30" s="862">
        <f>AZ31+AZ33</f>
        <v>0</v>
      </c>
      <c r="BA30" s="862">
        <f>BA31+BA33</f>
        <v>0</v>
      </c>
      <c r="BB30" s="862">
        <f>BB31+BB33</f>
        <v>0</v>
      </c>
      <c r="BC30" s="862">
        <f>BC31+BC33</f>
        <v>0</v>
      </c>
      <c r="BD30" s="862">
        <f>BD31+BD33</f>
        <v>0</v>
      </c>
      <c r="BE30" s="862">
        <f>BE31+BE33</f>
        <v>0</v>
      </c>
      <c r="BF30" s="862">
        <f>BF31+BF33</f>
        <v>0</v>
      </c>
      <c r="BG30" s="862">
        <f>BG31+BG33</f>
        <v>0</v>
      </c>
      <c r="BH30" s="862">
        <f>BH31+BH33</f>
        <v>0</v>
      </c>
      <c r="BI30" s="862">
        <f>BI31+BI33</f>
        <v>0</v>
      </c>
      <c r="BJ30" s="862">
        <f>BJ31+BJ33</f>
        <v>0</v>
      </c>
      <c r="BK30" s="862">
        <f>BK31+BK33</f>
        <v>0</v>
      </c>
      <c r="BL30" s="862">
        <f>BL31+BL33</f>
        <v>0</v>
      </c>
      <c r="BM30" s="862">
        <f>BM31+BM33</f>
        <v>0</v>
      </c>
      <c r="BN30" s="862">
        <f>BN31+BN33</f>
        <v>0</v>
      </c>
      <c r="BO30" s="862">
        <f>BO31+BO33</f>
        <v>0</v>
      </c>
      <c r="BP30" s="862">
        <f>BP31+BP33</f>
        <v>0</v>
      </c>
      <c r="BQ30" s="862">
        <f>BQ31+BQ33</f>
        <v>0</v>
      </c>
      <c r="BR30" s="862">
        <f>BR31+BR33</f>
        <v>0</v>
      </c>
      <c r="BS30" s="862">
        <f>BS31+BS33</f>
        <v>0</v>
      </c>
      <c r="BT30" s="862">
        <f>BT31+BT33</f>
        <v>0</v>
      </c>
      <c r="BU30" s="862">
        <f>BU31+BU33</f>
        <v>0</v>
      </c>
      <c r="BV30" s="862">
        <f>BV31+BV33</f>
        <v>0</v>
      </c>
      <c r="BW30" s="862">
        <f>BW31+BW33</f>
        <v>0</v>
      </c>
      <c r="BX30" s="862">
        <f>BX31+BX33</f>
        <v>0</v>
      </c>
      <c r="BY30" s="862">
        <f>BY31+BY33</f>
        <v>0</v>
      </c>
      <c r="BZ30" s="862">
        <f>BZ31+BZ33</f>
        <v>0</v>
      </c>
      <c r="CA30" s="862">
        <f>CA31+CA33</f>
        <v>0</v>
      </c>
      <c r="CB30" s="862">
        <f>CB31+CB33</f>
        <v>0</v>
      </c>
      <c r="CC30" s="862">
        <f>CC31+CC33</f>
        <v>0</v>
      </c>
      <c r="CD30" s="862">
        <f>CD31+CD33</f>
        <v>0</v>
      </c>
      <c r="CE30" s="862">
        <f>CE31+CE33</f>
        <v>0</v>
      </c>
      <c r="CF30" s="862">
        <f>CF31+CF33</f>
        <v>0</v>
      </c>
      <c r="CG30" s="862">
        <f>CG31+CG33</f>
        <v>0</v>
      </c>
      <c r="CH30" s="862">
        <f>CH31+CH33</f>
        <v>0</v>
      </c>
      <c r="CI30" s="862">
        <f>CI31+CI33</f>
        <v>0</v>
      </c>
      <c r="CJ30" s="862">
        <f>CJ31+CJ33</f>
        <v>0</v>
      </c>
      <c r="CK30" s="862">
        <f>CK31+CK33</f>
        <v>0</v>
      </c>
      <c r="CL30" s="862">
        <f>CL31+CL33</f>
        <v>0</v>
      </c>
      <c r="CM30" s="862">
        <f>CM31+CM33</f>
        <v>0</v>
      </c>
      <c r="CN30" s="862">
        <f>CN31+CN33</f>
        <v>0</v>
      </c>
      <c r="CO30" s="862">
        <f>CO31+CO33</f>
        <v>0</v>
      </c>
      <c r="CP30" s="862">
        <f>CP31+CP33</f>
        <v>0</v>
      </c>
      <c r="CQ30" s="862">
        <f>CQ31+CQ33</f>
        <v>0</v>
      </c>
      <c r="CR30" s="862">
        <f>CR31+CR33</f>
        <v>0</v>
      </c>
      <c r="CS30" s="862">
        <f>CS31+CS33</f>
        <v>0</v>
      </c>
      <c r="CT30" s="73"/>
      <c r="CW30" s="1173" t="s">
        <v>736</v>
      </c>
    </row>
    <row customHeight="1" ht="16.672500000000003" hidden="1">
      <c r="E31" s="797">
        <v>17.1</v>
      </c>
      <c r="F31" s="922" cm="1" t="str">
        <f t="array" ref="F31:F31">OFFSET(G31,-1,-1)</f>
        <v>0</v>
      </c>
      <c r="L31" s="922" cm="1" t="str">
        <f t="array" ref="L31:L31">OFFSET(M31,-1,-1)</f>
        <v>false</v>
      </c>
      <c r="R31" s="922" t="s">
        <v>730</v>
      </c>
      <c r="S31" s="159" cm="1" t="str">
        <f t="array" ref="S31:S31">OFFSET(T31,-1,-1)</f>
        <v>false</v>
      </c>
      <c r="T31" s="159" cm="1" t="str">
        <f t="array" ref="T31:T31">T30</f>
        <v>false</v>
      </c>
      <c r="U31" s="819">
        <f>AND(S31,IF(ISBLANK(T31),TRUE,T31))</f>
        <v>0</v>
      </c>
      <c r="AB31" s="1773"/>
      <c r="AD31" s="160" t="s">
        <v>456</v>
      </c>
      <c r="AE31" s="1775" t="s">
        <v>737</v>
      </c>
      <c r="AF31" s="1776"/>
      <c r="AG31" s="160" t="s">
        <v>733</v>
      </c>
      <c r="AH31" s="86"/>
      <c r="AI31" s="87"/>
      <c r="AJ31" s="87"/>
      <c r="AK31" s="87"/>
      <c r="AL31" s="862">
        <f>AM31+AN31</f>
        <v>0</v>
      </c>
      <c r="AM31" s="87"/>
      <c r="AN31" s="87"/>
      <c r="AO31" s="862">
        <f>AP31+AQ31</f>
        <v>0</v>
      </c>
      <c r="AP31" s="87"/>
      <c r="AQ31" s="87"/>
      <c r="AR31" s="862">
        <f>AS31+AT31</f>
        <v>0</v>
      </c>
      <c r="AS31" s="87"/>
      <c r="AT31" s="87"/>
      <c r="AU31" s="862">
        <f>AV31+AW31</f>
        <v>0</v>
      </c>
      <c r="AV31" s="87"/>
      <c r="AW31" s="87"/>
      <c r="AX31" s="862">
        <f>AY31+AZ31</f>
        <v>0</v>
      </c>
      <c r="AY31" s="87"/>
      <c r="AZ31" s="87"/>
      <c r="BA31" s="862">
        <f>BB31+BC31</f>
        <v>0</v>
      </c>
      <c r="BB31" s="87"/>
      <c r="BC31" s="87"/>
      <c r="BD31" s="862">
        <f>BE31+BF31</f>
        <v>0</v>
      </c>
      <c r="BE31" s="87"/>
      <c r="BF31" s="87"/>
      <c r="BG31" s="862">
        <f>BH31+BI31</f>
        <v>0</v>
      </c>
      <c r="BH31" s="87"/>
      <c r="BI31" s="87"/>
      <c r="BJ31" s="862">
        <f>BK31+BL31</f>
        <v>0</v>
      </c>
      <c r="BK31" s="87"/>
      <c r="BL31" s="87"/>
      <c r="BM31" s="862">
        <f>BN31+BO31</f>
        <v>0</v>
      </c>
      <c r="BN31" s="87"/>
      <c r="BO31" s="87"/>
      <c r="BP31" s="862">
        <f>BQ31+BR31</f>
        <v>0</v>
      </c>
      <c r="BQ31" s="1772"/>
      <c r="BR31" s="1772"/>
      <c r="BS31" s="862">
        <f>BT31+BU31</f>
        <v>0</v>
      </c>
      <c r="BT31" s="87"/>
      <c r="BU31" s="87"/>
      <c r="BV31" s="862">
        <f>BW31+BX31</f>
        <v>0</v>
      </c>
      <c r="BW31" s="87"/>
      <c r="BX31" s="87"/>
      <c r="BY31" s="862">
        <f>BZ31+CA31</f>
        <v>0</v>
      </c>
      <c r="BZ31" s="87"/>
      <c r="CA31" s="87"/>
      <c r="CB31" s="862">
        <f>CC31+CD31</f>
        <v>0</v>
      </c>
      <c r="CC31" s="87"/>
      <c r="CD31" s="87"/>
      <c r="CE31" s="862">
        <f>CF31+CG31</f>
        <v>0</v>
      </c>
      <c r="CF31" s="87"/>
      <c r="CG31" s="87"/>
      <c r="CH31" s="862">
        <f>CI31+CJ31</f>
        <v>0</v>
      </c>
      <c r="CI31" s="87"/>
      <c r="CJ31" s="87"/>
      <c r="CK31" s="862">
        <f>CL31+CM31</f>
        <v>0</v>
      </c>
      <c r="CL31" s="87"/>
      <c r="CM31" s="87"/>
      <c r="CN31" s="862">
        <f>CO31+CP31</f>
        <v>0</v>
      </c>
      <c r="CO31" s="87"/>
      <c r="CP31" s="87"/>
      <c r="CQ31" s="862">
        <f>CR31+CS31</f>
        <v>0</v>
      </c>
      <c r="CR31" s="87"/>
      <c r="CS31" s="87"/>
      <c r="CT31" s="73"/>
      <c r="CW31" s="1173" t="s">
        <v>738</v>
      </c>
    </row>
    <row customHeight="1" ht="16.672500000000003" hidden="1">
      <c r="E32" s="797">
        <v>17.1</v>
      </c>
      <c r="F32" s="922" cm="1" t="str">
        <f t="array" ref="F32:F32">OFFSET(G32,-1,-1)</f>
        <v>0</v>
      </c>
      <c r="L32" s="922" cm="1" t="str">
        <f t="array" ref="L32:L32">OFFSET(M32,-1,-1)</f>
        <v>false</v>
      </c>
      <c r="R32" s="922" t="s">
        <v>730</v>
      </c>
      <c r="S32" s="159" cm="1" t="str">
        <f t="array" ref="S32:S32">OFFSET(T32,-1,-1)</f>
        <v>false</v>
      </c>
      <c r="T32" s="159" cm="1" t="str">
        <f t="array" ref="T32:T32">T31</f>
        <v>false</v>
      </c>
      <c r="U32" s="819">
        <f>AND(S32,IF(ISBLANK(T32),TRUE,T32))</f>
        <v>0</v>
      </c>
      <c r="AB32" s="1773"/>
      <c r="AD32" s="160" t="s">
        <v>459</v>
      </c>
      <c r="AE32" s="1777" t="s">
        <v>739</v>
      </c>
      <c r="AF32" s="1778"/>
      <c r="AG32" s="160" t="s">
        <v>498</v>
      </c>
      <c r="AH32" s="1779">
        <f>_xlfn.IFERROR(AH31/AH29,0)</f>
        <v>0</v>
      </c>
      <c r="AI32" s="1780">
        <f>_xlfn.IFERROR(AI31/AI29,0)</f>
        <v>0</v>
      </c>
      <c r="AJ32" s="867">
        <f>_xlfn.IFERROR(AJ31/AJ29,0)</f>
        <v>0</v>
      </c>
      <c r="AK32" s="867">
        <f>_xlfn.IFERROR(AK31/AK29,0)</f>
        <v>0</v>
      </c>
      <c r="AL32" s="867">
        <f>_xlfn.IFERROR(AL31/AL29,0)</f>
        <v>0</v>
      </c>
      <c r="AM32" s="867">
        <f>_xlfn.IFERROR(AM31/AM29,0)</f>
        <v>0</v>
      </c>
      <c r="AN32" s="867">
        <f>_xlfn.IFERROR(AN31/AN29,0)</f>
        <v>0</v>
      </c>
      <c r="AO32" s="867">
        <f>_xlfn.IFERROR(AO31/AO29,0)</f>
        <v>0</v>
      </c>
      <c r="AP32" s="867">
        <f>_xlfn.IFERROR(AP31/AP29,0)</f>
        <v>0</v>
      </c>
      <c r="AQ32" s="867">
        <f>_xlfn.IFERROR(AQ31/AQ29,0)</f>
        <v>0</v>
      </c>
      <c r="AR32" s="867">
        <f>_xlfn.IFERROR(AR31/AR29,0)</f>
        <v>0</v>
      </c>
      <c r="AS32" s="867">
        <f>_xlfn.IFERROR(AS31/AS29,0)</f>
        <v>0</v>
      </c>
      <c r="AT32" s="867">
        <f>_xlfn.IFERROR(AT31/AT29,0)</f>
        <v>0</v>
      </c>
      <c r="AU32" s="867">
        <f>_xlfn.IFERROR(AU31/AU29,0)</f>
        <v>0</v>
      </c>
      <c r="AV32" s="867">
        <f>_xlfn.IFERROR(AV31/AV29,0)</f>
        <v>0</v>
      </c>
      <c r="AW32" s="867">
        <f>_xlfn.IFERROR(AW31/AW29,0)</f>
        <v>0</v>
      </c>
      <c r="AX32" s="867">
        <f>_xlfn.IFERROR(AX31/AX29,0)</f>
        <v>0</v>
      </c>
      <c r="AY32" s="867">
        <f>_xlfn.IFERROR(AY31/AY29,0)</f>
        <v>0</v>
      </c>
      <c r="AZ32" s="867">
        <f>_xlfn.IFERROR(AZ31/AZ29,0)</f>
        <v>0</v>
      </c>
      <c r="BA32" s="867">
        <f>_xlfn.IFERROR(BA31/BA29,0)</f>
        <v>0</v>
      </c>
      <c r="BB32" s="867">
        <f>_xlfn.IFERROR(BB31/BB29,0)</f>
        <v>0</v>
      </c>
      <c r="BC32" s="867">
        <f>_xlfn.IFERROR(BC31/BC29,0)</f>
        <v>0</v>
      </c>
      <c r="BD32" s="867">
        <f>_xlfn.IFERROR(BD31/BD29,0)</f>
        <v>0</v>
      </c>
      <c r="BE32" s="867">
        <f>_xlfn.IFERROR(BE31/BE29,0)</f>
        <v>0</v>
      </c>
      <c r="BF32" s="867">
        <f>_xlfn.IFERROR(BF31/BF29,0)</f>
        <v>0</v>
      </c>
      <c r="BG32" s="867">
        <f>_xlfn.IFERROR(BG31/BG29,0)</f>
        <v>0</v>
      </c>
      <c r="BH32" s="867">
        <f>_xlfn.IFERROR(BH31/BH29,0)</f>
        <v>0</v>
      </c>
      <c r="BI32" s="867">
        <f>_xlfn.IFERROR(BI31/BI29,0)</f>
        <v>0</v>
      </c>
      <c r="BJ32" s="867">
        <f>_xlfn.IFERROR(BJ31/BJ29,0)</f>
        <v>0</v>
      </c>
      <c r="BK32" s="867">
        <f>_xlfn.IFERROR(BK31/BK29,0)</f>
        <v>0</v>
      </c>
      <c r="BL32" s="867">
        <f>_xlfn.IFERROR(BL31/BL29,0)</f>
        <v>0</v>
      </c>
      <c r="BM32" s="867">
        <f>_xlfn.IFERROR(BM31/BM29,0)</f>
        <v>0</v>
      </c>
      <c r="BN32" s="867">
        <f>_xlfn.IFERROR(BN31/BN29,0)</f>
        <v>0</v>
      </c>
      <c r="BO32" s="867">
        <f>_xlfn.IFERROR(BO31/BO29,0)</f>
        <v>0</v>
      </c>
      <c r="BP32" s="867">
        <f>_xlfn.IFERROR(BP31/BP29,0)</f>
        <v>0</v>
      </c>
      <c r="BQ32" s="867">
        <f>_xlfn.IFERROR(BQ31/BQ29,0)</f>
        <v>0</v>
      </c>
      <c r="BR32" s="867">
        <f>_xlfn.IFERROR(BR31/BR29,0)</f>
        <v>0</v>
      </c>
      <c r="BS32" s="867">
        <f>_xlfn.IFERROR(BS31/BS29,0)</f>
        <v>0</v>
      </c>
      <c r="BT32" s="867">
        <f>_xlfn.IFERROR(BT31/BT29,0)</f>
        <v>0</v>
      </c>
      <c r="BU32" s="867">
        <f>_xlfn.IFERROR(BU31/BU29,0)</f>
        <v>0</v>
      </c>
      <c r="BV32" s="867">
        <f>_xlfn.IFERROR(BV31/BV29,0)</f>
        <v>0</v>
      </c>
      <c r="BW32" s="867">
        <f>_xlfn.IFERROR(BW31/BW29,0)</f>
        <v>0</v>
      </c>
      <c r="BX32" s="867">
        <f>_xlfn.IFERROR(BX31/BX29,0)</f>
        <v>0</v>
      </c>
      <c r="BY32" s="867">
        <f>_xlfn.IFERROR(BY31/BY29,0)</f>
        <v>0</v>
      </c>
      <c r="BZ32" s="867">
        <f>_xlfn.IFERROR(BZ31/BZ29,0)</f>
        <v>0</v>
      </c>
      <c r="CA32" s="867">
        <f>_xlfn.IFERROR(CA31/CA29,0)</f>
        <v>0</v>
      </c>
      <c r="CB32" s="867">
        <f>_xlfn.IFERROR(CB31/CB29,0)</f>
        <v>0</v>
      </c>
      <c r="CC32" s="867">
        <f>_xlfn.IFERROR(CC31/CC29,0)</f>
        <v>0</v>
      </c>
      <c r="CD32" s="867">
        <f>_xlfn.IFERROR(CD31/CD29,0)</f>
        <v>0</v>
      </c>
      <c r="CE32" s="867">
        <f>_xlfn.IFERROR(CE31/CE29,0)</f>
        <v>0</v>
      </c>
      <c r="CF32" s="867">
        <f>_xlfn.IFERROR(CF31/CF29,0)</f>
        <v>0</v>
      </c>
      <c r="CG32" s="867">
        <f>_xlfn.IFERROR(CG31/CG29,0)</f>
        <v>0</v>
      </c>
      <c r="CH32" s="867">
        <f>_xlfn.IFERROR(CH31/CH29,0)</f>
        <v>0</v>
      </c>
      <c r="CI32" s="867">
        <f>_xlfn.IFERROR(CI31/CI29,0)</f>
        <v>0</v>
      </c>
      <c r="CJ32" s="867">
        <f>_xlfn.IFERROR(CJ31/CJ29,0)</f>
        <v>0</v>
      </c>
      <c r="CK32" s="867">
        <f>_xlfn.IFERROR(CK31/CK29,0)</f>
        <v>0</v>
      </c>
      <c r="CL32" s="867">
        <f>_xlfn.IFERROR(CL31/CL29,0)</f>
        <v>0</v>
      </c>
      <c r="CM32" s="867">
        <f>_xlfn.IFERROR(CM31/CM29,0)</f>
        <v>0</v>
      </c>
      <c r="CN32" s="867">
        <f>_xlfn.IFERROR(CN31/CN29,0)</f>
        <v>0</v>
      </c>
      <c r="CO32" s="867">
        <f>_xlfn.IFERROR(CO31/CO29,0)</f>
        <v>0</v>
      </c>
      <c r="CP32" s="867">
        <f>_xlfn.IFERROR(CP31/CP29,0)</f>
        <v>0</v>
      </c>
      <c r="CQ32" s="867">
        <f>_xlfn.IFERROR(CQ31/CQ29,0)</f>
        <v>0</v>
      </c>
      <c r="CR32" s="867">
        <f>_xlfn.IFERROR(CR31/CR29,0)</f>
        <v>0</v>
      </c>
      <c r="CS32" s="867">
        <f>_xlfn.IFERROR(CS31/CS29,0)</f>
        <v>0</v>
      </c>
      <c r="CT32" s="73"/>
      <c r="CW32" s="1173" t="s">
        <v>740</v>
      </c>
    </row>
    <row customHeight="1" ht="16.672500000000003" hidden="1">
      <c r="E33" s="797">
        <v>17.1</v>
      </c>
      <c r="F33" s="922" cm="1" t="str">
        <f t="array" ref="F33:F33">OFFSET(G33,-1,-1)</f>
        <v>0</v>
      </c>
      <c r="L33" s="922" cm="1" t="str">
        <f t="array" ref="L33:L33">OFFSET(M33,-1,-1)</f>
        <v>false</v>
      </c>
      <c r="R33" s="922" t="s">
        <v>730</v>
      </c>
      <c r="S33" s="159" cm="1" t="str">
        <f t="array" ref="S33:S33">OFFSET(T33,-1,-1)</f>
        <v>false</v>
      </c>
      <c r="T33" s="159" cm="1" t="str">
        <f t="array" ref="T33:T33">T32</f>
        <v>false</v>
      </c>
      <c r="U33" s="819">
        <f>AND(S33,IF(ISBLANK(T33),TRUE,T33))</f>
        <v>0</v>
      </c>
      <c r="AB33" s="1773"/>
      <c r="AD33" s="160" t="s">
        <v>483</v>
      </c>
      <c r="AE33" s="1510" t="s">
        <v>741</v>
      </c>
      <c r="AF33" s="1776"/>
      <c r="AG33" s="160" t="s">
        <v>733</v>
      </c>
      <c r="AH33" s="86"/>
      <c r="AI33" s="87"/>
      <c r="AJ33" s="87"/>
      <c r="AK33" s="87"/>
      <c r="AL33" s="862">
        <f>AM33+AN33</f>
        <v>0</v>
      </c>
      <c r="AM33" s="87"/>
      <c r="AN33" s="87"/>
      <c r="AO33" s="862">
        <f>AP33+AQ33</f>
        <v>0</v>
      </c>
      <c r="AP33" s="87"/>
      <c r="AQ33" s="87"/>
      <c r="AR33" s="862">
        <f>AS33+AT33</f>
        <v>0</v>
      </c>
      <c r="AS33" s="87"/>
      <c r="AT33" s="87"/>
      <c r="AU33" s="862">
        <f>AV33+AW33</f>
        <v>0</v>
      </c>
      <c r="AV33" s="87"/>
      <c r="AW33" s="87"/>
      <c r="AX33" s="862">
        <f>AY33+AZ33</f>
        <v>0</v>
      </c>
      <c r="AY33" s="87"/>
      <c r="AZ33" s="87"/>
      <c r="BA33" s="862">
        <f>BB33+BC33</f>
        <v>0</v>
      </c>
      <c r="BB33" s="87"/>
      <c r="BC33" s="87"/>
      <c r="BD33" s="862">
        <f>BE33+BF33</f>
        <v>0</v>
      </c>
      <c r="BE33" s="87"/>
      <c r="BF33" s="87"/>
      <c r="BG33" s="862">
        <f>BH33+BI33</f>
        <v>0</v>
      </c>
      <c r="BH33" s="87"/>
      <c r="BI33" s="87"/>
      <c r="BJ33" s="862">
        <f>BK33+BL33</f>
        <v>0</v>
      </c>
      <c r="BK33" s="87"/>
      <c r="BL33" s="87"/>
      <c r="BM33" s="862">
        <f>BN33+BO33</f>
        <v>0</v>
      </c>
      <c r="BN33" s="87"/>
      <c r="BO33" s="87"/>
      <c r="BP33" s="862">
        <f>BQ33+BR33</f>
        <v>0</v>
      </c>
      <c r="BQ33" s="1772"/>
      <c r="BR33" s="1772"/>
      <c r="BS33" s="862">
        <f>BT33+BU33</f>
        <v>0</v>
      </c>
      <c r="BT33" s="87"/>
      <c r="BU33" s="87"/>
      <c r="BV33" s="862">
        <f>BW33+BX33</f>
        <v>0</v>
      </c>
      <c r="BW33" s="87"/>
      <c r="BX33" s="87"/>
      <c r="BY33" s="862">
        <f>BZ33+CA33</f>
        <v>0</v>
      </c>
      <c r="BZ33" s="87"/>
      <c r="CA33" s="87"/>
      <c r="CB33" s="862">
        <f>CC33+CD33</f>
        <v>0</v>
      </c>
      <c r="CC33" s="87"/>
      <c r="CD33" s="87"/>
      <c r="CE33" s="862">
        <f>CF33+CG33</f>
        <v>0</v>
      </c>
      <c r="CF33" s="87"/>
      <c r="CG33" s="87"/>
      <c r="CH33" s="862">
        <f>CI33+CJ33</f>
        <v>0</v>
      </c>
      <c r="CI33" s="87"/>
      <c r="CJ33" s="87"/>
      <c r="CK33" s="862">
        <f>CL33+CM33</f>
        <v>0</v>
      </c>
      <c r="CL33" s="87"/>
      <c r="CM33" s="87"/>
      <c r="CN33" s="862">
        <f>CO33+CP33</f>
        <v>0</v>
      </c>
      <c r="CO33" s="87"/>
      <c r="CP33" s="87"/>
      <c r="CQ33" s="862">
        <f>CR33+CS33</f>
        <v>0</v>
      </c>
      <c r="CR33" s="87"/>
      <c r="CS33" s="87"/>
      <c r="CT33" s="73"/>
      <c r="CW33" s="1173" t="s">
        <v>742</v>
      </c>
    </row>
    <row customHeight="1" ht="16.672500000000003" hidden="1">
      <c r="E34" s="797">
        <v>17.1</v>
      </c>
      <c r="F34" s="922" cm="1" t="str">
        <f t="array" ref="F34:F34">OFFSET(G34,-1,-1)</f>
        <v>0</v>
      </c>
      <c r="L34" s="922" cm="1" t="str">
        <f t="array" ref="L34:L34">OFFSET(M34,-1,-1)</f>
        <v>false</v>
      </c>
      <c r="R34" s="922" t="s">
        <v>730</v>
      </c>
      <c r="S34" s="159" cm="1" t="str">
        <f t="array" ref="S34:S34">OFFSET(T34,-1,-1)</f>
        <v>false</v>
      </c>
      <c r="T34" s="159" cm="1" t="str">
        <f t="array" ref="T34:T34">T33</f>
        <v>false</v>
      </c>
      <c r="U34" s="819">
        <f>AND(S34,IF(ISBLANK(T34),TRUE,T34))</f>
        <v>0</v>
      </c>
      <c r="AB34" s="1773"/>
      <c r="AD34" s="160" t="s">
        <v>743</v>
      </c>
      <c r="AE34" s="1515" t="s">
        <v>744</v>
      </c>
      <c r="AF34" s="1778"/>
      <c r="AG34" s="160" t="s">
        <v>745</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772"/>
      <c r="BQ34" s="1772"/>
      <c r="BR34" s="1772"/>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3" t="s">
        <v>746</v>
      </c>
    </row>
    <row customHeight="1" ht="16.672500000000003" hidden="1">
      <c r="E35" s="797">
        <v>17.1</v>
      </c>
      <c r="F35" s="922" cm="1" t="str">
        <f t="array" ref="F35:F35">OFFSET(G35,-1,-1)</f>
        <v>0</v>
      </c>
      <c r="L35" s="922" cm="1" t="str">
        <f t="array" ref="L35:L35">OFFSET(M35,-1,-1)</f>
        <v>false</v>
      </c>
      <c r="R35" s="922" t="s">
        <v>730</v>
      </c>
      <c r="S35" s="159" cm="1" t="str">
        <f t="array" ref="S35:S35">OFFSET(T35,-1,-1)</f>
        <v>false</v>
      </c>
      <c r="T35" s="159" cm="1" t="str">
        <f t="array" ref="T35:T35">T34</f>
        <v>false</v>
      </c>
      <c r="U35" s="819">
        <f>AND(S35,IF(ISBLANK(T35),TRUE,T35))</f>
        <v>0</v>
      </c>
      <c r="AB35" s="1773"/>
      <c r="AD35" s="160">
        <v>3</v>
      </c>
      <c r="AE35" s="1498" t="s">
        <v>747</v>
      </c>
      <c r="AF35" s="1770"/>
      <c r="AG35" s="160" t="s">
        <v>733</v>
      </c>
      <c r="AH35" s="860">
        <f>AH29-AH30</f>
        <v>0</v>
      </c>
      <c r="AI35" s="862">
        <f>AI29-AI30</f>
        <v>0</v>
      </c>
      <c r="AJ35" s="862">
        <f>AJ29-AJ30</f>
        <v>0</v>
      </c>
      <c r="AK35" s="862">
        <f>AK29-AK30</f>
        <v>0</v>
      </c>
      <c r="AL35" s="862">
        <f>AL29-AL30</f>
        <v>0</v>
      </c>
      <c r="AM35" s="862">
        <f>AM29-AM30</f>
        <v>0</v>
      </c>
      <c r="AN35" s="862">
        <f>AN29-AN30</f>
        <v>0</v>
      </c>
      <c r="AO35" s="862">
        <f>AO29-AO30</f>
        <v>0</v>
      </c>
      <c r="AP35" s="862">
        <f>AP29-AP30</f>
        <v>0</v>
      </c>
      <c r="AQ35" s="862">
        <f>AQ29-AQ30</f>
        <v>0</v>
      </c>
      <c r="AR35" s="862">
        <f>AR29-AR30</f>
        <v>0</v>
      </c>
      <c r="AS35" s="862">
        <f>AS29-AS30</f>
        <v>0</v>
      </c>
      <c r="AT35" s="862">
        <f>AT29-AT30</f>
        <v>0</v>
      </c>
      <c r="AU35" s="862">
        <f>AU29-AU30</f>
        <v>0</v>
      </c>
      <c r="AV35" s="862">
        <f>AV29-AV30</f>
        <v>0</v>
      </c>
      <c r="AW35" s="862">
        <f>AW29-AW30</f>
        <v>0</v>
      </c>
      <c r="AX35" s="862">
        <f>AX29-AX30</f>
        <v>0</v>
      </c>
      <c r="AY35" s="862">
        <f>AY29-AY30</f>
        <v>0</v>
      </c>
      <c r="AZ35" s="862">
        <f>AZ29-AZ30</f>
        <v>0</v>
      </c>
      <c r="BA35" s="862">
        <f>BA29-BA30</f>
        <v>0</v>
      </c>
      <c r="BB35" s="862">
        <f>BB29-BB30</f>
        <v>0</v>
      </c>
      <c r="BC35" s="862">
        <f>BC29-BC30</f>
        <v>0</v>
      </c>
      <c r="BD35" s="862">
        <f>BD29-BD30</f>
        <v>0</v>
      </c>
      <c r="BE35" s="862">
        <f>BE29-BE30</f>
        <v>0</v>
      </c>
      <c r="BF35" s="862">
        <f>BF29-BF30</f>
        <v>0</v>
      </c>
      <c r="BG35" s="862">
        <f>BG29-BG30</f>
        <v>0</v>
      </c>
      <c r="BH35" s="862">
        <f>BH29-BH30</f>
        <v>0</v>
      </c>
      <c r="BI35" s="862">
        <f>BI29-BI30</f>
        <v>0</v>
      </c>
      <c r="BJ35" s="862">
        <f>BJ29-BJ30</f>
        <v>0</v>
      </c>
      <c r="BK35" s="862">
        <f>BK29-BK30</f>
        <v>0</v>
      </c>
      <c r="BL35" s="862">
        <f>BL29-BL30</f>
        <v>0</v>
      </c>
      <c r="BM35" s="862">
        <f>BM29-BM30</f>
        <v>0</v>
      </c>
      <c r="BN35" s="862">
        <f>BN29-BN30</f>
        <v>0</v>
      </c>
      <c r="BO35" s="862">
        <f>BO29-BO30</f>
        <v>0</v>
      </c>
      <c r="BP35" s="862">
        <f>BP29-BP30</f>
        <v>0</v>
      </c>
      <c r="BQ35" s="862">
        <f>BQ29-BQ30</f>
        <v>0</v>
      </c>
      <c r="BR35" s="862">
        <f>BR29-BR30</f>
        <v>0</v>
      </c>
      <c r="BS35" s="862">
        <f>BS29-BS30</f>
        <v>0</v>
      </c>
      <c r="BT35" s="862">
        <f>BT29-BT30</f>
        <v>0</v>
      </c>
      <c r="BU35" s="862">
        <f>BU29-BU30</f>
        <v>0</v>
      </c>
      <c r="BV35" s="862">
        <f>BV29-BV30</f>
        <v>0</v>
      </c>
      <c r="BW35" s="862">
        <f>BW29-BW30</f>
        <v>0</v>
      </c>
      <c r="BX35" s="862">
        <f>BX29-BX30</f>
        <v>0</v>
      </c>
      <c r="BY35" s="862">
        <f>BY29-BY30</f>
        <v>0</v>
      </c>
      <c r="BZ35" s="862">
        <f>BZ29-BZ30</f>
        <v>0</v>
      </c>
      <c r="CA35" s="862">
        <f>CA29-CA30</f>
        <v>0</v>
      </c>
      <c r="CB35" s="862">
        <f>CB29-CB30</f>
        <v>0</v>
      </c>
      <c r="CC35" s="862">
        <f>CC29-CC30</f>
        <v>0</v>
      </c>
      <c r="CD35" s="862">
        <f>CD29-CD30</f>
        <v>0</v>
      </c>
      <c r="CE35" s="862">
        <f>CE29-CE30</f>
        <v>0</v>
      </c>
      <c r="CF35" s="862">
        <f>CF29-CF30</f>
        <v>0</v>
      </c>
      <c r="CG35" s="862">
        <f>CG29-CG30</f>
        <v>0</v>
      </c>
      <c r="CH35" s="862">
        <f>CH29-CH30</f>
        <v>0</v>
      </c>
      <c r="CI35" s="862">
        <f>CI29-CI30</f>
        <v>0</v>
      </c>
      <c r="CJ35" s="862">
        <f>CJ29-CJ30</f>
        <v>0</v>
      </c>
      <c r="CK35" s="862">
        <f>CK29-CK30</f>
        <v>0</v>
      </c>
      <c r="CL35" s="862">
        <f>CL29-CL30</f>
        <v>0</v>
      </c>
      <c r="CM35" s="862">
        <f>CM29-CM30</f>
        <v>0</v>
      </c>
      <c r="CN35" s="862">
        <f>CN29-CN30</f>
        <v>0</v>
      </c>
      <c r="CO35" s="862">
        <f>CO29-CO30</f>
        <v>0</v>
      </c>
      <c r="CP35" s="862">
        <f>CP29-CP30</f>
        <v>0</v>
      </c>
      <c r="CQ35" s="862">
        <f>CQ29-CQ30</f>
        <v>0</v>
      </c>
      <c r="CR35" s="862">
        <f>CR29-CR30</f>
        <v>0</v>
      </c>
      <c r="CS35" s="862">
        <f>CS29-CS30</f>
        <v>0</v>
      </c>
      <c r="CT35" s="73"/>
      <c r="CW35" s="1173" t="s">
        <v>748</v>
      </c>
    </row>
    <row customHeight="1" ht="16.672500000000003" hidden="1">
      <c r="E36" s="797">
        <v>17.1</v>
      </c>
      <c r="F36" s="922" cm="1" t="str">
        <f t="array" ref="F36:F36">OFFSET(G36,-1,-1)</f>
        <v>0</v>
      </c>
      <c r="L36" s="922" cm="1" t="str">
        <f t="array" ref="L36:L36">OFFSET(M36,-1,-1)</f>
        <v>false</v>
      </c>
      <c r="R36" s="922" t="s">
        <v>730</v>
      </c>
      <c r="S36" s="159" cm="1" t="str">
        <f t="array" ref="S36:S36">OFFSET(T36,-1,-1)</f>
        <v>false</v>
      </c>
      <c r="T36" s="159" cm="1" t="str">
        <f t="array" ref="T36:T36">T35</f>
        <v>false</v>
      </c>
      <c r="U36" s="819">
        <f>AND(S36,IF(ISBLANK(T36),TRUE,T36))</f>
        <v>0</v>
      </c>
      <c r="AB36" s="1773"/>
      <c r="AD36" s="160">
        <v>4</v>
      </c>
      <c r="AE36" s="1498" t="s">
        <v>749</v>
      </c>
      <c r="AF36" s="1770"/>
      <c r="AG36" s="160" t="s">
        <v>733</v>
      </c>
      <c r="AH36" s="86"/>
      <c r="AI36" s="87"/>
      <c r="AJ36" s="87"/>
      <c r="AK36" s="87"/>
      <c r="AL36" s="862">
        <f>AM36+AN36</f>
        <v>0</v>
      </c>
      <c r="AM36" s="87"/>
      <c r="AN36" s="87"/>
      <c r="AO36" s="862">
        <f>AP36+AQ36</f>
        <v>0</v>
      </c>
      <c r="AP36" s="87"/>
      <c r="AQ36" s="87"/>
      <c r="AR36" s="862">
        <f>AS36+AT36</f>
        <v>0</v>
      </c>
      <c r="AS36" s="87"/>
      <c r="AT36" s="87"/>
      <c r="AU36" s="862">
        <f>AV36+AW36</f>
        <v>0</v>
      </c>
      <c r="AV36" s="87"/>
      <c r="AW36" s="87"/>
      <c r="AX36" s="862">
        <f>AY36+AZ36</f>
        <v>0</v>
      </c>
      <c r="AY36" s="87"/>
      <c r="AZ36" s="87"/>
      <c r="BA36" s="862">
        <f>BB36+BC36</f>
        <v>0</v>
      </c>
      <c r="BB36" s="87"/>
      <c r="BC36" s="87"/>
      <c r="BD36" s="862">
        <f>BE36+BF36</f>
        <v>0</v>
      </c>
      <c r="BE36" s="87"/>
      <c r="BF36" s="87"/>
      <c r="BG36" s="862">
        <f>BH36+BI36</f>
        <v>0</v>
      </c>
      <c r="BH36" s="87"/>
      <c r="BI36" s="87"/>
      <c r="BJ36" s="862">
        <f>BK36+BL36</f>
        <v>0</v>
      </c>
      <c r="BK36" s="87"/>
      <c r="BL36" s="87"/>
      <c r="BM36" s="862">
        <f>BN36+BO36</f>
        <v>0</v>
      </c>
      <c r="BN36" s="87"/>
      <c r="BO36" s="87"/>
      <c r="BP36" s="862">
        <f>BQ36+BR36</f>
        <v>0</v>
      </c>
      <c r="BQ36" s="1772"/>
      <c r="BR36" s="1772"/>
      <c r="BS36" s="862">
        <f>BT36+BU36</f>
        <v>0</v>
      </c>
      <c r="BT36" s="87"/>
      <c r="BU36" s="87"/>
      <c r="BV36" s="862">
        <f>BW36+BX36</f>
        <v>0</v>
      </c>
      <c r="BW36" s="87"/>
      <c r="BX36" s="87"/>
      <c r="BY36" s="862">
        <f>BZ36+CA36</f>
        <v>0</v>
      </c>
      <c r="BZ36" s="87"/>
      <c r="CA36" s="87"/>
      <c r="CB36" s="862">
        <f>CC36+CD36</f>
        <v>0</v>
      </c>
      <c r="CC36" s="87"/>
      <c r="CD36" s="87"/>
      <c r="CE36" s="862">
        <f>CF36+CG36</f>
        <v>0</v>
      </c>
      <c r="CF36" s="87"/>
      <c r="CG36" s="87"/>
      <c r="CH36" s="862">
        <f>CI36+CJ36</f>
        <v>0</v>
      </c>
      <c r="CI36" s="87"/>
      <c r="CJ36" s="87"/>
      <c r="CK36" s="862">
        <f>CL36+CM36</f>
        <v>0</v>
      </c>
      <c r="CL36" s="87"/>
      <c r="CM36" s="87"/>
      <c r="CN36" s="862">
        <f>CO36+CP36</f>
        <v>0</v>
      </c>
      <c r="CO36" s="87"/>
      <c r="CP36" s="87"/>
      <c r="CQ36" s="862">
        <f>CR36+CS36</f>
        <v>0</v>
      </c>
      <c r="CR36" s="87"/>
      <c r="CS36" s="87"/>
      <c r="CT36" s="73"/>
      <c r="CW36" s="1173" t="s">
        <v>750</v>
      </c>
    </row>
    <row customHeight="1" ht="16.672500000000003" hidden="1">
      <c r="E37" s="797">
        <v>17.1</v>
      </c>
      <c r="F37" s="922" cm="1" t="str">
        <f t="array" ref="F37:F37">OFFSET(G37,-1,-1)</f>
        <v>0</v>
      </c>
      <c r="L37" s="922" cm="1" t="str">
        <f t="array" ref="L37:L37">OFFSET(M37,-1,-1)</f>
        <v>false</v>
      </c>
      <c r="R37" s="922" t="s">
        <v>730</v>
      </c>
      <c r="S37" s="159" cm="1" t="str">
        <f t="array" ref="S37:S37">OFFSET(T37,-1,-1)</f>
        <v>false</v>
      </c>
      <c r="T37" s="159" cm="1" t="str">
        <f t="array" ref="T37:T37">T36</f>
        <v>false</v>
      </c>
      <c r="U37" s="819">
        <f>AND(S37,IF(ISBLANK(T37),TRUE,T37))</f>
        <v>0</v>
      </c>
      <c r="AB37" s="1773"/>
      <c r="AD37" s="160" t="s">
        <v>751</v>
      </c>
      <c r="AE37" s="1510" t="s">
        <v>752</v>
      </c>
      <c r="AF37" s="1776"/>
      <c r="AG37" s="160" t="s">
        <v>498</v>
      </c>
      <c r="AH37" s="866">
        <f>_xlfn.IFERROR(AH36/AH35,0)</f>
        <v>0</v>
      </c>
      <c r="AI37" s="867">
        <f>_xlfn.IFERROR(AI36/AI35,0)</f>
        <v>0</v>
      </c>
      <c r="AJ37" s="867">
        <f>_xlfn.IFERROR(AJ36/AJ35,0)</f>
        <v>0</v>
      </c>
      <c r="AK37" s="867">
        <f>_xlfn.IFERROR(AK36/AK35,0)</f>
        <v>0</v>
      </c>
      <c r="AL37" s="867">
        <f>_xlfn.IFERROR(AL36/AL35,0)</f>
        <v>0</v>
      </c>
      <c r="AM37" s="867">
        <f>_xlfn.IFERROR(AM36/AM35,0)</f>
        <v>0</v>
      </c>
      <c r="AN37" s="867">
        <f>_xlfn.IFERROR(AN36/AN35,0)</f>
        <v>0</v>
      </c>
      <c r="AO37" s="867">
        <f>_xlfn.IFERROR(AO36/AO35,0)</f>
        <v>0</v>
      </c>
      <c r="AP37" s="867">
        <f>_xlfn.IFERROR(AP36/AP35,0)</f>
        <v>0</v>
      </c>
      <c r="AQ37" s="867">
        <f>_xlfn.IFERROR(AQ36/AQ35,0)</f>
        <v>0</v>
      </c>
      <c r="AR37" s="867">
        <f>_xlfn.IFERROR(AR36/AR35,0)</f>
        <v>0</v>
      </c>
      <c r="AS37" s="867">
        <f>_xlfn.IFERROR(AS36/AS35,0)</f>
        <v>0</v>
      </c>
      <c r="AT37" s="867">
        <f>_xlfn.IFERROR(AT36/AT35,0)</f>
        <v>0</v>
      </c>
      <c r="AU37" s="867">
        <f>_xlfn.IFERROR(AU36/AU35,0)</f>
        <v>0</v>
      </c>
      <c r="AV37" s="867">
        <f>_xlfn.IFERROR(AV36/AV35,0)</f>
        <v>0</v>
      </c>
      <c r="AW37" s="867">
        <f>_xlfn.IFERROR(AW36/AW35,0)</f>
        <v>0</v>
      </c>
      <c r="AX37" s="867">
        <f>_xlfn.IFERROR(AX36/AX35,0)</f>
        <v>0</v>
      </c>
      <c r="AY37" s="867">
        <f>_xlfn.IFERROR(AY36/AY35,0)</f>
        <v>0</v>
      </c>
      <c r="AZ37" s="867">
        <f>_xlfn.IFERROR(AZ36/AZ35,0)</f>
        <v>0</v>
      </c>
      <c r="BA37" s="867">
        <f>_xlfn.IFERROR(BA36/BA35,0)</f>
        <v>0</v>
      </c>
      <c r="BB37" s="867">
        <f>_xlfn.IFERROR(BB36/BB35,0)</f>
        <v>0</v>
      </c>
      <c r="BC37" s="867">
        <f>_xlfn.IFERROR(BC36/BC35,0)</f>
        <v>0</v>
      </c>
      <c r="BD37" s="867">
        <f>_xlfn.IFERROR(BD36/BD35,0)</f>
        <v>0</v>
      </c>
      <c r="BE37" s="867">
        <f>_xlfn.IFERROR(BE36/BE35,0)</f>
        <v>0</v>
      </c>
      <c r="BF37" s="867">
        <f>_xlfn.IFERROR(BF36/BF35,0)</f>
        <v>0</v>
      </c>
      <c r="BG37" s="867">
        <f>_xlfn.IFERROR(BG36/BG35,0)</f>
        <v>0</v>
      </c>
      <c r="BH37" s="867">
        <f>_xlfn.IFERROR(BH36/BH35,0)</f>
        <v>0</v>
      </c>
      <c r="BI37" s="867">
        <f>_xlfn.IFERROR(BI36/BI35,0)</f>
        <v>0</v>
      </c>
      <c r="BJ37" s="867">
        <f>_xlfn.IFERROR(BJ36/BJ35,0)</f>
        <v>0</v>
      </c>
      <c r="BK37" s="867">
        <f>_xlfn.IFERROR(BK36/BK35,0)</f>
        <v>0</v>
      </c>
      <c r="BL37" s="867">
        <f>_xlfn.IFERROR(BL36/BL35,0)</f>
        <v>0</v>
      </c>
      <c r="BM37" s="867">
        <f>_xlfn.IFERROR(BM36/BM35,0)</f>
        <v>0</v>
      </c>
      <c r="BN37" s="867">
        <f>_xlfn.IFERROR(BN36/BN35,0)</f>
        <v>0</v>
      </c>
      <c r="BO37" s="867">
        <f>_xlfn.IFERROR(BO36/BO35,0)</f>
        <v>0</v>
      </c>
      <c r="BP37" s="867">
        <f>_xlfn.IFERROR(BP36/BP35,0)</f>
        <v>0</v>
      </c>
      <c r="BQ37" s="867">
        <f>_xlfn.IFERROR(BQ36/BQ35,0)</f>
        <v>0</v>
      </c>
      <c r="BR37" s="867">
        <f>_xlfn.IFERROR(BR36/BR35,0)</f>
        <v>0</v>
      </c>
      <c r="BS37" s="867">
        <f>_xlfn.IFERROR(BS36/BS35,0)</f>
        <v>0</v>
      </c>
      <c r="BT37" s="867">
        <f>_xlfn.IFERROR(BT36/BT35,0)</f>
        <v>0</v>
      </c>
      <c r="BU37" s="867">
        <f>_xlfn.IFERROR(BU36/BU35,0)</f>
        <v>0</v>
      </c>
      <c r="BV37" s="867">
        <f>_xlfn.IFERROR(BV36/BV35,0)</f>
        <v>0</v>
      </c>
      <c r="BW37" s="867">
        <f>_xlfn.IFERROR(BW36/BW35,0)</f>
        <v>0</v>
      </c>
      <c r="BX37" s="867">
        <f>_xlfn.IFERROR(BX36/BX35,0)</f>
        <v>0</v>
      </c>
      <c r="BY37" s="867">
        <f>_xlfn.IFERROR(BY36/BY35,0)</f>
        <v>0</v>
      </c>
      <c r="BZ37" s="867">
        <f>_xlfn.IFERROR(BZ36/BZ35,0)</f>
        <v>0</v>
      </c>
      <c r="CA37" s="867">
        <f>_xlfn.IFERROR(CA36/CA35,0)</f>
        <v>0</v>
      </c>
      <c r="CB37" s="867">
        <f>_xlfn.IFERROR(CB36/CB35,0)</f>
        <v>0</v>
      </c>
      <c r="CC37" s="867">
        <f>_xlfn.IFERROR(CC36/CC35,0)</f>
        <v>0</v>
      </c>
      <c r="CD37" s="867">
        <f>_xlfn.IFERROR(CD36/CD35,0)</f>
        <v>0</v>
      </c>
      <c r="CE37" s="867">
        <f>_xlfn.IFERROR(CE36/CE35,0)</f>
        <v>0</v>
      </c>
      <c r="CF37" s="867">
        <f>_xlfn.IFERROR(CF36/CF35,0)</f>
        <v>0</v>
      </c>
      <c r="CG37" s="867">
        <f>_xlfn.IFERROR(CG36/CG35,0)</f>
        <v>0</v>
      </c>
      <c r="CH37" s="867">
        <f>_xlfn.IFERROR(CH36/CH35,0)</f>
        <v>0</v>
      </c>
      <c r="CI37" s="867">
        <f>_xlfn.IFERROR(CI36/CI35,0)</f>
        <v>0</v>
      </c>
      <c r="CJ37" s="867">
        <f>_xlfn.IFERROR(CJ36/CJ35,0)</f>
        <v>0</v>
      </c>
      <c r="CK37" s="867">
        <f>_xlfn.IFERROR(CK36/CK35,0)</f>
        <v>0</v>
      </c>
      <c r="CL37" s="867">
        <f>_xlfn.IFERROR(CL36/CL35,0)</f>
        <v>0</v>
      </c>
      <c r="CM37" s="867">
        <f>_xlfn.IFERROR(CM36/CM35,0)</f>
        <v>0</v>
      </c>
      <c r="CN37" s="867">
        <f>_xlfn.IFERROR(CN36/CN35,0)</f>
        <v>0</v>
      </c>
      <c r="CO37" s="867">
        <f>_xlfn.IFERROR(CO36/CO35,0)</f>
        <v>0</v>
      </c>
      <c r="CP37" s="867">
        <f>_xlfn.IFERROR(CP36/CP35,0)</f>
        <v>0</v>
      </c>
      <c r="CQ37" s="867">
        <f>_xlfn.IFERROR(CQ36/CQ35,0)</f>
        <v>0</v>
      </c>
      <c r="CR37" s="867">
        <f>_xlfn.IFERROR(CR36/CR35,0)</f>
        <v>0</v>
      </c>
      <c r="CS37" s="867">
        <f>_xlfn.IFERROR(CS36/CS35,0)</f>
        <v>0</v>
      </c>
      <c r="CT37" s="73"/>
      <c r="CW37" s="1173" t="s">
        <v>753</v>
      </c>
    </row>
    <row customHeight="1" ht="16.672500000000003" hidden="1">
      <c r="E38" s="797">
        <v>17.1</v>
      </c>
      <c r="F38" s="922" cm="1" t="str">
        <f t="array" ref="F38:F38">OFFSET(G38,-1,-1)</f>
        <v>0</v>
      </c>
      <c r="L38" s="922" cm="1" t="str">
        <f t="array" ref="L38:L38">OFFSET(M38,-1,-1)</f>
        <v>false</v>
      </c>
      <c r="R38" s="922" t="s">
        <v>730</v>
      </c>
      <c r="S38" s="159" cm="1" t="str">
        <f t="array" ref="S38:S38">OFFSET(T38,-1,-1)</f>
        <v>false</v>
      </c>
      <c r="T38" s="159" cm="1" t="str">
        <f t="array" ref="T38:T38">T37</f>
        <v>false</v>
      </c>
      <c r="U38" s="819">
        <f>AND(S38,IF(ISBLANK(T38),TRUE,T38))</f>
        <v>0</v>
      </c>
      <c r="AB38" s="1773"/>
      <c r="AD38" s="160">
        <v>5</v>
      </c>
      <c r="AE38" s="1781" t="s">
        <v>754</v>
      </c>
      <c r="AF38" s="1782"/>
      <c r="AG38" s="160" t="s">
        <v>733</v>
      </c>
      <c r="AH38" s="86"/>
      <c r="AI38" s="87"/>
      <c r="AJ38" s="87"/>
      <c r="AK38" s="87"/>
      <c r="AL38" s="862">
        <f>AM38+AN38</f>
        <v>0</v>
      </c>
      <c r="AM38" s="87"/>
      <c r="AN38" s="87"/>
      <c r="AO38" s="862">
        <f>AP38+AQ38</f>
        <v>0</v>
      </c>
      <c r="AP38" s="87"/>
      <c r="AQ38" s="87"/>
      <c r="AR38" s="862">
        <f>AS38+AT38</f>
        <v>0</v>
      </c>
      <c r="AS38" s="87"/>
      <c r="AT38" s="87"/>
      <c r="AU38" s="862">
        <f>AV38+AW38</f>
        <v>0</v>
      </c>
      <c r="AV38" s="87"/>
      <c r="AW38" s="87"/>
      <c r="AX38" s="862">
        <f>AY38+AZ38</f>
        <v>0</v>
      </c>
      <c r="AY38" s="87"/>
      <c r="AZ38" s="87"/>
      <c r="BA38" s="862">
        <f>BB38+BC38</f>
        <v>0</v>
      </c>
      <c r="BB38" s="87"/>
      <c r="BC38" s="87"/>
      <c r="BD38" s="862">
        <f>BE38+BF38</f>
        <v>0</v>
      </c>
      <c r="BE38" s="87"/>
      <c r="BF38" s="87"/>
      <c r="BG38" s="862">
        <f>BH38+BI38</f>
        <v>0</v>
      </c>
      <c r="BH38" s="87"/>
      <c r="BI38" s="87"/>
      <c r="BJ38" s="862">
        <f>BK38+BL38</f>
        <v>0</v>
      </c>
      <c r="BK38" s="87"/>
      <c r="BL38" s="87"/>
      <c r="BM38" s="862">
        <f>BN38+BO38</f>
        <v>0</v>
      </c>
      <c r="BN38" s="87"/>
      <c r="BO38" s="87"/>
      <c r="BP38" s="862">
        <f>BQ38+BR38</f>
        <v>0</v>
      </c>
      <c r="BQ38" s="1772"/>
      <c r="BR38" s="1772"/>
      <c r="BS38" s="862">
        <f>BT38+BU38</f>
        <v>0</v>
      </c>
      <c r="BT38" s="87"/>
      <c r="BU38" s="87"/>
      <c r="BV38" s="862">
        <f>BW38+BX38</f>
        <v>0</v>
      </c>
      <c r="BW38" s="87"/>
      <c r="BX38" s="87"/>
      <c r="BY38" s="862">
        <f>BZ38+CA38</f>
        <v>0</v>
      </c>
      <c r="BZ38" s="87"/>
      <c r="CA38" s="87"/>
      <c r="CB38" s="862">
        <f>CC38+CD38</f>
        <v>0</v>
      </c>
      <c r="CC38" s="87"/>
      <c r="CD38" s="87"/>
      <c r="CE38" s="862">
        <f>CF38+CG38</f>
        <v>0</v>
      </c>
      <c r="CF38" s="87"/>
      <c r="CG38" s="87"/>
      <c r="CH38" s="862">
        <f>CI38+CJ38</f>
        <v>0</v>
      </c>
      <c r="CI38" s="87"/>
      <c r="CJ38" s="87"/>
      <c r="CK38" s="862">
        <f>CL38+CM38</f>
        <v>0</v>
      </c>
      <c r="CL38" s="87"/>
      <c r="CM38" s="87"/>
      <c r="CN38" s="862">
        <f>CO38+CP38</f>
        <v>0</v>
      </c>
      <c r="CO38" s="87"/>
      <c r="CP38" s="87"/>
      <c r="CQ38" s="862">
        <f>CR38+CS38</f>
        <v>0</v>
      </c>
      <c r="CR38" s="87"/>
      <c r="CS38" s="87"/>
      <c r="CT38" s="73"/>
      <c r="CW38" s="1173" t="s">
        <v>755</v>
      </c>
    </row>
    <row customHeight="1" ht="16.672500000000003" hidden="1">
      <c r="E39" s="797">
        <v>17.1</v>
      </c>
      <c r="F39" s="922" cm="1" t="str">
        <f t="array" ref="F39:F39">OFFSET(G39,-1,-1)</f>
        <v>0</v>
      </c>
      <c r="L39" s="922" cm="1" t="str">
        <f t="array" ref="L39:L39">OFFSET(M39,-1,-1)</f>
        <v>false</v>
      </c>
      <c r="R39" s="922" t="s">
        <v>730</v>
      </c>
      <c r="S39" s="159" cm="1" t="str">
        <f t="array" ref="S39:S39">OFFSET(T39,-1,-1)</f>
        <v>false</v>
      </c>
      <c r="T39" s="159" cm="1" t="str">
        <f t="array" ref="T39:T39">T38</f>
        <v>false</v>
      </c>
      <c r="U39" s="819">
        <f>AND(S39,IF(ISBLANK(T39),TRUE,T39))</f>
        <v>0</v>
      </c>
      <c r="AB39" s="1773"/>
      <c r="AD39" s="160" t="s">
        <v>756</v>
      </c>
      <c r="AE39" s="1510" t="s">
        <v>752</v>
      </c>
      <c r="AF39" s="1776"/>
      <c r="AG39" s="160" t="s">
        <v>498</v>
      </c>
      <c r="AH39" s="866">
        <f>_xlfn.IFERROR(AH38/AH35,0)</f>
        <v>0</v>
      </c>
      <c r="AI39" s="867">
        <f>_xlfn.IFERROR(AI38/AI35,0)</f>
        <v>0</v>
      </c>
      <c r="AJ39" s="867">
        <f>_xlfn.IFERROR(AJ38/AJ35,0)</f>
        <v>0</v>
      </c>
      <c r="AK39" s="867">
        <f>_xlfn.IFERROR(AK38/AK35,0)</f>
        <v>0</v>
      </c>
      <c r="AL39" s="867">
        <f>_xlfn.IFERROR(AL38/AL35,0)</f>
        <v>0</v>
      </c>
      <c r="AM39" s="867">
        <f>_xlfn.IFERROR(AM38/AM35,0)</f>
        <v>0</v>
      </c>
      <c r="AN39" s="867">
        <f>_xlfn.IFERROR(AN38/AN35,0)</f>
        <v>0</v>
      </c>
      <c r="AO39" s="867">
        <f>_xlfn.IFERROR(AO38/AO35,0)</f>
        <v>0</v>
      </c>
      <c r="AP39" s="867">
        <f>_xlfn.IFERROR(AP38/AP35,0)</f>
        <v>0</v>
      </c>
      <c r="AQ39" s="867">
        <f>_xlfn.IFERROR(AQ38/AQ35,0)</f>
        <v>0</v>
      </c>
      <c r="AR39" s="867">
        <f>_xlfn.IFERROR(AR38/AR35,0)</f>
        <v>0</v>
      </c>
      <c r="AS39" s="867">
        <f>_xlfn.IFERROR(AS38/AS35,0)</f>
        <v>0</v>
      </c>
      <c r="AT39" s="867">
        <f>_xlfn.IFERROR(AT38/AT35,0)</f>
        <v>0</v>
      </c>
      <c r="AU39" s="867">
        <f>_xlfn.IFERROR(AU38/AU35,0)</f>
        <v>0</v>
      </c>
      <c r="AV39" s="867">
        <f>_xlfn.IFERROR(AV38/AV35,0)</f>
        <v>0</v>
      </c>
      <c r="AW39" s="867">
        <f>_xlfn.IFERROR(AW38/AW35,0)</f>
        <v>0</v>
      </c>
      <c r="AX39" s="867">
        <f>_xlfn.IFERROR(AX38/AX35,0)</f>
        <v>0</v>
      </c>
      <c r="AY39" s="867">
        <f>_xlfn.IFERROR(AY38/AY35,0)</f>
        <v>0</v>
      </c>
      <c r="AZ39" s="867">
        <f>_xlfn.IFERROR(AZ38/AZ35,0)</f>
        <v>0</v>
      </c>
      <c r="BA39" s="867">
        <f>_xlfn.IFERROR(BA38/BA35,0)</f>
        <v>0</v>
      </c>
      <c r="BB39" s="867">
        <f>_xlfn.IFERROR(BB38/BB35,0)</f>
        <v>0</v>
      </c>
      <c r="BC39" s="867">
        <f>_xlfn.IFERROR(BC38/BC35,0)</f>
        <v>0</v>
      </c>
      <c r="BD39" s="867">
        <f>_xlfn.IFERROR(BD38/BD35,0)</f>
        <v>0</v>
      </c>
      <c r="BE39" s="867">
        <f>_xlfn.IFERROR(BE38/BE35,0)</f>
        <v>0</v>
      </c>
      <c r="BF39" s="867">
        <f>_xlfn.IFERROR(BF38/BF35,0)</f>
        <v>0</v>
      </c>
      <c r="BG39" s="867">
        <f>_xlfn.IFERROR(BG38/BG35,0)</f>
        <v>0</v>
      </c>
      <c r="BH39" s="867">
        <f>_xlfn.IFERROR(BH38/BH35,0)</f>
        <v>0</v>
      </c>
      <c r="BI39" s="867">
        <f>_xlfn.IFERROR(BI38/BI35,0)</f>
        <v>0</v>
      </c>
      <c r="BJ39" s="867">
        <f>_xlfn.IFERROR(BJ38/BJ35,0)</f>
        <v>0</v>
      </c>
      <c r="BK39" s="867">
        <f>_xlfn.IFERROR(BK38/BK35,0)</f>
        <v>0</v>
      </c>
      <c r="BL39" s="867">
        <f>_xlfn.IFERROR(BL38/BL35,0)</f>
        <v>0</v>
      </c>
      <c r="BM39" s="867">
        <f>_xlfn.IFERROR(BM38/BM35,0)</f>
        <v>0</v>
      </c>
      <c r="BN39" s="867">
        <f>_xlfn.IFERROR(BN38/BN35,0)</f>
        <v>0</v>
      </c>
      <c r="BO39" s="867">
        <f>_xlfn.IFERROR(BO38/BO35,0)</f>
        <v>0</v>
      </c>
      <c r="BP39" s="867">
        <f>_xlfn.IFERROR(BP38/BP35,0)</f>
        <v>0</v>
      </c>
      <c r="BQ39" s="867">
        <f>_xlfn.IFERROR(BQ38/BQ35,0)</f>
        <v>0</v>
      </c>
      <c r="BR39" s="867">
        <f>_xlfn.IFERROR(BR38/BR35,0)</f>
        <v>0</v>
      </c>
      <c r="BS39" s="867">
        <f>_xlfn.IFERROR(BS38/BS35,0)</f>
        <v>0</v>
      </c>
      <c r="BT39" s="867">
        <f>_xlfn.IFERROR(BT38/BT35,0)</f>
        <v>0</v>
      </c>
      <c r="BU39" s="867">
        <f>_xlfn.IFERROR(BU38/BU35,0)</f>
        <v>0</v>
      </c>
      <c r="BV39" s="867">
        <f>_xlfn.IFERROR(BV38/BV35,0)</f>
        <v>0</v>
      </c>
      <c r="BW39" s="867">
        <f>_xlfn.IFERROR(BW38/BW35,0)</f>
        <v>0</v>
      </c>
      <c r="BX39" s="867">
        <f>_xlfn.IFERROR(BX38/BX35,0)</f>
        <v>0</v>
      </c>
      <c r="BY39" s="867">
        <f>_xlfn.IFERROR(BY38/BY35,0)</f>
        <v>0</v>
      </c>
      <c r="BZ39" s="867">
        <f>_xlfn.IFERROR(BZ38/BZ35,0)</f>
        <v>0</v>
      </c>
      <c r="CA39" s="867">
        <f>_xlfn.IFERROR(CA38/CA35,0)</f>
        <v>0</v>
      </c>
      <c r="CB39" s="867">
        <f>_xlfn.IFERROR(CB38/CB35,0)</f>
        <v>0</v>
      </c>
      <c r="CC39" s="867">
        <f>_xlfn.IFERROR(CC38/CC35,0)</f>
        <v>0</v>
      </c>
      <c r="CD39" s="867">
        <f>_xlfn.IFERROR(CD38/CD35,0)</f>
        <v>0</v>
      </c>
      <c r="CE39" s="867">
        <f>_xlfn.IFERROR(CE38/CE35,0)</f>
        <v>0</v>
      </c>
      <c r="CF39" s="867">
        <f>_xlfn.IFERROR(CF38/CF35,0)</f>
        <v>0</v>
      </c>
      <c r="CG39" s="867">
        <f>_xlfn.IFERROR(CG38/CG35,0)</f>
        <v>0</v>
      </c>
      <c r="CH39" s="867">
        <f>_xlfn.IFERROR(CH38/CH35,0)</f>
        <v>0</v>
      </c>
      <c r="CI39" s="867">
        <f>_xlfn.IFERROR(CI38/CI35,0)</f>
        <v>0</v>
      </c>
      <c r="CJ39" s="867">
        <f>_xlfn.IFERROR(CJ38/CJ35,0)</f>
        <v>0</v>
      </c>
      <c r="CK39" s="867">
        <f>_xlfn.IFERROR(CK38/CK35,0)</f>
        <v>0</v>
      </c>
      <c r="CL39" s="867">
        <f>_xlfn.IFERROR(CL38/CL35,0)</f>
        <v>0</v>
      </c>
      <c r="CM39" s="867">
        <f>_xlfn.IFERROR(CM38/CM35,0)</f>
        <v>0</v>
      </c>
      <c r="CN39" s="867">
        <f>_xlfn.IFERROR(CN38/CN35,0)</f>
        <v>0</v>
      </c>
      <c r="CO39" s="867">
        <f>_xlfn.IFERROR(CO38/CO35,0)</f>
        <v>0</v>
      </c>
      <c r="CP39" s="867">
        <f>_xlfn.IFERROR(CP38/CP35,0)</f>
        <v>0</v>
      </c>
      <c r="CQ39" s="867">
        <f>_xlfn.IFERROR(CQ38/CQ35,0)</f>
        <v>0</v>
      </c>
      <c r="CR39" s="867">
        <f>_xlfn.IFERROR(CR38/CR35,0)</f>
        <v>0</v>
      </c>
      <c r="CS39" s="867">
        <f>_xlfn.IFERROR(CS38/CS35,0)</f>
        <v>0</v>
      </c>
      <c r="CT39" s="73"/>
      <c r="CW39" s="1173" t="s">
        <v>757</v>
      </c>
    </row>
    <row customHeight="1" ht="16.672500000000003" hidden="1">
      <c r="E40" s="797">
        <v>17.1</v>
      </c>
      <c r="F40" s="922" cm="1" t="str">
        <f t="array" ref="F40:F40">OFFSET(G40,-1,-1)</f>
        <v>0</v>
      </c>
      <c r="L40" s="922" cm="1" t="str">
        <f t="array" ref="L40:L40">OFFSET(M40,-1,-1)</f>
        <v>false</v>
      </c>
      <c r="R40" s="922" t="s">
        <v>730</v>
      </c>
      <c r="S40" s="159" cm="1" t="str">
        <f t="array" ref="S40:S40">OFFSET(T40,-1,-1)</f>
        <v>false</v>
      </c>
      <c r="T40" s="159" cm="1" t="str">
        <f t="array" ref="T40:T40">T39</f>
        <v>false</v>
      </c>
      <c r="U40" s="819">
        <f>AND(S40,IF(ISBLANK(T40),TRUE,T40))</f>
        <v>0</v>
      </c>
      <c r="AB40" s="1773"/>
      <c r="AD40" s="160">
        <v>6</v>
      </c>
      <c r="AE40" s="1517" t="s">
        <v>758</v>
      </c>
      <c r="AF40" s="1782"/>
      <c r="AG40" s="160" t="s">
        <v>733</v>
      </c>
      <c r="AH40" s="860">
        <f>AH35-AH36-AH38</f>
        <v>0</v>
      </c>
      <c r="AI40" s="862">
        <f>AI35-AI36-AI38</f>
        <v>0</v>
      </c>
      <c r="AJ40" s="862">
        <f>AJ35-AJ36-AJ38</f>
        <v>0</v>
      </c>
      <c r="AK40" s="862">
        <f>AK35-AK36-AK38</f>
        <v>0</v>
      </c>
      <c r="AL40" s="862">
        <f>AL35-AL36-AL38</f>
        <v>0</v>
      </c>
      <c r="AM40" s="862">
        <f>AM35-AM36-AM38</f>
        <v>0</v>
      </c>
      <c r="AN40" s="862">
        <f>AN35-AN36-AN38</f>
        <v>0</v>
      </c>
      <c r="AO40" s="862">
        <f>AO35-AO36-AO38</f>
        <v>0</v>
      </c>
      <c r="AP40" s="862">
        <f>AP35-AP36-AP38</f>
        <v>0</v>
      </c>
      <c r="AQ40" s="862">
        <f>AQ35-AQ36-AQ38</f>
        <v>0</v>
      </c>
      <c r="AR40" s="862">
        <f>AR35-AR36-AR38</f>
        <v>0</v>
      </c>
      <c r="AS40" s="862">
        <f>AS35-AS36-AS38</f>
        <v>0</v>
      </c>
      <c r="AT40" s="862">
        <f>AT35-AT36-AT38</f>
        <v>0</v>
      </c>
      <c r="AU40" s="862">
        <f>AU35-AU36-AU38</f>
        <v>0</v>
      </c>
      <c r="AV40" s="862">
        <f>AV35-AV36-AV38</f>
        <v>0</v>
      </c>
      <c r="AW40" s="862">
        <f>AW35-AW36-AW38</f>
        <v>0</v>
      </c>
      <c r="AX40" s="862">
        <f>AX35-AX36-AX38</f>
        <v>0</v>
      </c>
      <c r="AY40" s="862">
        <f>AY35-AY36-AY38</f>
        <v>0</v>
      </c>
      <c r="AZ40" s="862">
        <f>AZ35-AZ36-AZ38</f>
        <v>0</v>
      </c>
      <c r="BA40" s="862">
        <f>BA35-BA36-BA38</f>
        <v>0</v>
      </c>
      <c r="BB40" s="862">
        <f>BB35-BB36-BB38</f>
        <v>0</v>
      </c>
      <c r="BC40" s="862">
        <f>BC35-BC36-BC38</f>
        <v>0</v>
      </c>
      <c r="BD40" s="862">
        <f>BD35-BD36-BD38</f>
        <v>0</v>
      </c>
      <c r="BE40" s="862">
        <f>BE35-BE36-BE38</f>
        <v>0</v>
      </c>
      <c r="BF40" s="862">
        <f>BF35-BF36-BF38</f>
        <v>0</v>
      </c>
      <c r="BG40" s="862">
        <f>BG35-BG36-BG38</f>
        <v>0</v>
      </c>
      <c r="BH40" s="862">
        <f>BH35-BH36-BH38</f>
        <v>0</v>
      </c>
      <c r="BI40" s="862">
        <f>BI35-BI36-BI38</f>
        <v>0</v>
      </c>
      <c r="BJ40" s="862">
        <f>BJ35-BJ36-BJ38</f>
        <v>0</v>
      </c>
      <c r="BK40" s="862">
        <f>BK35-BK36-BK38</f>
        <v>0</v>
      </c>
      <c r="BL40" s="862">
        <f>BL35-BL36-BL38</f>
        <v>0</v>
      </c>
      <c r="BM40" s="862">
        <f>BM35-BM36-BM38</f>
        <v>0</v>
      </c>
      <c r="BN40" s="862">
        <f>BN35-BN36-BN38</f>
        <v>0</v>
      </c>
      <c r="BO40" s="862">
        <f>BO35-BO36-BO38</f>
        <v>0</v>
      </c>
      <c r="BP40" s="862">
        <f>BP35-BP36-BP38</f>
        <v>0</v>
      </c>
      <c r="BQ40" s="862">
        <f>BQ35-BQ36-BQ38</f>
        <v>0</v>
      </c>
      <c r="BR40" s="862">
        <f>BR35-BR36-BR38</f>
        <v>0</v>
      </c>
      <c r="BS40" s="862">
        <f>BS35-BS36-BS38</f>
        <v>0</v>
      </c>
      <c r="BT40" s="862">
        <f>BT35-BT36-BT38</f>
        <v>0</v>
      </c>
      <c r="BU40" s="862">
        <f>BU35-BU36-BU38</f>
        <v>0</v>
      </c>
      <c r="BV40" s="862">
        <f>BV35-BV36-BV38</f>
        <v>0</v>
      </c>
      <c r="BW40" s="862">
        <f>BW35-BW36-BW38</f>
        <v>0</v>
      </c>
      <c r="BX40" s="862">
        <f>BX35-BX36-BX38</f>
        <v>0</v>
      </c>
      <c r="BY40" s="862">
        <f>BY35-BY36-BY38</f>
        <v>0</v>
      </c>
      <c r="BZ40" s="862">
        <f>BZ35-BZ36-BZ38</f>
        <v>0</v>
      </c>
      <c r="CA40" s="862">
        <f>CA35-CA36-CA38</f>
        <v>0</v>
      </c>
      <c r="CB40" s="862">
        <f>CB35-CB36-CB38</f>
        <v>0</v>
      </c>
      <c r="CC40" s="862">
        <f>CC35-CC36-CC38</f>
        <v>0</v>
      </c>
      <c r="CD40" s="862">
        <f>CD35-CD36-CD38</f>
        <v>0</v>
      </c>
      <c r="CE40" s="862">
        <f>CE35-CE36-CE38</f>
        <v>0</v>
      </c>
      <c r="CF40" s="862">
        <f>CF35-CF36-CF38</f>
        <v>0</v>
      </c>
      <c r="CG40" s="862">
        <f>CG35-CG36-CG38</f>
        <v>0</v>
      </c>
      <c r="CH40" s="862">
        <f>CH35-CH36-CH38</f>
        <v>0</v>
      </c>
      <c r="CI40" s="862">
        <f>CI35-CI36-CI38</f>
        <v>0</v>
      </c>
      <c r="CJ40" s="862">
        <f>CJ35-CJ36-CJ38</f>
        <v>0</v>
      </c>
      <c r="CK40" s="862">
        <f>CK35-CK36-CK38</f>
        <v>0</v>
      </c>
      <c r="CL40" s="862">
        <f>CL35-CL36-CL38</f>
        <v>0</v>
      </c>
      <c r="CM40" s="862">
        <f>CM35-CM36-CM38</f>
        <v>0</v>
      </c>
      <c r="CN40" s="862">
        <f>CN35-CN36-CN38</f>
        <v>0</v>
      </c>
      <c r="CO40" s="862">
        <f>CO35-CO36-CO38</f>
        <v>0</v>
      </c>
      <c r="CP40" s="862">
        <f>CP35-CP36-CP38</f>
        <v>0</v>
      </c>
      <c r="CQ40" s="862">
        <f>CQ35-CQ36-CQ38</f>
        <v>0</v>
      </c>
      <c r="CR40" s="862">
        <f>CR35-CR36-CR38</f>
        <v>0</v>
      </c>
      <c r="CS40" s="862">
        <f>CS35-CS36-CS38</f>
        <v>0</v>
      </c>
      <c r="CT40" s="73"/>
      <c r="CW40" s="1173" t="s">
        <v>759</v>
      </c>
    </row>
    <row customHeight="1" ht="29.25" hidden="1">
      <c r="E41" s="797">
        <v>30</v>
      </c>
      <c r="F41" s="922" cm="1" t="str">
        <f t="array" ref="F41:F41">OFFSET(G41,-1,-1)</f>
        <v>0</v>
      </c>
      <c r="L41" s="922" cm="1" t="str">
        <f t="array" ref="L41:L41">OFFSET(M41,-1,-1)</f>
        <v>false</v>
      </c>
      <c r="S41" s="159" cm="1" t="str">
        <f t="array" ref="S41:S41">OFFSET(T41,-1,-1)</f>
        <v>false</v>
      </c>
      <c r="U41" s="819">
        <f>AND(S41,IF(ISBLANK(T41),TRUE,T41))</f>
        <v>0</v>
      </c>
      <c r="AB41" s="1773"/>
      <c r="AD41" s="160">
        <v>7</v>
      </c>
      <c r="AE41" s="1783" t="s">
        <v>760</v>
      </c>
      <c r="AF41" s="1784"/>
      <c r="AG41" s="1785" t="s">
        <v>599</v>
      </c>
      <c r="AH41" s="860">
        <f>_xlfn.SUMIFS('Баланс Пр'!AE$27:AE$165,'Баланс Пр'!$AB$27:$AB$165,"3.1",'Баланс Пр'!$F$27:$F$165,$F41)+_xlfn.SUMIFS('Баланс Пр'!AE$27:AE$165,'Баланс Пр'!$AB$27:$AB$165,"3.2",'Баланс Пр'!$F$27:$F$165,$F41)</f>
        <v>0</v>
      </c>
      <c r="AI41" s="860">
        <f>_xlfn.SUMIFS('Баланс Пр'!AF$27:AF$165,'Баланс Пр'!$AB$27:$AB$165,"3.1",'Баланс Пр'!$F$27:$F$165,$F41)+_xlfn.SUMIFS('Баланс Пр'!AF$27:AF$165,'Баланс Пр'!$AB$27:$AB$165,"3.2",'Баланс Пр'!$F$27:$F$165,$F41)</f>
        <v>0</v>
      </c>
      <c r="AJ41" s="860">
        <f>_xlfn.SUMIFS('Баланс Пр'!AG$27:AG$165,'Баланс Пр'!$AB$27:$AB$165,"3.1",'Баланс Пр'!$F$27:$F$165,$F41)+_xlfn.SUMIFS('Баланс Пр'!AG$27:AG$165,'Баланс Пр'!$AB$27:$AB$165,"3.2",'Баланс Пр'!$F$27:$F$165,$F41)</f>
        <v>0</v>
      </c>
      <c r="AK41" s="860">
        <f>_xlfn.SUMIFS('Баланс Пр'!AH$27:AH$165,'Баланс Пр'!$AB$27:$AB$165,"3.1",'Баланс Пр'!$F$27:$F$165,$F41)+_xlfn.SUMIFS('Баланс Пр'!AH$27:AH$165,'Баланс Пр'!$AB$27:$AB$165,"3.2",'Баланс Пр'!$F$27:$F$165,$F41)</f>
        <v>0</v>
      </c>
      <c r="AL41" s="860">
        <f>_xlfn.SUMIFS('Баланс Пр'!AI$27:AI$165,'Баланс Пр'!$AB$27:$AB$165,"3.1",'Баланс Пр'!$F$27:$F$165,$F41)+_xlfn.SUMIFS('Баланс Пр'!AI$27:AI$165,'Баланс Пр'!$AB$27:$AB$165,"3.2",'Баланс Пр'!$F$27:$F$165,$F41)</f>
        <v>0</v>
      </c>
      <c r="AM41" s="87"/>
      <c r="AN41" s="862">
        <f>AL41-AM41</f>
        <v>0</v>
      </c>
      <c r="AO41" s="860">
        <f>_xlfn.SUMIFS('Баланс Пр'!AJ$27:AJ$165,'Баланс Пр'!$AB$27:$AB$165,"3.1",'Баланс Пр'!$F$27:$F$165,$F41)+_xlfn.SUMIFS('Баланс Пр'!AJ$27:AJ$165,'Баланс Пр'!$AB$27:$AB$165,"3.2",'Баланс Пр'!$F$27:$F$165,$F41)</f>
        <v>0</v>
      </c>
      <c r="AP41" s="87"/>
      <c r="AQ41" s="862">
        <f>AO41-AP41</f>
        <v>0</v>
      </c>
      <c r="AR41" s="860">
        <f>_xlfn.SUMIFS('Баланс Пр'!AK$27:AK$165,'Баланс Пр'!$AB$27:$AB$165,"3.1",'Баланс Пр'!$F$27:$F$165,$F41)+_xlfn.SUMIFS('Баланс Пр'!AK$27:AK$165,'Баланс Пр'!$AB$27:$AB$165,"3.2",'Баланс Пр'!$F$27:$F$165,$F41)</f>
        <v>0</v>
      </c>
      <c r="AS41" s="87"/>
      <c r="AT41" s="862">
        <f>AR41-AS41</f>
        <v>0</v>
      </c>
      <c r="AU41" s="860">
        <f>_xlfn.SUMIFS('Баланс Пр'!AL$27:AL$165,'Баланс Пр'!$AB$27:$AB$165,"3.1",'Баланс Пр'!$F$27:$F$165,$F41)+_xlfn.SUMIFS('Баланс Пр'!AL$27:AL$165,'Баланс Пр'!$AB$27:$AB$165,"3.2",'Баланс Пр'!$F$27:$F$165,$F41)</f>
        <v>0</v>
      </c>
      <c r="AV41" s="87"/>
      <c r="AW41" s="862">
        <f>AU41-AV41</f>
        <v>0</v>
      </c>
      <c r="AX41" s="860">
        <f>_xlfn.SUMIFS('Баланс Пр'!AM$27:AM$165,'Баланс Пр'!$AB$27:$AB$165,"3.1",'Баланс Пр'!$F$27:$F$165,$F41)+_xlfn.SUMIFS('Баланс Пр'!AM$27:AM$165,'Баланс Пр'!$AB$27:$AB$165,"3.2",'Баланс Пр'!$F$27:$F$165,$F41)</f>
        <v>0</v>
      </c>
      <c r="AY41" s="87"/>
      <c r="AZ41" s="862">
        <f>AX41-AY41</f>
        <v>0</v>
      </c>
      <c r="BA41" s="860">
        <f>_xlfn.SUMIFS('Баланс Пр'!AN$27:AN$165,'Баланс Пр'!$AB$27:$AB$165,"3.1",'Баланс Пр'!$F$27:$F$165,$F41)+_xlfn.SUMIFS('Баланс Пр'!AN$27:AN$165,'Баланс Пр'!$AB$27:$AB$165,"3.2",'Баланс Пр'!$F$27:$F$165,$F41)</f>
        <v>0</v>
      </c>
      <c r="BB41" s="87"/>
      <c r="BC41" s="862">
        <f>BA41-BB41</f>
        <v>0</v>
      </c>
      <c r="BD41" s="860">
        <f>_xlfn.SUMIFS('Баланс Пр'!AO$27:AO$165,'Баланс Пр'!$AB$27:$AB$165,"3.1",'Баланс Пр'!$F$27:$F$165,$F41)+_xlfn.SUMIFS('Баланс Пр'!AO$27:AO$165,'Баланс Пр'!$AB$27:$AB$165,"3.2",'Баланс Пр'!$F$27:$F$165,$F41)</f>
        <v>0</v>
      </c>
      <c r="BE41" s="87"/>
      <c r="BF41" s="862">
        <f>BD41-BE41</f>
        <v>0</v>
      </c>
      <c r="BG41" s="860">
        <f>_xlfn.SUMIFS('Баланс Пр'!AP$27:AP$165,'Баланс Пр'!$AB$27:$AB$165,"3.1",'Баланс Пр'!$F$27:$F$165,$F41)+_xlfn.SUMIFS('Баланс Пр'!AP$27:AP$165,'Баланс Пр'!$AB$27:$AB$165,"3.2",'Баланс Пр'!$F$27:$F$165,$F41)</f>
        <v>0</v>
      </c>
      <c r="BH41" s="87"/>
      <c r="BI41" s="862">
        <f>BG41-BH41</f>
        <v>0</v>
      </c>
      <c r="BJ41" s="860">
        <f>_xlfn.SUMIFS('Баланс Пр'!AQ$27:AQ$165,'Баланс Пр'!$AB$27:$AB$165,"3.1",'Баланс Пр'!$F$27:$F$165,$F41)+_xlfn.SUMIFS('Баланс Пр'!AQ$27:AQ$165,'Баланс Пр'!$AB$27:$AB$165,"3.2",'Баланс Пр'!$F$27:$F$165,$F41)</f>
        <v>0</v>
      </c>
      <c r="BK41" s="87"/>
      <c r="BL41" s="862">
        <f>BJ41-BK41</f>
        <v>0</v>
      </c>
      <c r="BM41" s="860">
        <f>_xlfn.SUMIFS('Баланс Пр'!AR$27:AR$165,'Баланс Пр'!$AB$27:$AB$165,"3.1",'Баланс Пр'!$F$27:$F$165,$F41)+_xlfn.SUMIFS('Баланс Пр'!AR$27:AR$165,'Баланс Пр'!$AB$27:$AB$165,"3.2",'Баланс Пр'!$F$27:$F$165,$F41)</f>
        <v>0</v>
      </c>
      <c r="BN41" s="87"/>
      <c r="BO41" s="862">
        <f>BM41-BN41</f>
        <v>0</v>
      </c>
      <c r="BP41" s="860">
        <f>_xlfn.SUMIFS('Баланс Пр'!AS$27:AS$165,'Баланс Пр'!$AB$27:$AB$165,"3.1",'Баланс Пр'!$F$27:$F$165,$F41)+_xlfn.SUMIFS('Баланс Пр'!AS$27:AS$165,'Баланс Пр'!$AB$27:$AB$165,"3.2",'Баланс Пр'!$F$27:$F$165,$F41)</f>
        <v>0</v>
      </c>
      <c r="BQ41" s="1772"/>
      <c r="BR41" s="862">
        <f>BP41-BQ41</f>
        <v>0</v>
      </c>
      <c r="BS41" s="860">
        <f>_xlfn.SUMIFS('Баланс Пр'!AT$27:AT$165,'Баланс Пр'!$AB$27:$AB$165,"3.1",'Баланс Пр'!$F$27:$F$165,$F41)+_xlfn.SUMIFS('Баланс Пр'!AT$27:AT$165,'Баланс Пр'!$AB$27:$AB$165,"3.2",'Баланс Пр'!$F$27:$F$165,$F41)</f>
        <v>0</v>
      </c>
      <c r="BT41" s="87"/>
      <c r="BU41" s="862">
        <f>BS41-BT41</f>
        <v>0</v>
      </c>
      <c r="BV41" s="860">
        <f>_xlfn.SUMIFS('Баланс Пр'!AU$27:AU$165,'Баланс Пр'!$AB$27:$AB$165,"3.1",'Баланс Пр'!$F$27:$F$165,$F41)+_xlfn.SUMIFS('Баланс Пр'!AU$27:AU$165,'Баланс Пр'!$AB$27:$AB$165,"3.2",'Баланс Пр'!$F$27:$F$165,$F41)</f>
        <v>0</v>
      </c>
      <c r="BW41" s="87"/>
      <c r="BX41" s="862">
        <f>BV41-BW41</f>
        <v>0</v>
      </c>
      <c r="BY41" s="860">
        <f>_xlfn.SUMIFS('Баланс Пр'!AV$27:AV$165,'Баланс Пр'!$AB$27:$AB$165,"3.1",'Баланс Пр'!$F$27:$F$165,$F41)+_xlfn.SUMIFS('Баланс Пр'!AV$27:AV$165,'Баланс Пр'!$AB$27:$AB$165,"3.2",'Баланс Пр'!$F$27:$F$165,$F41)</f>
        <v>0</v>
      </c>
      <c r="BZ41" s="87"/>
      <c r="CA41" s="862">
        <f>BY41-BZ41</f>
        <v>0</v>
      </c>
      <c r="CB41" s="860">
        <f>_xlfn.SUMIFS('Баланс Пр'!AW$27:AW$165,'Баланс Пр'!$AB$27:$AB$165,"3.1",'Баланс Пр'!$F$27:$F$165,$F41)+_xlfn.SUMIFS('Баланс Пр'!AW$27:AW$165,'Баланс Пр'!$AB$27:$AB$165,"3.2",'Баланс Пр'!$F$27:$F$165,$F41)</f>
        <v>0</v>
      </c>
      <c r="CC41" s="87"/>
      <c r="CD41" s="862">
        <f>CB41-CC41</f>
        <v>0</v>
      </c>
      <c r="CE41" s="860">
        <f>_xlfn.SUMIFS('Баланс Пр'!AX$27:AX$165,'Баланс Пр'!$AB$27:$AB$165,"3.1",'Баланс Пр'!$F$27:$F$165,$F41)+_xlfn.SUMIFS('Баланс Пр'!AX$27:AX$165,'Баланс Пр'!$AB$27:$AB$165,"3.2",'Баланс Пр'!$F$27:$F$165,$F41)</f>
        <v>0</v>
      </c>
      <c r="CF41" s="87"/>
      <c r="CG41" s="862">
        <f>CE41-CF41</f>
        <v>0</v>
      </c>
      <c r="CH41" s="860">
        <f>_xlfn.SUMIFS('Баланс Пр'!AY$27:AY$165,'Баланс Пр'!$AB$27:$AB$165,"3.1",'Баланс Пр'!$F$27:$F$165,$F41)+_xlfn.SUMIFS('Баланс Пр'!AY$27:AY$165,'Баланс Пр'!$AB$27:$AB$165,"3.2",'Баланс Пр'!$F$27:$F$165,$F41)</f>
        <v>0</v>
      </c>
      <c r="CI41" s="87"/>
      <c r="CJ41" s="862">
        <f>CH41-CI41</f>
        <v>0</v>
      </c>
      <c r="CK41" s="860">
        <f>_xlfn.SUMIFS('Баланс Пр'!AZ$27:AZ$165,'Баланс Пр'!$AB$27:$AB$165,"3.1",'Баланс Пр'!$F$27:$F$165,$F41)+_xlfn.SUMIFS('Баланс Пр'!AZ$27:AZ$165,'Баланс Пр'!$AB$27:$AB$165,"3.2",'Баланс Пр'!$F$27:$F$165,$F41)</f>
        <v>0</v>
      </c>
      <c r="CL41" s="87"/>
      <c r="CM41" s="862">
        <f>CK41-CL41</f>
        <v>0</v>
      </c>
      <c r="CN41" s="860">
        <f>_xlfn.SUMIFS('Баланс Пр'!BA$27:BA$165,'Баланс Пр'!$AB$27:$AB$165,"3.1",'Баланс Пр'!$F$27:$F$165,$F41)+_xlfn.SUMIFS('Баланс Пр'!BA$27:BA$165,'Баланс Пр'!$AB$27:$AB$165,"3.2",'Баланс Пр'!$F$27:$F$165,$F41)</f>
        <v>0</v>
      </c>
      <c r="CO41" s="87"/>
      <c r="CP41" s="862">
        <f>CN41-CO41</f>
        <v>0</v>
      </c>
      <c r="CQ41" s="860">
        <f>_xlfn.SUMIFS('Баланс Пр'!BB$27:BB$165,'Баланс Пр'!$AB$27:$AB$165,"3.1",'Баланс Пр'!$F$27:$F$165,$F41)+_xlfn.SUMIFS('Баланс Пр'!BB$27:BB$165,'Баланс Пр'!$AB$27:$AB$165,"3.2",'Баланс Пр'!$F$27:$F$165,$F41)</f>
        <v>0</v>
      </c>
      <c r="CR41" s="87"/>
      <c r="CS41" s="862">
        <f>CQ41-CR41</f>
        <v>0</v>
      </c>
      <c r="CT41" s="73"/>
      <c r="CW41" s="1173" t="s">
        <v>761</v>
      </c>
    </row>
    <row customHeight="1" ht="16.672500000000003" hidden="1">
      <c r="E42" s="797">
        <v>17.1</v>
      </c>
      <c r="F42" s="922" cm="1" t="str">
        <f t="array" ref="F42:F42">OFFSET(G42,-1,-1)</f>
        <v>0</v>
      </c>
      <c r="L42" s="922" cm="1" t="str">
        <f t="array" ref="L42:L42">OFFSET(M42,-1,-1)</f>
        <v>false</v>
      </c>
      <c r="S42" s="159" cm="1" t="str">
        <f t="array" ref="S42:S42">OFFSET(T42,-1,-1)</f>
        <v>false</v>
      </c>
      <c r="U42" s="819">
        <f>AND(S42,IF(ISBLANK(T42),TRUE,T42))</f>
        <v>0</v>
      </c>
      <c r="AB42" s="1773"/>
      <c r="AD42" s="160">
        <v>8</v>
      </c>
      <c r="AE42" s="1513" t="s">
        <v>762</v>
      </c>
      <c r="AF42" s="1784"/>
      <c r="AG42" s="872" t="s">
        <v>599</v>
      </c>
      <c r="AH42" s="860">
        <f>_xlfn.SUMIFS('Баланс Пр'!AE$27:AE$165,'Баланс Пр'!$AB$27:$AB$165,"5",'Баланс Пр'!$F$27:$F$165,$F41)</f>
        <v>0</v>
      </c>
      <c r="AI42" s="860">
        <f>_xlfn.SUMIFS('Баланс Пр'!AF$27:AF$165,'Баланс Пр'!$AB$27:$AB$165,"5",'Баланс Пр'!$F$27:$F$165,$F41)</f>
        <v>0</v>
      </c>
      <c r="AJ42" s="860">
        <f>_xlfn.SUMIFS('Баланс Пр'!AG$27:AG$165,'Баланс Пр'!$AB$27:$AB$165,"5",'Баланс Пр'!$F$27:$F$165,$F41)</f>
        <v>0</v>
      </c>
      <c r="AK42" s="860">
        <f>_xlfn.SUMIFS('Баланс Пр'!AH$27:AH$165,'Баланс Пр'!$AB$27:$AB$165,"5",'Баланс Пр'!$F$27:$F$165,$F41)</f>
        <v>0</v>
      </c>
      <c r="AL42" s="860">
        <f>_xlfn.SUMIFS('Баланс Пр'!AI$27:AI$165,'Баланс Пр'!$AB$27:$AB$165,"5",'Баланс Пр'!$F$27:$F$165,$F41)</f>
        <v>0</v>
      </c>
      <c r="AM42" s="87"/>
      <c r="AN42" s="862">
        <f>AL42-AM42</f>
        <v>0</v>
      </c>
      <c r="AO42" s="860">
        <f>_xlfn.SUMIFS('Баланс Пр'!AJ$27:AJ$165,'Баланс Пр'!$AB$27:$AB$165,"5",'Баланс Пр'!$F$27:$F$165,$F41)</f>
        <v>0</v>
      </c>
      <c r="AP42" s="87"/>
      <c r="AQ42" s="862">
        <f>AO42-AP42</f>
        <v>0</v>
      </c>
      <c r="AR42" s="860">
        <f>_xlfn.SUMIFS('Баланс Пр'!AK$27:AK$165,'Баланс Пр'!$AB$27:$AB$165,"5",'Баланс Пр'!$F$27:$F$165,$F41)</f>
        <v>0</v>
      </c>
      <c r="AS42" s="87"/>
      <c r="AT42" s="862">
        <f>AR42-AS42</f>
        <v>0</v>
      </c>
      <c r="AU42" s="860">
        <f>_xlfn.SUMIFS('Баланс Пр'!AL$27:AL$165,'Баланс Пр'!$AB$27:$AB$165,"5",'Баланс Пр'!$F$27:$F$165,$F41)</f>
        <v>0</v>
      </c>
      <c r="AV42" s="87"/>
      <c r="AW42" s="862">
        <f>AU42-AV42</f>
        <v>0</v>
      </c>
      <c r="AX42" s="860">
        <f>_xlfn.SUMIFS('Баланс Пр'!AM$27:AM$165,'Баланс Пр'!$AB$27:$AB$165,"5",'Баланс Пр'!$F$27:$F$165,$F41)</f>
        <v>0</v>
      </c>
      <c r="AY42" s="87"/>
      <c r="AZ42" s="862">
        <f>AX42-AY42</f>
        <v>0</v>
      </c>
      <c r="BA42" s="860">
        <f>_xlfn.SUMIFS('Баланс Пр'!AN$27:AN$165,'Баланс Пр'!$AB$27:$AB$165,"5",'Баланс Пр'!$F$27:$F$165,$F41)</f>
        <v>0</v>
      </c>
      <c r="BB42" s="87"/>
      <c r="BC42" s="862">
        <f>BA42-BB42</f>
        <v>0</v>
      </c>
      <c r="BD42" s="860">
        <f>_xlfn.SUMIFS('Баланс Пр'!AO$27:AO$165,'Баланс Пр'!$AB$27:$AB$165,"5",'Баланс Пр'!$F$27:$F$165,$F41)</f>
        <v>0</v>
      </c>
      <c r="BE42" s="87"/>
      <c r="BF42" s="862">
        <f>BD42-BE42</f>
        <v>0</v>
      </c>
      <c r="BG42" s="860">
        <f>_xlfn.SUMIFS('Баланс Пр'!AP$27:AP$165,'Баланс Пр'!$AB$27:$AB$165,"5",'Баланс Пр'!$F$27:$F$165,$F41)</f>
        <v>0</v>
      </c>
      <c r="BH42" s="87"/>
      <c r="BI42" s="862">
        <f>BG42-BH42</f>
        <v>0</v>
      </c>
      <c r="BJ42" s="860">
        <f>_xlfn.SUMIFS('Баланс Пр'!AQ$27:AQ$165,'Баланс Пр'!$AB$27:$AB$165,"5",'Баланс Пр'!$F$27:$F$165,$F41)</f>
        <v>0</v>
      </c>
      <c r="BK42" s="87"/>
      <c r="BL42" s="862">
        <f>BJ42-BK42</f>
        <v>0</v>
      </c>
      <c r="BM42" s="860">
        <f>_xlfn.SUMIFS('Баланс Пр'!AR$27:AR$165,'Баланс Пр'!$AB$27:$AB$165,"5",'Баланс Пр'!$F$27:$F$165,$F41)</f>
        <v>0</v>
      </c>
      <c r="BN42" s="87"/>
      <c r="BO42" s="862">
        <f>BM42-BN42</f>
        <v>0</v>
      </c>
      <c r="BP42" s="860">
        <f>_xlfn.SUMIFS('Баланс Пр'!AS$27:AS$165,'Баланс Пр'!$AB$27:$AB$165,"5",'Баланс Пр'!$F$27:$F$165,$F41)</f>
        <v>0</v>
      </c>
      <c r="BQ42" s="1772"/>
      <c r="BR42" s="862">
        <f>BP42-BQ42</f>
        <v>0</v>
      </c>
      <c r="BS42" s="860">
        <f>_xlfn.SUMIFS('Баланс Пр'!AT$27:AT$165,'Баланс Пр'!$AB$27:$AB$165,"5",'Баланс Пр'!$F$27:$F$165,$F41)</f>
        <v>0</v>
      </c>
      <c r="BT42" s="87"/>
      <c r="BU42" s="862">
        <f>BS42-BT42</f>
        <v>0</v>
      </c>
      <c r="BV42" s="860">
        <f>_xlfn.SUMIFS('Баланс Пр'!AU$27:AU$165,'Баланс Пр'!$AB$27:$AB$165,"5",'Баланс Пр'!$F$27:$F$165,$F41)</f>
        <v>0</v>
      </c>
      <c r="BW42" s="87"/>
      <c r="BX42" s="862">
        <f>BV42-BW42</f>
        <v>0</v>
      </c>
      <c r="BY42" s="860">
        <f>_xlfn.SUMIFS('Баланс Пр'!AV$27:AV$165,'Баланс Пр'!$AB$27:$AB$165,"5",'Баланс Пр'!$F$27:$F$165,$F41)</f>
        <v>0</v>
      </c>
      <c r="BZ42" s="87"/>
      <c r="CA42" s="862">
        <f>BY42-BZ42</f>
        <v>0</v>
      </c>
      <c r="CB42" s="860">
        <f>_xlfn.SUMIFS('Баланс Пр'!AW$27:AW$165,'Баланс Пр'!$AB$27:$AB$165,"5",'Баланс Пр'!$F$27:$F$165,$F41)</f>
        <v>0</v>
      </c>
      <c r="CC42" s="87"/>
      <c r="CD42" s="862">
        <f>CB42-CC42</f>
        <v>0</v>
      </c>
      <c r="CE42" s="860">
        <f>_xlfn.SUMIFS('Баланс Пр'!AX$27:AX$165,'Баланс Пр'!$AB$27:$AB$165,"5",'Баланс Пр'!$F$27:$F$165,$F41)</f>
        <v>0</v>
      </c>
      <c r="CF42" s="87"/>
      <c r="CG42" s="862">
        <f>CE42-CF42</f>
        <v>0</v>
      </c>
      <c r="CH42" s="860">
        <f>_xlfn.SUMIFS('Баланс Пр'!AY$27:AY$165,'Баланс Пр'!$AB$27:$AB$165,"5",'Баланс Пр'!$F$27:$F$165,$F41)</f>
        <v>0</v>
      </c>
      <c r="CI42" s="87"/>
      <c r="CJ42" s="862">
        <f>CH42-CI42</f>
        <v>0</v>
      </c>
      <c r="CK42" s="860">
        <f>_xlfn.SUMIFS('Баланс Пр'!AZ$27:AZ$165,'Баланс Пр'!$AB$27:$AB$165,"5",'Баланс Пр'!$F$27:$F$165,$F41)</f>
        <v>0</v>
      </c>
      <c r="CL42" s="87"/>
      <c r="CM42" s="862">
        <f>CK42-CL42</f>
        <v>0</v>
      </c>
      <c r="CN42" s="860">
        <f>_xlfn.SUMIFS('Баланс Пр'!BA$27:BA$165,'Баланс Пр'!$AB$27:$AB$165,"5",'Баланс Пр'!$F$27:$F$165,$F41)</f>
        <v>0</v>
      </c>
      <c r="CO42" s="87"/>
      <c r="CP42" s="862">
        <f>CN42-CO42</f>
        <v>0</v>
      </c>
      <c r="CQ42" s="860">
        <f>_xlfn.SUMIFS('Баланс Пр'!BB$27:BB$165,'Баланс Пр'!$AB$27:$AB$165,"5",'Баланс Пр'!$F$27:$F$165,$F41)</f>
        <v>0</v>
      </c>
      <c r="CR42" s="87"/>
      <c r="CS42" s="862">
        <f>CQ42-CR42</f>
        <v>0</v>
      </c>
      <c r="CT42" s="73"/>
      <c r="CW42" s="1173" t="s">
        <v>763</v>
      </c>
    </row>
    <row customHeight="1" ht="16.672500000000003" hidden="1">
      <c r="E43" s="797">
        <v>17.1</v>
      </c>
      <c r="F43" s="922" cm="1" t="str">
        <f t="array" ref="F43:F43">OFFSET(G43,-1,-1)</f>
        <v>0</v>
      </c>
      <c r="L43" s="922" cm="1" t="str">
        <f t="array" ref="L43:L43">OFFSET(M43,-1,-1)</f>
        <v>false</v>
      </c>
      <c r="S43" s="159" cm="1" t="str">
        <f t="array" ref="S43:S43">OFFSET(T43,-1,-1)</f>
        <v>false</v>
      </c>
      <c r="U43" s="819">
        <f>AND(S43,IF(ISBLANK(T43),TRUE,T43))</f>
        <v>0</v>
      </c>
      <c r="AB43" s="1773"/>
      <c r="AD43" s="160" t="s">
        <v>764</v>
      </c>
      <c r="AE43" s="1786" t="s">
        <v>765</v>
      </c>
      <c r="AF43" s="1787"/>
      <c r="AG43" s="1788" t="s">
        <v>498</v>
      </c>
      <c r="AH43" s="866">
        <f>_xlfn.IFERROR(AH42/AH41,0)</f>
        <v>0</v>
      </c>
      <c r="AI43" s="867">
        <f>_xlfn.IFERROR(AI42/AI41,0)</f>
        <v>0</v>
      </c>
      <c r="AJ43" s="867">
        <f>_xlfn.IFERROR(AJ42/AJ41,0)</f>
        <v>0</v>
      </c>
      <c r="AK43" s="867">
        <f>_xlfn.IFERROR(AK42/AK41,0)</f>
        <v>0</v>
      </c>
      <c r="AL43" s="867">
        <f>_xlfn.IFERROR(AL42/AL41,0)</f>
        <v>0</v>
      </c>
      <c r="AM43" s="867">
        <f>_xlfn.IFERROR(AM42/AM41,0)</f>
        <v>0</v>
      </c>
      <c r="AN43" s="867">
        <f>_xlfn.IFERROR(AN42/AN41,0)</f>
        <v>0</v>
      </c>
      <c r="AO43" s="867">
        <f>_xlfn.IFERROR(AO42/AO41,0)</f>
        <v>0</v>
      </c>
      <c r="AP43" s="867">
        <f>_xlfn.IFERROR(AP42/AP41,0)</f>
        <v>0</v>
      </c>
      <c r="AQ43" s="867">
        <f>_xlfn.IFERROR(AQ42/AQ41,0)</f>
        <v>0</v>
      </c>
      <c r="AR43" s="867">
        <f>_xlfn.IFERROR(AR42/AR41,0)</f>
        <v>0</v>
      </c>
      <c r="AS43" s="867">
        <f>_xlfn.IFERROR(AS42/AS41,0)</f>
        <v>0</v>
      </c>
      <c r="AT43" s="867">
        <f>_xlfn.IFERROR(AT42/AT41,0)</f>
        <v>0</v>
      </c>
      <c r="AU43" s="867">
        <f>_xlfn.IFERROR(AU42/AU41,0)</f>
        <v>0</v>
      </c>
      <c r="AV43" s="867">
        <f>_xlfn.IFERROR(AV42/AV41,0)</f>
        <v>0</v>
      </c>
      <c r="AW43" s="867">
        <f>_xlfn.IFERROR(AW42/AW41,0)</f>
        <v>0</v>
      </c>
      <c r="AX43" s="867">
        <f>_xlfn.IFERROR(AX42/AX41,0)</f>
        <v>0</v>
      </c>
      <c r="AY43" s="867">
        <f>_xlfn.IFERROR(AY42/AY41,0)</f>
        <v>0</v>
      </c>
      <c r="AZ43" s="867">
        <f>_xlfn.IFERROR(AZ42/AZ41,0)</f>
        <v>0</v>
      </c>
      <c r="BA43" s="867">
        <f>_xlfn.IFERROR(BA42/BA41,0)</f>
        <v>0</v>
      </c>
      <c r="BB43" s="867">
        <f>_xlfn.IFERROR(BB42/BB41,0)</f>
        <v>0</v>
      </c>
      <c r="BC43" s="867">
        <f>_xlfn.IFERROR(BC42/BC41,0)</f>
        <v>0</v>
      </c>
      <c r="BD43" s="867">
        <f>_xlfn.IFERROR(BD42/BD41,0)</f>
        <v>0</v>
      </c>
      <c r="BE43" s="867">
        <f>_xlfn.IFERROR(BE42/BE41,0)</f>
        <v>0</v>
      </c>
      <c r="BF43" s="867">
        <f>_xlfn.IFERROR(BF42/BF41,0)</f>
        <v>0</v>
      </c>
      <c r="BG43" s="867">
        <f>_xlfn.IFERROR(BG42/BG41,0)</f>
        <v>0</v>
      </c>
      <c r="BH43" s="867">
        <f>_xlfn.IFERROR(BH42/BH41,0)</f>
        <v>0</v>
      </c>
      <c r="BI43" s="867">
        <f>_xlfn.IFERROR(BI42/BI41,0)</f>
        <v>0</v>
      </c>
      <c r="BJ43" s="867">
        <f>_xlfn.IFERROR(BJ42/BJ41,0)</f>
        <v>0</v>
      </c>
      <c r="BK43" s="867">
        <f>_xlfn.IFERROR(BK42/BK41,0)</f>
        <v>0</v>
      </c>
      <c r="BL43" s="867">
        <f>_xlfn.IFERROR(BL42/BL41,0)</f>
        <v>0</v>
      </c>
      <c r="BM43" s="867">
        <f>_xlfn.IFERROR(BM42/BM41,0)</f>
        <v>0</v>
      </c>
      <c r="BN43" s="867">
        <f>_xlfn.IFERROR(BN42/BN41,0)</f>
        <v>0</v>
      </c>
      <c r="BO43" s="867">
        <f>_xlfn.IFERROR(BO42/BO41,0)</f>
        <v>0</v>
      </c>
      <c r="BP43" s="867">
        <f>_xlfn.IFERROR(BP42/BP41,0)</f>
        <v>0</v>
      </c>
      <c r="BQ43" s="867">
        <f>_xlfn.IFERROR(BQ42/BQ41,0)</f>
        <v>0</v>
      </c>
      <c r="BR43" s="867">
        <f>_xlfn.IFERROR(BR42/BR41,0)</f>
        <v>0</v>
      </c>
      <c r="BS43" s="867">
        <f>_xlfn.IFERROR(BS42/BS41,0)</f>
        <v>0</v>
      </c>
      <c r="BT43" s="867">
        <f>_xlfn.IFERROR(BT42/BT41,0)</f>
        <v>0</v>
      </c>
      <c r="BU43" s="867">
        <f>_xlfn.IFERROR(BU42/BU41,0)</f>
        <v>0</v>
      </c>
      <c r="BV43" s="867">
        <f>_xlfn.IFERROR(BV42/BV41,0)</f>
        <v>0</v>
      </c>
      <c r="BW43" s="867">
        <f>_xlfn.IFERROR(BW42/BW41,0)</f>
        <v>0</v>
      </c>
      <c r="BX43" s="867">
        <f>_xlfn.IFERROR(BX42/BX41,0)</f>
        <v>0</v>
      </c>
      <c r="BY43" s="867">
        <f>_xlfn.IFERROR(BY42/BY41,0)</f>
        <v>0</v>
      </c>
      <c r="BZ43" s="867">
        <f>_xlfn.IFERROR(BZ42/BZ41,0)</f>
        <v>0</v>
      </c>
      <c r="CA43" s="867">
        <f>_xlfn.IFERROR(CA42/CA41,0)</f>
        <v>0</v>
      </c>
      <c r="CB43" s="867">
        <f>_xlfn.IFERROR(CB42/CB41,0)</f>
        <v>0</v>
      </c>
      <c r="CC43" s="867">
        <f>_xlfn.IFERROR(CC42/CC41,0)</f>
        <v>0</v>
      </c>
      <c r="CD43" s="867">
        <f>_xlfn.IFERROR(CD42/CD41,0)</f>
        <v>0</v>
      </c>
      <c r="CE43" s="867">
        <f>_xlfn.IFERROR(CE42/CE41,0)</f>
        <v>0</v>
      </c>
      <c r="CF43" s="867">
        <f>_xlfn.IFERROR(CF42/CF41,0)</f>
        <v>0</v>
      </c>
      <c r="CG43" s="867">
        <f>_xlfn.IFERROR(CG42/CG41,0)</f>
        <v>0</v>
      </c>
      <c r="CH43" s="867">
        <f>_xlfn.IFERROR(CH42/CH41,0)</f>
        <v>0</v>
      </c>
      <c r="CI43" s="867">
        <f>_xlfn.IFERROR(CI42/CI41,0)</f>
        <v>0</v>
      </c>
      <c r="CJ43" s="867">
        <f>_xlfn.IFERROR(CJ42/CJ41,0)</f>
        <v>0</v>
      </c>
      <c r="CK43" s="867">
        <f>_xlfn.IFERROR(CK42/CK41,0)</f>
        <v>0</v>
      </c>
      <c r="CL43" s="867">
        <f>_xlfn.IFERROR(CL42/CL41,0)</f>
        <v>0</v>
      </c>
      <c r="CM43" s="867">
        <f>_xlfn.IFERROR(CM42/CM41,0)</f>
        <v>0</v>
      </c>
      <c r="CN43" s="867">
        <f>_xlfn.IFERROR(CN42/CN41,0)</f>
        <v>0</v>
      </c>
      <c r="CO43" s="867">
        <f>_xlfn.IFERROR(CO42/CO41,0)</f>
        <v>0</v>
      </c>
      <c r="CP43" s="867">
        <f>_xlfn.IFERROR(CP42/CP41,0)</f>
        <v>0</v>
      </c>
      <c r="CQ43" s="867">
        <f>_xlfn.IFERROR(CQ42/CQ41,0)</f>
        <v>0</v>
      </c>
      <c r="CR43" s="867">
        <f>_xlfn.IFERROR(CR42/CR41,0)</f>
        <v>0</v>
      </c>
      <c r="CS43" s="867">
        <f>_xlfn.IFERROR(CS42/CS41,0)</f>
        <v>0</v>
      </c>
      <c r="CT43" s="73"/>
      <c r="CW43" s="1173" t="s">
        <v>766</v>
      </c>
    </row>
    <row customHeight="1" ht="29.25" hidden="1">
      <c r="E44" s="797">
        <v>30</v>
      </c>
      <c r="F44" s="922" cm="1" t="str">
        <f t="array" ref="F44:F44">OFFSET(G44,-1,-1)</f>
        <v>0</v>
      </c>
      <c r="L44" s="922" cm="1" t="str">
        <f t="array" ref="L44:L44">OFFSET(M44,-1,-1)</f>
        <v>false</v>
      </c>
      <c r="S44" s="159" cm="1" t="str">
        <f t="array" ref="S44:S44">OFFSET(T44,-1,-1)</f>
        <v>false</v>
      </c>
      <c r="U44" s="819">
        <f>AND(S44,IF(ISBLANK(T44),TRUE,T44))</f>
        <v>0</v>
      </c>
      <c r="AB44" s="1773"/>
      <c r="AD44" s="160">
        <v>9</v>
      </c>
      <c r="AE44" s="1498" t="s">
        <v>767</v>
      </c>
      <c r="AF44" s="1770"/>
      <c r="AG44" s="872" t="s">
        <v>599</v>
      </c>
      <c r="AH44" s="860">
        <f>AH41-AH42</f>
        <v>0</v>
      </c>
      <c r="AI44" s="862">
        <f>AI41-AI42</f>
        <v>0</v>
      </c>
      <c r="AJ44" s="862">
        <f>AJ41-AJ42</f>
        <v>0</v>
      </c>
      <c r="AK44" s="862">
        <f>AK41-AK42</f>
        <v>0</v>
      </c>
      <c r="AL44" s="862">
        <f>AL41-AL42</f>
        <v>0</v>
      </c>
      <c r="AM44" s="862">
        <f>AM41-AM42</f>
        <v>0</v>
      </c>
      <c r="AN44" s="862">
        <f>AN41-AN42</f>
        <v>0</v>
      </c>
      <c r="AO44" s="862">
        <f>AO41-AO42</f>
        <v>0</v>
      </c>
      <c r="AP44" s="862">
        <f>AP41-AP42</f>
        <v>0</v>
      </c>
      <c r="AQ44" s="862">
        <f>AQ41-AQ42</f>
        <v>0</v>
      </c>
      <c r="AR44" s="862">
        <f>AR41-AR42</f>
        <v>0</v>
      </c>
      <c r="AS44" s="862">
        <f>AS41-AS42</f>
        <v>0</v>
      </c>
      <c r="AT44" s="862">
        <f>AT41-AT42</f>
        <v>0</v>
      </c>
      <c r="AU44" s="862">
        <f>AU41-AU42</f>
        <v>0</v>
      </c>
      <c r="AV44" s="862">
        <f>AV41-AV42</f>
        <v>0</v>
      </c>
      <c r="AW44" s="862">
        <f>AW41-AW42</f>
        <v>0</v>
      </c>
      <c r="AX44" s="862">
        <f>AX41-AX42</f>
        <v>0</v>
      </c>
      <c r="AY44" s="862">
        <f>AY41-AY42</f>
        <v>0</v>
      </c>
      <c r="AZ44" s="862">
        <f>AZ41-AZ42</f>
        <v>0</v>
      </c>
      <c r="BA44" s="862">
        <f>BA41-BA42</f>
        <v>0</v>
      </c>
      <c r="BB44" s="862">
        <f>BB41-BB42</f>
        <v>0</v>
      </c>
      <c r="BC44" s="862">
        <f>BC41-BC42</f>
        <v>0</v>
      </c>
      <c r="BD44" s="862">
        <f>BD41-BD42</f>
        <v>0</v>
      </c>
      <c r="BE44" s="862">
        <f>BE41-BE42</f>
        <v>0</v>
      </c>
      <c r="BF44" s="862">
        <f>BF41-BF42</f>
        <v>0</v>
      </c>
      <c r="BG44" s="862">
        <f>BG41-BG42</f>
        <v>0</v>
      </c>
      <c r="BH44" s="862">
        <f>BH41-BH42</f>
        <v>0</v>
      </c>
      <c r="BI44" s="862">
        <f>BI41-BI42</f>
        <v>0</v>
      </c>
      <c r="BJ44" s="862">
        <f>BJ41-BJ42</f>
        <v>0</v>
      </c>
      <c r="BK44" s="862">
        <f>BK41-BK42</f>
        <v>0</v>
      </c>
      <c r="BL44" s="862">
        <f>BL41-BL42</f>
        <v>0</v>
      </c>
      <c r="BM44" s="862">
        <f>BM41-BM42</f>
        <v>0</v>
      </c>
      <c r="BN44" s="862">
        <f>BN41-BN42</f>
        <v>0</v>
      </c>
      <c r="BO44" s="862">
        <f>BO41-BO42</f>
        <v>0</v>
      </c>
      <c r="BP44" s="862">
        <f>BP41-BP42</f>
        <v>0</v>
      </c>
      <c r="BQ44" s="862">
        <f>BQ41-BQ42</f>
        <v>0</v>
      </c>
      <c r="BR44" s="862">
        <f>BR41-BR42</f>
        <v>0</v>
      </c>
      <c r="BS44" s="862">
        <f>BS41-BS42</f>
        <v>0</v>
      </c>
      <c r="BT44" s="862">
        <f>BT41-BT42</f>
        <v>0</v>
      </c>
      <c r="BU44" s="862">
        <f>BU41-BU42</f>
        <v>0</v>
      </c>
      <c r="BV44" s="862">
        <f>BV41-BV42</f>
        <v>0</v>
      </c>
      <c r="BW44" s="862">
        <f>BW41-BW42</f>
        <v>0</v>
      </c>
      <c r="BX44" s="862">
        <f>BX41-BX42</f>
        <v>0</v>
      </c>
      <c r="BY44" s="862">
        <f>BY41-BY42</f>
        <v>0</v>
      </c>
      <c r="BZ44" s="862">
        <f>BZ41-BZ42</f>
        <v>0</v>
      </c>
      <c r="CA44" s="862">
        <f>CA41-CA42</f>
        <v>0</v>
      </c>
      <c r="CB44" s="862">
        <f>CB41-CB42</f>
        <v>0</v>
      </c>
      <c r="CC44" s="862">
        <f>CC41-CC42</f>
        <v>0</v>
      </c>
      <c r="CD44" s="862">
        <f>CD41-CD42</f>
        <v>0</v>
      </c>
      <c r="CE44" s="862">
        <f>CE41-CE42</f>
        <v>0</v>
      </c>
      <c r="CF44" s="862">
        <f>CF41-CF42</f>
        <v>0</v>
      </c>
      <c r="CG44" s="862">
        <f>CG41-CG42</f>
        <v>0</v>
      </c>
      <c r="CH44" s="862">
        <f>CH41-CH42</f>
        <v>0</v>
      </c>
      <c r="CI44" s="862">
        <f>CI41-CI42</f>
        <v>0</v>
      </c>
      <c r="CJ44" s="862">
        <f>CJ41-CJ42</f>
        <v>0</v>
      </c>
      <c r="CK44" s="862">
        <f>CK41-CK42</f>
        <v>0</v>
      </c>
      <c r="CL44" s="862">
        <f>CL41-CL42</f>
        <v>0</v>
      </c>
      <c r="CM44" s="862">
        <f>CM41-CM42</f>
        <v>0</v>
      </c>
      <c r="CN44" s="862">
        <f>CN41-CN42</f>
        <v>0</v>
      </c>
      <c r="CO44" s="862">
        <f>CO41-CO42</f>
        <v>0</v>
      </c>
      <c r="CP44" s="862">
        <f>CP41-CP42</f>
        <v>0</v>
      </c>
      <c r="CQ44" s="862">
        <f>CQ41-CQ42</f>
        <v>0</v>
      </c>
      <c r="CR44" s="862">
        <f>CR41-CR42</f>
        <v>0</v>
      </c>
      <c r="CS44" s="862">
        <f>CS41-CS42</f>
        <v>0</v>
      </c>
      <c r="CT44" s="73"/>
      <c r="CW44" s="1173" t="s">
        <v>768</v>
      </c>
    </row>
    <row customHeight="1" ht="16.672500000000003" hidden="1">
      <c r="E45" s="797">
        <v>17.1</v>
      </c>
      <c r="F45" s="922" cm="1" t="str">
        <f t="array" ref="F45:F45">OFFSET(G45,-1,-1)</f>
        <v>0</v>
      </c>
      <c r="L45" s="922" cm="1" t="str">
        <f t="array" ref="L45:L45">OFFSET(M45,-1,-1)</f>
        <v>false</v>
      </c>
      <c r="R45" s="922" t="s">
        <v>730</v>
      </c>
      <c r="S45" s="159" cm="1" t="str">
        <f t="array" ref="S45:S45">OFFSET(T45,-1,-1)</f>
        <v>false</v>
      </c>
      <c r="T45" s="159" cm="1" t="str">
        <f t="array" ref="T45:T45">L45</f>
        <v>false</v>
      </c>
      <c r="U45" s="819">
        <f>AND(S45,IF(ISBLANK(T45),TRUE,T45))</f>
        <v>0</v>
      </c>
      <c r="AB45" s="1773"/>
      <c r="AD45" s="160">
        <v>10</v>
      </c>
      <c r="AE45" s="1498" t="s">
        <v>747</v>
      </c>
      <c r="AF45" s="1770"/>
      <c r="AG45" s="651" t="s">
        <v>733</v>
      </c>
      <c r="AH45" s="86"/>
      <c r="AI45" s="87"/>
      <c r="AJ45" s="87"/>
      <c r="AK45" s="87"/>
      <c r="AL45" s="862">
        <f>AM45+AN45</f>
        <v>0</v>
      </c>
      <c r="AM45" s="87"/>
      <c r="AN45" s="87"/>
      <c r="AO45" s="862">
        <f>AP45+AQ45</f>
        <v>0</v>
      </c>
      <c r="AP45" s="87"/>
      <c r="AQ45" s="87"/>
      <c r="AR45" s="862">
        <f>AS45+AT45</f>
        <v>0</v>
      </c>
      <c r="AS45" s="87"/>
      <c r="AT45" s="87"/>
      <c r="AU45" s="862">
        <f>AV45+AW45</f>
        <v>0</v>
      </c>
      <c r="AV45" s="87"/>
      <c r="AW45" s="87"/>
      <c r="AX45" s="862">
        <f>AY45+AZ45</f>
        <v>0</v>
      </c>
      <c r="AY45" s="87"/>
      <c r="AZ45" s="87"/>
      <c r="BA45" s="862">
        <f>BB45+BC45</f>
        <v>0</v>
      </c>
      <c r="BB45" s="87"/>
      <c r="BC45" s="87"/>
      <c r="BD45" s="862">
        <f>BE45+BF45</f>
        <v>0</v>
      </c>
      <c r="BE45" s="87"/>
      <c r="BF45" s="87"/>
      <c r="BG45" s="862">
        <f>BH45+BI45</f>
        <v>0</v>
      </c>
      <c r="BH45" s="87"/>
      <c r="BI45" s="87"/>
      <c r="BJ45" s="862">
        <f>BK45+BL45</f>
        <v>0</v>
      </c>
      <c r="BK45" s="87"/>
      <c r="BL45" s="87"/>
      <c r="BM45" s="862">
        <f>BN45+BO45</f>
        <v>0</v>
      </c>
      <c r="BN45" s="87"/>
      <c r="BO45" s="87"/>
      <c r="BP45" s="862">
        <f>BQ45+BR45</f>
        <v>0</v>
      </c>
      <c r="BQ45" s="1772"/>
      <c r="BR45" s="1772"/>
      <c r="BS45" s="862">
        <f>BT45+BU45</f>
        <v>0</v>
      </c>
      <c r="BT45" s="87"/>
      <c r="BU45" s="87"/>
      <c r="BV45" s="862">
        <f>BW45+BX45</f>
        <v>0</v>
      </c>
      <c r="BW45" s="87"/>
      <c r="BX45" s="87"/>
      <c r="BY45" s="862">
        <f>BZ45+CA45</f>
        <v>0</v>
      </c>
      <c r="BZ45" s="87"/>
      <c r="CA45" s="87"/>
      <c r="CB45" s="862">
        <f>CC45+CD45</f>
        <v>0</v>
      </c>
      <c r="CC45" s="87"/>
      <c r="CD45" s="87"/>
      <c r="CE45" s="862">
        <f>CF45+CG45</f>
        <v>0</v>
      </c>
      <c r="CF45" s="87"/>
      <c r="CG45" s="87"/>
      <c r="CH45" s="862">
        <f>CI45+CJ45</f>
        <v>0</v>
      </c>
      <c r="CI45" s="87"/>
      <c r="CJ45" s="87"/>
      <c r="CK45" s="862">
        <f>CL45+CM45</f>
        <v>0</v>
      </c>
      <c r="CL45" s="87"/>
      <c r="CM45" s="87"/>
      <c r="CN45" s="862">
        <f>CO45+CP45</f>
        <v>0</v>
      </c>
      <c r="CO45" s="87"/>
      <c r="CP45" s="87"/>
      <c r="CQ45" s="862">
        <f>CR45+CS45</f>
        <v>0</v>
      </c>
      <c r="CR45" s="87"/>
      <c r="CS45" s="87"/>
      <c r="CT45" s="73"/>
      <c r="CW45" s="1173" t="s">
        <v>769</v>
      </c>
    </row>
    <row customHeight="1" ht="29.25" hidden="1">
      <c r="E46" s="797">
        <v>30</v>
      </c>
      <c r="F46" s="922" cm="1" t="str">
        <f t="array" ref="F46:F46">OFFSET(G46,-1,-1)</f>
        <v>0</v>
      </c>
      <c r="L46" s="922" cm="1" t="str">
        <f t="array" ref="L46:L46">OFFSET(M46,-1,-1)</f>
        <v>false</v>
      </c>
      <c r="R46" s="922" t="s">
        <v>730</v>
      </c>
      <c r="S46" s="159" cm="1" t="str">
        <f t="array" ref="S46:S46">OFFSET(T46,-1,-1)</f>
        <v>false</v>
      </c>
      <c r="T46" s="159" cm="1" t="str">
        <f t="array" ref="T46:T46">L46</f>
        <v>false</v>
      </c>
      <c r="U46" s="819">
        <f>AND(S46,IF(ISBLANK(T46),TRUE,T46))</f>
        <v>0</v>
      </c>
      <c r="AB46" s="1773"/>
      <c r="AD46" s="160">
        <v>11</v>
      </c>
      <c r="AE46" s="1498" t="s">
        <v>770</v>
      </c>
      <c r="AF46" s="1770"/>
      <c r="AG46" s="651" t="s">
        <v>771</v>
      </c>
      <c r="AH46" s="86"/>
      <c r="AI46" s="87"/>
      <c r="AJ46" s="87"/>
      <c r="AK46" s="87"/>
      <c r="AL46" s="862">
        <f>_xlfn.IFERROR(AL47*1000/AL45,0)</f>
        <v>0</v>
      </c>
      <c r="AM46" s="87"/>
      <c r="AN46" s="87" cm="1" t="str">
        <f t="array" ref="AN46:AN46">AM46</f>
        <v>0</v>
      </c>
      <c r="AO46" s="862">
        <f>_xlfn.IFERROR(AO47*1000/AO45,0)</f>
        <v>0</v>
      </c>
      <c r="AP46" s="87"/>
      <c r="AQ46" s="87" cm="1" t="str">
        <f t="array" ref="AQ46:AQ46">AP46</f>
        <v>0</v>
      </c>
      <c r="AR46" s="862">
        <f>_xlfn.IFERROR(AR47*1000/AR45,0)</f>
        <v>0</v>
      </c>
      <c r="AS46" s="87"/>
      <c r="AT46" s="87" cm="1" t="str">
        <f t="array" ref="AT46:AT46">AS46</f>
        <v>0</v>
      </c>
      <c r="AU46" s="862">
        <f>_xlfn.IFERROR(AU47*1000/AU45,0)</f>
        <v>0</v>
      </c>
      <c r="AV46" s="87"/>
      <c r="AW46" s="87" cm="1" t="str">
        <f t="array" ref="AW46:AW46">AV46</f>
        <v>0</v>
      </c>
      <c r="AX46" s="862">
        <f>_xlfn.IFERROR(AX47*1000/AX45,0)</f>
        <v>0</v>
      </c>
      <c r="AY46" s="87"/>
      <c r="AZ46" s="87" cm="1" t="str">
        <f t="array" ref="AZ46:AZ46">AY46</f>
        <v>0</v>
      </c>
      <c r="BA46" s="862">
        <f>_xlfn.IFERROR(BA47*1000/BA45,0)</f>
        <v>0</v>
      </c>
      <c r="BB46" s="87"/>
      <c r="BC46" s="87" cm="1" t="str">
        <f t="array" ref="BC46:BC46">BB46</f>
        <v>0</v>
      </c>
      <c r="BD46" s="862">
        <f>_xlfn.IFERROR(BD47*1000/BD45,0)</f>
        <v>0</v>
      </c>
      <c r="BE46" s="87"/>
      <c r="BF46" s="87" cm="1" t="str">
        <f t="array" ref="BF46:BF46">BE46</f>
        <v>0</v>
      </c>
      <c r="BG46" s="862">
        <f>_xlfn.IFERROR(BG47*1000/BG45,0)</f>
        <v>0</v>
      </c>
      <c r="BH46" s="87"/>
      <c r="BI46" s="87" cm="1" t="str">
        <f t="array" ref="BI46:BI46">BH46</f>
        <v>0</v>
      </c>
      <c r="BJ46" s="862">
        <f>_xlfn.IFERROR(BJ47*1000/BJ45,0)</f>
        <v>0</v>
      </c>
      <c r="BK46" s="87"/>
      <c r="BL46" s="87" cm="1" t="str">
        <f t="array" ref="BL46:BL46">BK46</f>
        <v>0</v>
      </c>
      <c r="BM46" s="862">
        <f>_xlfn.IFERROR(BM47*1000/BM45,0)</f>
        <v>0</v>
      </c>
      <c r="BN46" s="87"/>
      <c r="BO46" s="87" cm="1" t="str">
        <f t="array" ref="BO46:BO46">BN46</f>
        <v>0</v>
      </c>
      <c r="BP46" s="862">
        <f>_xlfn.IFERROR(BP47*1000/BP45,0)</f>
        <v>0</v>
      </c>
      <c r="BQ46" s="1772"/>
      <c r="BR46" s="1772" cm="1" t="str">
        <f t="array" ref="BR46:BR46">BQ46</f>
        <v>0</v>
      </c>
      <c r="BS46" s="862">
        <f>_xlfn.IFERROR(BS47*1000/BS45,0)</f>
        <v>0</v>
      </c>
      <c r="BT46" s="87"/>
      <c r="BU46" s="87" cm="1" t="str">
        <f t="array" ref="BU46:BU46">BT46</f>
        <v>0</v>
      </c>
      <c r="BV46" s="862">
        <f>_xlfn.IFERROR(BV47*1000/BV45,0)</f>
        <v>0</v>
      </c>
      <c r="BW46" s="87"/>
      <c r="BX46" s="87" cm="1" t="str">
        <f t="array" ref="BX46:BX46">BW46</f>
        <v>0</v>
      </c>
      <c r="BY46" s="862">
        <f>_xlfn.IFERROR(BY47*1000/BY45,0)</f>
        <v>0</v>
      </c>
      <c r="BZ46" s="87"/>
      <c r="CA46" s="87" cm="1" t="str">
        <f t="array" ref="CA46:CA46">BZ46</f>
        <v>0</v>
      </c>
      <c r="CB46" s="862">
        <f>_xlfn.IFERROR(CB47*1000/CB45,0)</f>
        <v>0</v>
      </c>
      <c r="CC46" s="87"/>
      <c r="CD46" s="87" cm="1" t="str">
        <f t="array" ref="CD46:CD46">CC46</f>
        <v>0</v>
      </c>
      <c r="CE46" s="862">
        <f>_xlfn.IFERROR(CE47*1000/CE45,0)</f>
        <v>0</v>
      </c>
      <c r="CF46" s="87"/>
      <c r="CG46" s="87" cm="1" t="str">
        <f t="array" ref="CG46:CG46">CF46</f>
        <v>0</v>
      </c>
      <c r="CH46" s="862">
        <f>_xlfn.IFERROR(CH47*1000/CH45,0)</f>
        <v>0</v>
      </c>
      <c r="CI46" s="87"/>
      <c r="CJ46" s="87" cm="1" t="str">
        <f t="array" ref="CJ46:CJ46">CI46</f>
        <v>0</v>
      </c>
      <c r="CK46" s="862">
        <f>_xlfn.IFERROR(CK47*1000/CK45,0)</f>
        <v>0</v>
      </c>
      <c r="CL46" s="87"/>
      <c r="CM46" s="87" cm="1" t="str">
        <f t="array" ref="CM46:CM46">CL46</f>
        <v>0</v>
      </c>
      <c r="CN46" s="862">
        <f>_xlfn.IFERROR(CN47*1000/CN45,0)</f>
        <v>0</v>
      </c>
      <c r="CO46" s="87"/>
      <c r="CP46" s="87" cm="1" t="str">
        <f t="array" ref="CP46:CP46">CO46</f>
        <v>0</v>
      </c>
      <c r="CQ46" s="862">
        <f>_xlfn.IFERROR(CQ47*1000/CQ45,0)</f>
        <v>0</v>
      </c>
      <c r="CR46" s="87"/>
      <c r="CS46" s="87" cm="1" t="str">
        <f t="array" ref="CS46:CS46">CR46</f>
        <v>0</v>
      </c>
      <c r="CT46" s="73"/>
      <c r="CW46" s="1173" t="s">
        <v>772</v>
      </c>
    </row>
    <row customHeight="1" ht="16.672500000000003" hidden="1">
      <c r="E47" s="797">
        <v>17.1</v>
      </c>
      <c r="F47" s="922" cm="1" t="str">
        <f t="array" ref="F47:F47">OFFSET(G47,-1,-1)</f>
        <v>0</v>
      </c>
      <c r="L47" s="922" cm="1" t="str">
        <f t="array" ref="L47:L47">OFFSET(M47,-1,-1)</f>
        <v>false</v>
      </c>
      <c r="R47" s="922" t="s">
        <v>730</v>
      </c>
      <c r="S47" s="159" cm="1" t="str">
        <f t="array" ref="S47:S47">OFFSET(T47,-1,-1)</f>
        <v>false</v>
      </c>
      <c r="T47" s="159" cm="1" t="str">
        <f t="array" ref="T47:T47">L47</f>
        <v>false</v>
      </c>
      <c r="U47" s="819">
        <f>AND(S47,IF(ISBLANK(T47),TRUE,T47))</f>
        <v>0</v>
      </c>
      <c r="AB47" s="1773"/>
      <c r="AD47" s="160">
        <v>12</v>
      </c>
      <c r="AE47" s="1498" t="s">
        <v>773</v>
      </c>
      <c r="AF47" s="1770"/>
      <c r="AG47" s="651" t="s">
        <v>774</v>
      </c>
      <c r="AH47" s="1789">
        <f>AH45*AH46/1000</f>
        <v>0</v>
      </c>
      <c r="AI47" s="1790">
        <f>AI45*AI46/1000</f>
        <v>0</v>
      </c>
      <c r="AJ47" s="367">
        <f>AJ45*AJ46/1000</f>
        <v>0</v>
      </c>
      <c r="AK47" s="367">
        <f>AK45*AK46/1000</f>
        <v>0</v>
      </c>
      <c r="AL47" s="862">
        <f>AM47+AN47</f>
        <v>0</v>
      </c>
      <c r="AM47" s="367">
        <f>AM45*AM46/1000</f>
        <v>0</v>
      </c>
      <c r="AN47" s="367">
        <f>AN45*AN46/1000</f>
        <v>0</v>
      </c>
      <c r="AO47" s="862">
        <f>AP47+AQ47</f>
        <v>0</v>
      </c>
      <c r="AP47" s="367">
        <f>AP45*AP46/1000</f>
        <v>0</v>
      </c>
      <c r="AQ47" s="367">
        <f>AQ45*AQ46/1000</f>
        <v>0</v>
      </c>
      <c r="AR47" s="862">
        <f>AS47+AT47</f>
        <v>0</v>
      </c>
      <c r="AS47" s="367">
        <f>AS45*AS46/1000</f>
        <v>0</v>
      </c>
      <c r="AT47" s="367">
        <f>AT45*AT46/1000</f>
        <v>0</v>
      </c>
      <c r="AU47" s="862">
        <f>AV47+AW47</f>
        <v>0</v>
      </c>
      <c r="AV47" s="367">
        <f>AV45*AV46/1000</f>
        <v>0</v>
      </c>
      <c r="AW47" s="367">
        <f>AW45*AW46/1000</f>
        <v>0</v>
      </c>
      <c r="AX47" s="862">
        <f>AY47+AZ47</f>
        <v>0</v>
      </c>
      <c r="AY47" s="367">
        <f>AY45*AY46/1000</f>
        <v>0</v>
      </c>
      <c r="AZ47" s="367">
        <f>AZ45*AZ46/1000</f>
        <v>0</v>
      </c>
      <c r="BA47" s="862">
        <f>BB47+BC47</f>
        <v>0</v>
      </c>
      <c r="BB47" s="367">
        <f>BB45*BB46/1000</f>
        <v>0</v>
      </c>
      <c r="BC47" s="367">
        <f>BC45*BC46/1000</f>
        <v>0</v>
      </c>
      <c r="BD47" s="862">
        <f>BE47+BF47</f>
        <v>0</v>
      </c>
      <c r="BE47" s="367">
        <f>BE45*BE46/1000</f>
        <v>0</v>
      </c>
      <c r="BF47" s="367">
        <f>BF45*BF46/1000</f>
        <v>0</v>
      </c>
      <c r="BG47" s="862">
        <f>BH47+BI47</f>
        <v>0</v>
      </c>
      <c r="BH47" s="367">
        <f>BH45*BH46/1000</f>
        <v>0</v>
      </c>
      <c r="BI47" s="367">
        <f>BI45*BI46/1000</f>
        <v>0</v>
      </c>
      <c r="BJ47" s="862">
        <f>BK47+BL47</f>
        <v>0</v>
      </c>
      <c r="BK47" s="367">
        <f>BK45*BK46/1000</f>
        <v>0</v>
      </c>
      <c r="BL47" s="367">
        <f>BL45*BL46/1000</f>
        <v>0</v>
      </c>
      <c r="BM47" s="862">
        <f>BN47+BO47</f>
        <v>0</v>
      </c>
      <c r="BN47" s="367">
        <f>BN45*BN46/1000</f>
        <v>0</v>
      </c>
      <c r="BO47" s="367">
        <f>BO45*BO46/1000</f>
        <v>0</v>
      </c>
      <c r="BP47" s="862">
        <f>BQ47+BR47</f>
        <v>0</v>
      </c>
      <c r="BQ47" s="367">
        <f>BQ45*BQ46/1000</f>
        <v>0</v>
      </c>
      <c r="BR47" s="367">
        <f>BR45*BR46/1000</f>
        <v>0</v>
      </c>
      <c r="BS47" s="862">
        <f>BT47+BU47</f>
        <v>0</v>
      </c>
      <c r="BT47" s="367">
        <f>BT45*BT46/1000</f>
        <v>0</v>
      </c>
      <c r="BU47" s="367">
        <f>BU45*BU46/1000</f>
        <v>0</v>
      </c>
      <c r="BV47" s="862">
        <f>BW47+BX47</f>
        <v>0</v>
      </c>
      <c r="BW47" s="367">
        <f>BW45*BW46/1000</f>
        <v>0</v>
      </c>
      <c r="BX47" s="367">
        <f>BX45*BX46/1000</f>
        <v>0</v>
      </c>
      <c r="BY47" s="862">
        <f>BZ47+CA47</f>
        <v>0</v>
      </c>
      <c r="BZ47" s="367">
        <f>BZ45*BZ46/1000</f>
        <v>0</v>
      </c>
      <c r="CA47" s="367">
        <f>CA45*CA46/1000</f>
        <v>0</v>
      </c>
      <c r="CB47" s="862">
        <f>CC47+CD47</f>
        <v>0</v>
      </c>
      <c r="CC47" s="367">
        <f>CC45*CC46/1000</f>
        <v>0</v>
      </c>
      <c r="CD47" s="367">
        <f>CD45*CD46/1000</f>
        <v>0</v>
      </c>
      <c r="CE47" s="862">
        <f>CF47+CG47</f>
        <v>0</v>
      </c>
      <c r="CF47" s="367">
        <f>CF45*CF46/1000</f>
        <v>0</v>
      </c>
      <c r="CG47" s="367">
        <f>CG45*CG46/1000</f>
        <v>0</v>
      </c>
      <c r="CH47" s="862">
        <f>CI47+CJ47</f>
        <v>0</v>
      </c>
      <c r="CI47" s="367">
        <f>CI45*CI46/1000</f>
        <v>0</v>
      </c>
      <c r="CJ47" s="367">
        <f>CJ45*CJ46/1000</f>
        <v>0</v>
      </c>
      <c r="CK47" s="862">
        <f>CL47+CM47</f>
        <v>0</v>
      </c>
      <c r="CL47" s="367">
        <f>CL45*CL46/1000</f>
        <v>0</v>
      </c>
      <c r="CM47" s="367">
        <f>CM45*CM46/1000</f>
        <v>0</v>
      </c>
      <c r="CN47" s="862">
        <f>CO47+CP47</f>
        <v>0</v>
      </c>
      <c r="CO47" s="367">
        <f>CO45*CO46/1000</f>
        <v>0</v>
      </c>
      <c r="CP47" s="367">
        <f>CP45*CP46/1000</f>
        <v>0</v>
      </c>
      <c r="CQ47" s="862">
        <f>CR47+CS47</f>
        <v>0</v>
      </c>
      <c r="CR47" s="367">
        <f>CR45*CR46/1000</f>
        <v>0</v>
      </c>
      <c r="CS47" s="367">
        <f>CS45*CS46/1000</f>
        <v>0</v>
      </c>
      <c r="CT47" s="73"/>
      <c r="CW47" s="1173" t="s">
        <v>775</v>
      </c>
    </row>
    <row customHeight="1" ht="29.25" hidden="1">
      <c r="E48" s="797">
        <v>30</v>
      </c>
      <c r="F48" s="922" cm="1" t="str">
        <f t="array" ref="F48:F48">OFFSET(G48,-1,-1)</f>
        <v>0</v>
      </c>
      <c r="L48" s="922" cm="1" t="str">
        <f t="array" ref="L48:L48">OFFSET(M48,-1,-1)</f>
        <v>false</v>
      </c>
      <c r="S48" s="159" cm="1" t="str">
        <f t="array" ref="S48:S48">OFFSET(T48,-1,-1)</f>
        <v>false</v>
      </c>
      <c r="U48" s="819">
        <f>AND(S48,IF(ISBLANK(T48),TRUE,T48))</f>
        <v>0</v>
      </c>
      <c r="AB48" s="1773"/>
      <c r="AD48" s="160">
        <v>13</v>
      </c>
      <c r="AE48" s="1498" t="s">
        <v>760</v>
      </c>
      <c r="AF48" s="1770"/>
      <c r="AG48" s="651" t="s">
        <v>599</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791" cm="1" t="str">
        <f t="array" ref="BP48:BP48">BP41</f>
        <v>0</v>
      </c>
      <c r="BQ48" s="1791" cm="1" t="str">
        <f t="array" ref="BQ48:BQ48">BQ41</f>
        <v>0</v>
      </c>
      <c r="BR48" s="1791"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3" t="s">
        <v>776</v>
      </c>
    </row>
    <row customHeight="1" ht="29.25" hidden="1">
      <c r="E49" s="797">
        <v>30</v>
      </c>
      <c r="F49" s="922" cm="1" t="str">
        <f t="array" ref="F49:F49">OFFSET(G49,-1,-1)</f>
        <v>0</v>
      </c>
      <c r="L49" s="922" cm="1" t="str">
        <f t="array" ref="L49:L49">OFFSET(M49,-1,-1)</f>
        <v>false</v>
      </c>
      <c r="S49" s="159" cm="1" t="str">
        <f t="array" ref="S49:S49">OFFSET(T49,-1,-1)</f>
        <v>false</v>
      </c>
      <c r="U49" s="819">
        <f>AND(S49,IF(ISBLANK(T49),TRUE,T49))</f>
        <v>0</v>
      </c>
      <c r="AB49" s="1773"/>
      <c r="AD49" s="160">
        <v>14</v>
      </c>
      <c r="AE49" s="1498" t="s">
        <v>777</v>
      </c>
      <c r="AF49" s="1770"/>
      <c r="AG49" s="160" t="s">
        <v>778</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1791"/>
      <c r="BQ49" s="1791" cm="1" t="str">
        <f t="array" ref="BQ49:BQ49">BP49</f>
        <v>0</v>
      </c>
      <c r="BR49" s="1791"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3" t="s">
        <v>779</v>
      </c>
    </row>
    <row customHeight="1" ht="16.672500000000003" hidden="1">
      <c r="E50" s="797">
        <v>17.1</v>
      </c>
      <c r="F50" s="922" cm="1" t="str">
        <f t="array" ref="F50:F50">OFFSET(G50,-1,-1)</f>
        <v>0</v>
      </c>
      <c r="L50" s="922" cm="1" t="str">
        <f t="array" ref="L50:L50">OFFSET(M50,-1,-1)</f>
        <v>false</v>
      </c>
      <c r="S50" s="159" cm="1" t="str">
        <f t="array" ref="S50:S50">OFFSET(T50,-1,-1)</f>
        <v>false</v>
      </c>
      <c r="U50" s="819">
        <f>AND(S50,IF(ISBLANK(T50),TRUE,T50))</f>
        <v>0</v>
      </c>
      <c r="AB50" s="1792" t="s">
        <v>780</v>
      </c>
      <c r="AD50" s="160">
        <v>15</v>
      </c>
      <c r="AE50" s="1498" t="s">
        <v>781</v>
      </c>
      <c r="AF50" s="1770"/>
      <c r="AG50" s="160" t="s">
        <v>774</v>
      </c>
      <c r="AH50" s="86"/>
      <c r="AI50" s="86"/>
      <c r="AJ50" s="86"/>
      <c r="AK50" s="86"/>
      <c r="AL50" s="860">
        <f>AM50+AN50</f>
        <v>0</v>
      </c>
      <c r="AM50" s="86">
        <f>AM49*AM48/1000</f>
        <v>0</v>
      </c>
      <c r="AN50" s="86">
        <f>AN49*AN48/1000</f>
        <v>0</v>
      </c>
      <c r="AO50" s="860">
        <f>AP50+AQ50</f>
        <v>0</v>
      </c>
      <c r="AP50" s="86">
        <f>AP49*AP48/1000</f>
        <v>0</v>
      </c>
      <c r="AQ50" s="86">
        <f>AQ49*AQ48/1000</f>
        <v>0</v>
      </c>
      <c r="AR50" s="860">
        <f>AS50+AT50</f>
        <v>0</v>
      </c>
      <c r="AS50" s="86">
        <f>AS49*AS48/1000</f>
        <v>0</v>
      </c>
      <c r="AT50" s="86">
        <f>AT49*AT48/1000</f>
        <v>0</v>
      </c>
      <c r="AU50" s="860">
        <f>AV50+AW50</f>
        <v>0</v>
      </c>
      <c r="AV50" s="86">
        <f>AV49*AV48/1000</f>
        <v>0</v>
      </c>
      <c r="AW50" s="86">
        <f>AW49*AW48/1000</f>
        <v>0</v>
      </c>
      <c r="AX50" s="860">
        <f>AY50+AZ50</f>
        <v>0</v>
      </c>
      <c r="AY50" s="86">
        <f>AY49*AY48/1000</f>
        <v>0</v>
      </c>
      <c r="AZ50" s="86">
        <f>AZ49*AZ48/1000</f>
        <v>0</v>
      </c>
      <c r="BA50" s="860">
        <f>BB50+BC50</f>
        <v>0</v>
      </c>
      <c r="BB50" s="86">
        <f>BB49*BB48/1000</f>
        <v>0</v>
      </c>
      <c r="BC50" s="86">
        <f>BC49*BC48/1000</f>
        <v>0</v>
      </c>
      <c r="BD50" s="860">
        <f>BE50+BF50</f>
        <v>0</v>
      </c>
      <c r="BE50" s="86">
        <f>BE49*BE48/1000</f>
        <v>0</v>
      </c>
      <c r="BF50" s="86">
        <f>BF49*BF48/1000</f>
        <v>0</v>
      </c>
      <c r="BG50" s="860">
        <f>BH50+BI50</f>
        <v>0</v>
      </c>
      <c r="BH50" s="86">
        <f>BH49*BH48/1000</f>
        <v>0</v>
      </c>
      <c r="BI50" s="86">
        <f>BI49*BI48/1000</f>
        <v>0</v>
      </c>
      <c r="BJ50" s="860">
        <f>BK50+BL50</f>
        <v>0</v>
      </c>
      <c r="BK50" s="86">
        <f>BK49*BK48/1000</f>
        <v>0</v>
      </c>
      <c r="BL50" s="86">
        <f>BL49*BL48/1000</f>
        <v>0</v>
      </c>
      <c r="BM50" s="860">
        <f>BN50+BO50</f>
        <v>0</v>
      </c>
      <c r="BN50" s="86">
        <f>BN49*BN48/1000</f>
        <v>0</v>
      </c>
      <c r="BO50" s="86">
        <f>BO49*BO48/1000</f>
        <v>0</v>
      </c>
      <c r="BP50" s="860">
        <f>BQ50+BR50</f>
        <v>0</v>
      </c>
      <c r="BQ50" s="1791">
        <f>BQ49*BQ48/1000</f>
        <v>0</v>
      </c>
      <c r="BR50" s="1791">
        <f>BR49*BR48/1000</f>
        <v>0</v>
      </c>
      <c r="BS50" s="860">
        <f>BT50+BU50</f>
        <v>0</v>
      </c>
      <c r="BT50" s="86">
        <f>BT49*BT48/1000</f>
        <v>0</v>
      </c>
      <c r="BU50" s="86">
        <f>BU49*BU48/1000</f>
        <v>0</v>
      </c>
      <c r="BV50" s="860">
        <f>BW50+BX50</f>
        <v>0</v>
      </c>
      <c r="BW50" s="86">
        <f>BW49*BW48/1000</f>
        <v>0</v>
      </c>
      <c r="BX50" s="86">
        <f>BX49*BX48/1000</f>
        <v>0</v>
      </c>
      <c r="BY50" s="860">
        <f>BZ50+CA50</f>
        <v>0</v>
      </c>
      <c r="BZ50" s="86">
        <f>BZ49*BZ48/1000</f>
        <v>0</v>
      </c>
      <c r="CA50" s="86">
        <f>CA49*CA48/1000</f>
        <v>0</v>
      </c>
      <c r="CB50" s="860">
        <f>CC50+CD50</f>
        <v>0</v>
      </c>
      <c r="CC50" s="86">
        <f>CC49*CC48/1000</f>
        <v>0</v>
      </c>
      <c r="CD50" s="86">
        <f>CD49*CD48/1000</f>
        <v>0</v>
      </c>
      <c r="CE50" s="860">
        <f>CF50+CG50</f>
        <v>0</v>
      </c>
      <c r="CF50" s="86">
        <f>CF49*CF48/1000</f>
        <v>0</v>
      </c>
      <c r="CG50" s="86">
        <f>CG49*CG48/1000</f>
        <v>0</v>
      </c>
      <c r="CH50" s="860">
        <f>CI50+CJ50</f>
        <v>0</v>
      </c>
      <c r="CI50" s="86">
        <f>CI49*CI48/1000</f>
        <v>0</v>
      </c>
      <c r="CJ50" s="86">
        <f>CJ49*CJ48/1000</f>
        <v>0</v>
      </c>
      <c r="CK50" s="860">
        <f>CL50+CM50</f>
        <v>0</v>
      </c>
      <c r="CL50" s="86">
        <f>CL49*CL48/1000</f>
        <v>0</v>
      </c>
      <c r="CM50" s="86">
        <f>CM49*CM48/1000</f>
        <v>0</v>
      </c>
      <c r="CN50" s="860">
        <f>CO50+CP50</f>
        <v>0</v>
      </c>
      <c r="CO50" s="86">
        <f>CO49*CO48/1000</f>
        <v>0</v>
      </c>
      <c r="CP50" s="86">
        <f>CP49*CP48/1000</f>
        <v>0</v>
      </c>
      <c r="CQ50" s="860">
        <f>CR50+CS50</f>
        <v>0</v>
      </c>
      <c r="CR50" s="86">
        <f>CR49*CR48/1000</f>
        <v>0</v>
      </c>
      <c r="CS50" s="86">
        <f>CS49*CS48/1000</f>
        <v>0</v>
      </c>
      <c r="CT50" s="73"/>
      <c r="CW50" s="1173" t="s">
        <v>782</v>
      </c>
    </row>
    <row customHeight="1" ht="16.672500000000003" hidden="1">
      <c r="E51" s="797">
        <v>17.1</v>
      </c>
      <c r="F51" s="922" cm="1" t="str">
        <f t="array" ref="F51:F51">OFFSET(G51,-1,-1)</f>
        <v>0</v>
      </c>
      <c r="L51" s="922" cm="1" t="str">
        <f t="array" ref="L51:L51">OFFSET(M51,-1,-1)</f>
        <v>false</v>
      </c>
      <c r="S51" s="159" cm="1" t="str">
        <f t="array" ref="S51:S51">OFFSET(T51,-1,-1)</f>
        <v>false</v>
      </c>
      <c r="U51" s="819">
        <f>AND(S51,IF(ISBLANK(T51),TRUE,T51))</f>
        <v>0</v>
      </c>
      <c r="AB51" s="1793"/>
      <c r="AD51" s="160">
        <v>16</v>
      </c>
      <c r="AE51" s="1498" t="s">
        <v>783</v>
      </c>
      <c r="AF51" s="1770"/>
      <c r="AG51" s="160" t="s">
        <v>774</v>
      </c>
      <c r="AH51" s="860">
        <f>AH50+AH47</f>
        <v>0</v>
      </c>
      <c r="AI51" s="860">
        <f>AI50+AI47</f>
        <v>0</v>
      </c>
      <c r="AJ51" s="860">
        <f>AJ50+AJ47</f>
        <v>0</v>
      </c>
      <c r="AK51" s="860">
        <f>AK50+AK47</f>
        <v>0</v>
      </c>
      <c r="AL51" s="860">
        <f>AM51+AN51</f>
        <v>0</v>
      </c>
      <c r="AM51" s="860">
        <f>AM50+AM47</f>
        <v>0</v>
      </c>
      <c r="AN51" s="860">
        <f>AN50+AN47</f>
        <v>0</v>
      </c>
      <c r="AO51" s="860">
        <f>AP51+AQ51</f>
        <v>0</v>
      </c>
      <c r="AP51" s="860">
        <f>AP50+AP47</f>
        <v>0</v>
      </c>
      <c r="AQ51" s="860">
        <f>AQ50+AQ47</f>
        <v>0</v>
      </c>
      <c r="AR51" s="860">
        <f>AS51+AT51</f>
        <v>0</v>
      </c>
      <c r="AS51" s="860">
        <f>AS50+AS47</f>
        <v>0</v>
      </c>
      <c r="AT51" s="860">
        <f>AT50+AT47</f>
        <v>0</v>
      </c>
      <c r="AU51" s="860">
        <f>AV51+AW51</f>
        <v>0</v>
      </c>
      <c r="AV51" s="860">
        <f>AV50+AV47</f>
        <v>0</v>
      </c>
      <c r="AW51" s="860">
        <f>AW50+AW47</f>
        <v>0</v>
      </c>
      <c r="AX51" s="860">
        <f>AY51+AZ51</f>
        <v>0</v>
      </c>
      <c r="AY51" s="860">
        <f>AY50+AY47</f>
        <v>0</v>
      </c>
      <c r="AZ51" s="860">
        <f>AZ50+AZ47</f>
        <v>0</v>
      </c>
      <c r="BA51" s="860">
        <f>BB51+BC51</f>
        <v>0</v>
      </c>
      <c r="BB51" s="860">
        <f>BB50+BB47</f>
        <v>0</v>
      </c>
      <c r="BC51" s="860">
        <f>BC50+BC47</f>
        <v>0</v>
      </c>
      <c r="BD51" s="860">
        <f>BE51+BF51</f>
        <v>0</v>
      </c>
      <c r="BE51" s="860">
        <f>BE50+BE47</f>
        <v>0</v>
      </c>
      <c r="BF51" s="860">
        <f>BF50+BF47</f>
        <v>0</v>
      </c>
      <c r="BG51" s="860">
        <f>BH51+BI51</f>
        <v>0</v>
      </c>
      <c r="BH51" s="860">
        <f>BH50+BH47</f>
        <v>0</v>
      </c>
      <c r="BI51" s="860">
        <f>BI50+BI47</f>
        <v>0</v>
      </c>
      <c r="BJ51" s="860">
        <f>BK51+BL51</f>
        <v>0</v>
      </c>
      <c r="BK51" s="860">
        <f>BK50+BK47</f>
        <v>0</v>
      </c>
      <c r="BL51" s="860">
        <f>BL50+BL47</f>
        <v>0</v>
      </c>
      <c r="BM51" s="860">
        <f>BN51+BO51</f>
        <v>0</v>
      </c>
      <c r="BN51" s="860">
        <f>BN50+BN47</f>
        <v>0</v>
      </c>
      <c r="BO51" s="860">
        <f>BO50+BO47</f>
        <v>0</v>
      </c>
      <c r="BP51" s="860">
        <f>BQ51+BR51</f>
        <v>0</v>
      </c>
      <c r="BQ51" s="860">
        <f>BQ50+BQ47</f>
        <v>0</v>
      </c>
      <c r="BR51" s="860">
        <f>BR50+BR47</f>
        <v>0</v>
      </c>
      <c r="BS51" s="860">
        <f>BT51+BU51</f>
        <v>0</v>
      </c>
      <c r="BT51" s="860">
        <f>BT50+BT47</f>
        <v>0</v>
      </c>
      <c r="BU51" s="860">
        <f>BU50+BU47</f>
        <v>0</v>
      </c>
      <c r="BV51" s="860">
        <f>BW51+BX51</f>
        <v>0</v>
      </c>
      <c r="BW51" s="860">
        <f>BW50+BW47</f>
        <v>0</v>
      </c>
      <c r="BX51" s="860">
        <f>BX50+BX47</f>
        <v>0</v>
      </c>
      <c r="BY51" s="860">
        <f>BZ51+CA51</f>
        <v>0</v>
      </c>
      <c r="BZ51" s="860">
        <f>BZ50+BZ47</f>
        <v>0</v>
      </c>
      <c r="CA51" s="860">
        <f>CA50+CA47</f>
        <v>0</v>
      </c>
      <c r="CB51" s="860">
        <f>CC51+CD51</f>
        <v>0</v>
      </c>
      <c r="CC51" s="860">
        <f>CC50+CC47</f>
        <v>0</v>
      </c>
      <c r="CD51" s="860">
        <f>CD50+CD47</f>
        <v>0</v>
      </c>
      <c r="CE51" s="860">
        <f>CF51+CG51</f>
        <v>0</v>
      </c>
      <c r="CF51" s="860">
        <f>CF50+CF47</f>
        <v>0</v>
      </c>
      <c r="CG51" s="860">
        <f>CG50+CG47</f>
        <v>0</v>
      </c>
      <c r="CH51" s="860">
        <f>CI51+CJ51</f>
        <v>0</v>
      </c>
      <c r="CI51" s="860">
        <f>CI50+CI47</f>
        <v>0</v>
      </c>
      <c r="CJ51" s="860">
        <f>CJ50+CJ47</f>
        <v>0</v>
      </c>
      <c r="CK51" s="860">
        <f>CL51+CM51</f>
        <v>0</v>
      </c>
      <c r="CL51" s="860">
        <f>CL50+CL47</f>
        <v>0</v>
      </c>
      <c r="CM51" s="860">
        <f>CM50+CM47</f>
        <v>0</v>
      </c>
      <c r="CN51" s="860">
        <f>CO51+CP51</f>
        <v>0</v>
      </c>
      <c r="CO51" s="860">
        <f>CO50+CO47</f>
        <v>0</v>
      </c>
      <c r="CP51" s="860">
        <f>CP50+CP47</f>
        <v>0</v>
      </c>
      <c r="CQ51" s="860">
        <f>CR51+CS51</f>
        <v>0</v>
      </c>
      <c r="CR51" s="860">
        <f>CR50+CR47</f>
        <v>0</v>
      </c>
      <c r="CS51" s="860">
        <f>CS50+CS47</f>
        <v>0</v>
      </c>
      <c r="CT51" s="73"/>
      <c r="CW51" s="1173" t="s">
        <v>784</v>
      </c>
    </row>
    <row customHeight="1" ht="16.672500000000003" hidden="1">
      <c r="E52" s="797">
        <v>17.1</v>
      </c>
      <c r="F52" s="922" cm="1" t="str">
        <f t="array" ref="F52:F52">OFFSET(G52,-1,-1)</f>
        <v>0</v>
      </c>
      <c r="L52" s="922" cm="1" t="str">
        <f t="array" ref="L52:L52">OFFSET(M52,-1,-1)</f>
        <v>false</v>
      </c>
      <c r="R52" s="922" t="s">
        <v>730</v>
      </c>
      <c r="S52" s="159" cm="1" t="str">
        <f t="array" ref="S52:S52">OFFSET(T52,-1,-1)</f>
        <v>false</v>
      </c>
      <c r="T52" s="159" cm="1" t="str">
        <f t="array" ref="T52:T52">L52</f>
        <v>false</v>
      </c>
      <c r="U52" s="819">
        <f>AND(S52,IF(ISBLANK(T52),TRUE,T52))</f>
        <v>0</v>
      </c>
      <c r="AB52" s="1793"/>
      <c r="AD52" s="160">
        <v>17</v>
      </c>
      <c r="AE52" s="1498" t="s">
        <v>785</v>
      </c>
      <c r="AF52" s="1770"/>
      <c r="AG52" s="160" t="s">
        <v>498</v>
      </c>
      <c r="AH52" s="866">
        <f>_xlfn.IFERROR(AH50/AH51,0)</f>
        <v>0</v>
      </c>
      <c r="AI52" s="867">
        <f>_xlfn.IFERROR(AI50/AI51,0)</f>
        <v>0</v>
      </c>
      <c r="AJ52" s="867">
        <f>_xlfn.IFERROR(AJ50/AJ51,0)</f>
        <v>0</v>
      </c>
      <c r="AK52" s="867">
        <f>_xlfn.IFERROR(AK50/AK51,0)</f>
        <v>0</v>
      </c>
      <c r="AL52" s="867">
        <f>_xlfn.IFERROR(AL50/AL51,0)</f>
        <v>0</v>
      </c>
      <c r="AM52" s="867">
        <f>_xlfn.IFERROR(AM50/AM51,0)</f>
        <v>0</v>
      </c>
      <c r="AN52" s="867">
        <f>_xlfn.IFERROR(AN50/AN51,0)</f>
        <v>0</v>
      </c>
      <c r="AO52" s="867">
        <f>_xlfn.IFERROR(AO50/AO51,0)</f>
        <v>0</v>
      </c>
      <c r="AP52" s="867">
        <f>_xlfn.IFERROR(AP50/AP51,0)</f>
        <v>0</v>
      </c>
      <c r="AQ52" s="867">
        <f>_xlfn.IFERROR(AQ50/AQ51,0)</f>
        <v>0</v>
      </c>
      <c r="AR52" s="867">
        <f>_xlfn.IFERROR(AR50/AR51,0)</f>
        <v>0</v>
      </c>
      <c r="AS52" s="867">
        <f>_xlfn.IFERROR(AS50/AS51,0)</f>
        <v>0</v>
      </c>
      <c r="AT52" s="867">
        <f>_xlfn.IFERROR(AT50/AT51,0)</f>
        <v>0</v>
      </c>
      <c r="AU52" s="867">
        <f>_xlfn.IFERROR(AU50/AU51,0)</f>
        <v>0</v>
      </c>
      <c r="AV52" s="867">
        <f>_xlfn.IFERROR(AV50/AV51,0)</f>
        <v>0</v>
      </c>
      <c r="AW52" s="867">
        <f>_xlfn.IFERROR(AW50/AW51,0)</f>
        <v>0</v>
      </c>
      <c r="AX52" s="867">
        <f>_xlfn.IFERROR(AX50/AX51,0)</f>
        <v>0</v>
      </c>
      <c r="AY52" s="867">
        <f>_xlfn.IFERROR(AY50/AY51,0)</f>
        <v>0</v>
      </c>
      <c r="AZ52" s="867">
        <f>_xlfn.IFERROR(AZ50/AZ51,0)</f>
        <v>0</v>
      </c>
      <c r="BA52" s="867">
        <f>_xlfn.IFERROR(BA50/BA51,0)</f>
        <v>0</v>
      </c>
      <c r="BB52" s="867">
        <f>_xlfn.IFERROR(BB50/BB51,0)</f>
        <v>0</v>
      </c>
      <c r="BC52" s="867">
        <f>_xlfn.IFERROR(BC50/BC51,0)</f>
        <v>0</v>
      </c>
      <c r="BD52" s="867">
        <f>_xlfn.IFERROR(BD50/BD51,0)</f>
        <v>0</v>
      </c>
      <c r="BE52" s="867">
        <f>_xlfn.IFERROR(BE50/BE51,0)</f>
        <v>0</v>
      </c>
      <c r="BF52" s="867">
        <f>_xlfn.IFERROR(BF50/BF51,0)</f>
        <v>0</v>
      </c>
      <c r="BG52" s="867">
        <f>_xlfn.IFERROR(BG50/BG51,0)</f>
        <v>0</v>
      </c>
      <c r="BH52" s="867">
        <f>_xlfn.IFERROR(BH50/BH51,0)</f>
        <v>0</v>
      </c>
      <c r="BI52" s="867">
        <f>_xlfn.IFERROR(BI50/BI51,0)</f>
        <v>0</v>
      </c>
      <c r="BJ52" s="867">
        <f>_xlfn.IFERROR(BJ50/BJ51,0)</f>
        <v>0</v>
      </c>
      <c r="BK52" s="867">
        <f>_xlfn.IFERROR(BK50/BK51,0)</f>
        <v>0</v>
      </c>
      <c r="BL52" s="867">
        <f>_xlfn.IFERROR(BL50/BL51,0)</f>
        <v>0</v>
      </c>
      <c r="BM52" s="867">
        <f>_xlfn.IFERROR(BM50/BM51,0)</f>
        <v>0</v>
      </c>
      <c r="BN52" s="867">
        <f>_xlfn.IFERROR(BN50/BN51,0)</f>
        <v>0</v>
      </c>
      <c r="BO52" s="867">
        <f>_xlfn.IFERROR(BO50/BO51,0)</f>
        <v>0</v>
      </c>
      <c r="BP52" s="867">
        <f>_xlfn.IFERROR(BP50/BP51,0)</f>
        <v>0</v>
      </c>
      <c r="BQ52" s="867">
        <f>_xlfn.IFERROR(BQ50/BQ51,0)</f>
        <v>0</v>
      </c>
      <c r="BR52" s="867">
        <f>_xlfn.IFERROR(BR50/BR51,0)</f>
        <v>0</v>
      </c>
      <c r="BS52" s="867">
        <f>_xlfn.IFERROR(BS50/BS51,0)</f>
        <v>0</v>
      </c>
      <c r="BT52" s="867">
        <f>_xlfn.IFERROR(BT50/BT51,0)</f>
        <v>0</v>
      </c>
      <c r="BU52" s="867">
        <f>_xlfn.IFERROR(BU50/BU51,0)</f>
        <v>0</v>
      </c>
      <c r="BV52" s="867">
        <f>_xlfn.IFERROR(BV50/BV51,0)</f>
        <v>0</v>
      </c>
      <c r="BW52" s="867">
        <f>_xlfn.IFERROR(BW50/BW51,0)</f>
        <v>0</v>
      </c>
      <c r="BX52" s="867">
        <f>_xlfn.IFERROR(BX50/BX51,0)</f>
        <v>0</v>
      </c>
      <c r="BY52" s="867">
        <f>_xlfn.IFERROR(BY50/BY51,0)</f>
        <v>0</v>
      </c>
      <c r="BZ52" s="867">
        <f>_xlfn.IFERROR(BZ50/BZ51,0)</f>
        <v>0</v>
      </c>
      <c r="CA52" s="867">
        <f>_xlfn.IFERROR(CA50/CA51,0)</f>
        <v>0</v>
      </c>
      <c r="CB52" s="867">
        <f>_xlfn.IFERROR(CB50/CB51,0)</f>
        <v>0</v>
      </c>
      <c r="CC52" s="867">
        <f>_xlfn.IFERROR(CC50/CC51,0)</f>
        <v>0</v>
      </c>
      <c r="CD52" s="867">
        <f>_xlfn.IFERROR(CD50/CD51,0)</f>
        <v>0</v>
      </c>
      <c r="CE52" s="867">
        <f>_xlfn.IFERROR(CE50/CE51,0)</f>
        <v>0</v>
      </c>
      <c r="CF52" s="867">
        <f>_xlfn.IFERROR(CF50/CF51,0)</f>
        <v>0</v>
      </c>
      <c r="CG52" s="867">
        <f>_xlfn.IFERROR(CG50/CG51,0)</f>
        <v>0</v>
      </c>
      <c r="CH52" s="867">
        <f>_xlfn.IFERROR(CH50/CH51,0)</f>
        <v>0</v>
      </c>
      <c r="CI52" s="867">
        <f>_xlfn.IFERROR(CI50/CI51,0)</f>
        <v>0</v>
      </c>
      <c r="CJ52" s="867">
        <f>_xlfn.IFERROR(CJ50/CJ51,0)</f>
        <v>0</v>
      </c>
      <c r="CK52" s="867">
        <f>_xlfn.IFERROR(CK50/CK51,0)</f>
        <v>0</v>
      </c>
      <c r="CL52" s="867">
        <f>_xlfn.IFERROR(CL50/CL51,0)</f>
        <v>0</v>
      </c>
      <c r="CM52" s="867">
        <f>_xlfn.IFERROR(CM50/CM51,0)</f>
        <v>0</v>
      </c>
      <c r="CN52" s="867">
        <f>_xlfn.IFERROR(CN50/CN51,0)</f>
        <v>0</v>
      </c>
      <c r="CO52" s="867">
        <f>_xlfn.IFERROR(CO50/CO51,0)</f>
        <v>0</v>
      </c>
      <c r="CP52" s="867">
        <f>_xlfn.IFERROR(CP50/CP51,0)</f>
        <v>0</v>
      </c>
      <c r="CQ52" s="867">
        <f>_xlfn.IFERROR(CQ50/CQ51,0)</f>
        <v>0</v>
      </c>
      <c r="CR52" s="867">
        <f>_xlfn.IFERROR(CR50/CR51,0)</f>
        <v>0</v>
      </c>
      <c r="CS52" s="867">
        <f>_xlfn.IFERROR(CS50/CS51,0)</f>
        <v>0</v>
      </c>
      <c r="CT52" s="73"/>
      <c r="CW52" s="1173" t="s">
        <v>786</v>
      </c>
    </row>
    <row customHeight="1" ht="16.672500000000003" hidden="1">
      <c r="E53" s="797">
        <v>17.1</v>
      </c>
      <c r="F53" s="922" cm="1" t="str">
        <f t="array" ref="F53:F53">OFFSET(G53,-1,-1)</f>
        <v>0</v>
      </c>
      <c r="L53" s="922" cm="1" t="str">
        <f t="array" ref="L53:L53">OFFSET(M53,-1,-1)</f>
        <v>false</v>
      </c>
      <c r="S53" s="159" cm="1" t="str">
        <f t="array" ref="S53:S53">OFFSET(T53,-1,-1)</f>
        <v>false</v>
      </c>
      <c r="U53" s="819">
        <f>AND(S53,IF(ISBLANK(T53),TRUE,T53))</f>
        <v>0</v>
      </c>
      <c r="AB53" s="1793"/>
      <c r="AD53" s="160">
        <v>18</v>
      </c>
      <c r="AE53" s="1498" t="s">
        <v>787</v>
      </c>
      <c r="AF53" s="1770"/>
      <c r="AG53" s="160" t="s">
        <v>774</v>
      </c>
      <c r="AH53" s="860">
        <f>SUM(AH55:AH56)</f>
        <v>0</v>
      </c>
      <c r="AI53" s="860">
        <f>SUM(AI55:AI56)</f>
        <v>0</v>
      </c>
      <c r="AJ53" s="860">
        <f>SUM(AJ55:AJ56)</f>
        <v>0</v>
      </c>
      <c r="AK53" s="860">
        <f>SUM(AK55:AK56)</f>
        <v>0</v>
      </c>
      <c r="AL53" s="860">
        <f>SUM(AL55:AL56)</f>
        <v>0</v>
      </c>
      <c r="AM53" s="860">
        <f>SUM(AM55:AM56)</f>
        <v>0</v>
      </c>
      <c r="AN53" s="860">
        <f>SUM(AN55:AN56)</f>
        <v>0</v>
      </c>
      <c r="AO53" s="860">
        <f>SUM(AO55:AO56)</f>
        <v>0</v>
      </c>
      <c r="AP53" s="860">
        <f>SUM(AP55:AP56)</f>
        <v>0</v>
      </c>
      <c r="AQ53" s="860">
        <f>SUM(AQ55:AQ56)</f>
        <v>0</v>
      </c>
      <c r="AR53" s="860">
        <f>SUM(AR55:AR56)</f>
        <v>0</v>
      </c>
      <c r="AS53" s="860">
        <f>SUM(AS55:AS56)</f>
        <v>0</v>
      </c>
      <c r="AT53" s="860">
        <f>SUM(AT55:AT56)</f>
        <v>0</v>
      </c>
      <c r="AU53" s="860">
        <f>SUM(AU55:AU56)</f>
        <v>0</v>
      </c>
      <c r="AV53" s="860">
        <f>SUM(AV55:AV56)</f>
        <v>0</v>
      </c>
      <c r="AW53" s="860">
        <f>SUM(AW55:AW56)</f>
        <v>0</v>
      </c>
      <c r="AX53" s="860">
        <f>SUM(AX55:AX56)</f>
        <v>0</v>
      </c>
      <c r="AY53" s="860">
        <f>SUM(AY55:AY56)</f>
        <v>0</v>
      </c>
      <c r="AZ53" s="860">
        <f>SUM(AZ55:AZ56)</f>
        <v>0</v>
      </c>
      <c r="BA53" s="860">
        <f>SUM(BA55:BA56)</f>
        <v>0</v>
      </c>
      <c r="BB53" s="860">
        <f>SUM(BB55:BB56)</f>
        <v>0</v>
      </c>
      <c r="BC53" s="860">
        <f>SUM(BC55:BC56)</f>
        <v>0</v>
      </c>
      <c r="BD53" s="860">
        <f>SUM(BD55:BD56)</f>
        <v>0</v>
      </c>
      <c r="BE53" s="860">
        <f>SUM(BE55:BE56)</f>
        <v>0</v>
      </c>
      <c r="BF53" s="860">
        <f>SUM(BF55:BF56)</f>
        <v>0</v>
      </c>
      <c r="BG53" s="860">
        <f>SUM(BG55:BG56)</f>
        <v>0</v>
      </c>
      <c r="BH53" s="860">
        <f>SUM(BH55:BH56)</f>
        <v>0</v>
      </c>
      <c r="BI53" s="860">
        <f>SUM(BI55:BI56)</f>
        <v>0</v>
      </c>
      <c r="BJ53" s="860">
        <f>SUM(BJ55:BJ56)</f>
        <v>0</v>
      </c>
      <c r="BK53" s="860">
        <f>SUM(BK55:BK56)</f>
        <v>0</v>
      </c>
      <c r="BL53" s="860">
        <f>SUM(BL55:BL56)</f>
        <v>0</v>
      </c>
      <c r="BM53" s="860">
        <f>SUM(BM55:BM56)</f>
        <v>0</v>
      </c>
      <c r="BN53" s="860">
        <f>SUM(BN55:BN56)</f>
        <v>0</v>
      </c>
      <c r="BO53" s="860">
        <f>SUM(BO55:BO56)</f>
        <v>0</v>
      </c>
      <c r="BP53" s="860">
        <f>SUM(BP55:BP56)</f>
        <v>0</v>
      </c>
      <c r="BQ53" s="860">
        <f>SUM(BQ55:BQ56)</f>
        <v>0</v>
      </c>
      <c r="BR53" s="860">
        <f>SUM(BR55:BR56)</f>
        <v>0</v>
      </c>
      <c r="BS53" s="860">
        <f>SUM(BS55:BS56)</f>
        <v>0</v>
      </c>
      <c r="BT53" s="860">
        <f>SUM(BT55:BT56)</f>
        <v>0</v>
      </c>
      <c r="BU53" s="860">
        <f>SUM(BU55:BU56)</f>
        <v>0</v>
      </c>
      <c r="BV53" s="860">
        <f>SUM(BV55:BV56)</f>
        <v>0</v>
      </c>
      <c r="BW53" s="860">
        <f>SUM(BW55:BW56)</f>
        <v>0</v>
      </c>
      <c r="BX53" s="860">
        <f>SUM(BX55:BX56)</f>
        <v>0</v>
      </c>
      <c r="BY53" s="860">
        <f>SUM(BY55:BY56)</f>
        <v>0</v>
      </c>
      <c r="BZ53" s="860">
        <f>SUM(BZ55:BZ56)</f>
        <v>0</v>
      </c>
      <c r="CA53" s="860">
        <f>SUM(CA55:CA56)</f>
        <v>0</v>
      </c>
      <c r="CB53" s="860">
        <f>SUM(CB55:CB56)</f>
        <v>0</v>
      </c>
      <c r="CC53" s="860">
        <f>SUM(CC55:CC56)</f>
        <v>0</v>
      </c>
      <c r="CD53" s="860">
        <f>SUM(CD55:CD56)</f>
        <v>0</v>
      </c>
      <c r="CE53" s="860">
        <f>SUM(CE55:CE56)</f>
        <v>0</v>
      </c>
      <c r="CF53" s="860">
        <f>SUM(CF55:CF56)</f>
        <v>0</v>
      </c>
      <c r="CG53" s="860">
        <f>SUM(CG55:CG56)</f>
        <v>0</v>
      </c>
      <c r="CH53" s="860">
        <f>SUM(CH55:CH56)</f>
        <v>0</v>
      </c>
      <c r="CI53" s="860">
        <f>SUM(CI55:CI56)</f>
        <v>0</v>
      </c>
      <c r="CJ53" s="860">
        <f>SUM(CJ55:CJ56)</f>
        <v>0</v>
      </c>
      <c r="CK53" s="860">
        <f>SUM(CK55:CK56)</f>
        <v>0</v>
      </c>
      <c r="CL53" s="860">
        <f>SUM(CL55:CL56)</f>
        <v>0</v>
      </c>
      <c r="CM53" s="860">
        <f>SUM(CM55:CM56)</f>
        <v>0</v>
      </c>
      <c r="CN53" s="860">
        <f>SUM(CN55:CN56)</f>
        <v>0</v>
      </c>
      <c r="CO53" s="860">
        <f>SUM(CO55:CO56)</f>
        <v>0</v>
      </c>
      <c r="CP53" s="860">
        <f>SUM(CP55:CP56)</f>
        <v>0</v>
      </c>
      <c r="CQ53" s="860">
        <f>SUM(CQ55:CQ56)</f>
        <v>0</v>
      </c>
      <c r="CR53" s="860">
        <f>SUM(CR55:CR56)</f>
        <v>0</v>
      </c>
      <c r="CS53" s="860">
        <f>SUM(CS55:CS56)</f>
        <v>0</v>
      </c>
      <c r="CT53" s="73"/>
      <c r="CW53" s="1173" t="s">
        <v>788</v>
      </c>
    </row>
    <row customHeight="1" ht="16.672500000000003" hidden="1">
      <c r="E54" s="797">
        <v>17.1</v>
      </c>
      <c r="F54" s="922" cm="1" t="str">
        <f t="array" ref="F54:F54">OFFSET(G54,-1,-1)</f>
        <v>0</v>
      </c>
      <c r="L54" s="922" cm="1" t="str">
        <f t="array" ref="L54:L54">OFFSET(M54,-1,-1)</f>
        <v>false</v>
      </c>
      <c r="R54" s="922" t="s">
        <v>730</v>
      </c>
      <c r="S54" s="159" cm="1" t="str">
        <f t="array" ref="S54:S54">OFFSET(T54,-1,-1)</f>
        <v>false</v>
      </c>
      <c r="T54" s="159" cm="1" t="str">
        <f t="array" ref="T54:T54">L54</f>
        <v>false</v>
      </c>
      <c r="U54" s="819">
        <f>AND(S54,IF(ISBLANK(T54),TRUE,T54))</f>
        <v>0</v>
      </c>
      <c r="AB54" s="1793"/>
      <c r="AD54" s="160" t="s">
        <v>789</v>
      </c>
      <c r="AE54" s="1498" t="s">
        <v>741</v>
      </c>
      <c r="AF54" s="1770"/>
      <c r="AG54" s="160" t="s">
        <v>774</v>
      </c>
      <c r="AH54" s="86">
        <f>AH$52*AH53</f>
        <v>0</v>
      </c>
      <c r="AI54" s="87">
        <f>AI$52*AI53</f>
        <v>0</v>
      </c>
      <c r="AJ54" s="87">
        <f>AJ$52*AJ53</f>
        <v>0</v>
      </c>
      <c r="AK54" s="87">
        <f>AK$52*AK53</f>
        <v>0</v>
      </c>
      <c r="AL54" s="860">
        <f>AM54+AN54</f>
        <v>0</v>
      </c>
      <c r="AM54" s="87">
        <f>AM$52*AM53</f>
        <v>0</v>
      </c>
      <c r="AN54" s="87">
        <f>AN$52*AN53</f>
        <v>0</v>
      </c>
      <c r="AO54" s="860">
        <f>AP54+AQ54</f>
        <v>0</v>
      </c>
      <c r="AP54" s="87">
        <f>AP$52*AP53</f>
        <v>0</v>
      </c>
      <c r="AQ54" s="87">
        <f>AQ$52*AQ53</f>
        <v>0</v>
      </c>
      <c r="AR54" s="860">
        <f>AS54+AT54</f>
        <v>0</v>
      </c>
      <c r="AS54" s="87">
        <f>AS$52*AS53</f>
        <v>0</v>
      </c>
      <c r="AT54" s="87">
        <f>AT$52*AT53</f>
        <v>0</v>
      </c>
      <c r="AU54" s="860">
        <f>AV54+AW54</f>
        <v>0</v>
      </c>
      <c r="AV54" s="87">
        <f>AV$52*AV53</f>
        <v>0</v>
      </c>
      <c r="AW54" s="87">
        <f>AW$52*AW53</f>
        <v>0</v>
      </c>
      <c r="AX54" s="860">
        <f>AY54+AZ54</f>
        <v>0</v>
      </c>
      <c r="AY54" s="87">
        <f>AY$52*AY53</f>
        <v>0</v>
      </c>
      <c r="AZ54" s="87">
        <f>AZ$52*AZ53</f>
        <v>0</v>
      </c>
      <c r="BA54" s="860">
        <f>BB54+BC54</f>
        <v>0</v>
      </c>
      <c r="BB54" s="87">
        <f>BB$52*BB53</f>
        <v>0</v>
      </c>
      <c r="BC54" s="87">
        <f>BC$52*BC53</f>
        <v>0</v>
      </c>
      <c r="BD54" s="860">
        <f>BE54+BF54</f>
        <v>0</v>
      </c>
      <c r="BE54" s="87">
        <f>BE$52*BE53</f>
        <v>0</v>
      </c>
      <c r="BF54" s="87">
        <f>BF$52*BF53</f>
        <v>0</v>
      </c>
      <c r="BG54" s="860">
        <f>BH54+BI54</f>
        <v>0</v>
      </c>
      <c r="BH54" s="87">
        <f>BH$52*BH53</f>
        <v>0</v>
      </c>
      <c r="BI54" s="87">
        <f>BI$52*BI53</f>
        <v>0</v>
      </c>
      <c r="BJ54" s="860">
        <f>BK54+BL54</f>
        <v>0</v>
      </c>
      <c r="BK54" s="87">
        <f>BK$52*BK53</f>
        <v>0</v>
      </c>
      <c r="BL54" s="87">
        <f>BL$52*BL53</f>
        <v>0</v>
      </c>
      <c r="BM54" s="860">
        <f>BN54+BO54</f>
        <v>0</v>
      </c>
      <c r="BN54" s="87">
        <f>BN$52*BN53</f>
        <v>0</v>
      </c>
      <c r="BO54" s="87">
        <f>BO$52*BO53</f>
        <v>0</v>
      </c>
      <c r="BP54" s="860">
        <f>BQ54+BR54</f>
        <v>0</v>
      </c>
      <c r="BQ54" s="1772">
        <f>BQ$52*BQ53</f>
        <v>0</v>
      </c>
      <c r="BR54" s="1772">
        <f>BR$52*BR53</f>
        <v>0</v>
      </c>
      <c r="BS54" s="860">
        <f>BT54+BU54</f>
        <v>0</v>
      </c>
      <c r="BT54" s="87">
        <f>BT$52*BT53</f>
        <v>0</v>
      </c>
      <c r="BU54" s="87">
        <f>BU$52*BU53</f>
        <v>0</v>
      </c>
      <c r="BV54" s="860">
        <f>BW54+BX54</f>
        <v>0</v>
      </c>
      <c r="BW54" s="87">
        <f>BW$52*BW53</f>
        <v>0</v>
      </c>
      <c r="BX54" s="87">
        <f>BX$52*BX53</f>
        <v>0</v>
      </c>
      <c r="BY54" s="860">
        <f>BZ54+CA54</f>
        <v>0</v>
      </c>
      <c r="BZ54" s="87">
        <f>BZ$52*BZ53</f>
        <v>0</v>
      </c>
      <c r="CA54" s="87">
        <f>CA$52*CA53</f>
        <v>0</v>
      </c>
      <c r="CB54" s="860">
        <f>CC54+CD54</f>
        <v>0</v>
      </c>
      <c r="CC54" s="87">
        <f>CC$52*CC53</f>
        <v>0</v>
      </c>
      <c r="CD54" s="87">
        <f>CD$52*CD53</f>
        <v>0</v>
      </c>
      <c r="CE54" s="860">
        <f>CF54+CG54</f>
        <v>0</v>
      </c>
      <c r="CF54" s="87">
        <f>CF$52*CF53</f>
        <v>0</v>
      </c>
      <c r="CG54" s="87">
        <f>CG$52*CG53</f>
        <v>0</v>
      </c>
      <c r="CH54" s="860">
        <f>CI54+CJ54</f>
        <v>0</v>
      </c>
      <c r="CI54" s="87">
        <f>CI$52*CI53</f>
        <v>0</v>
      </c>
      <c r="CJ54" s="87">
        <f>CJ$52*CJ53</f>
        <v>0</v>
      </c>
      <c r="CK54" s="860">
        <f>CL54+CM54</f>
        <v>0</v>
      </c>
      <c r="CL54" s="87">
        <f>CL$52*CL53</f>
        <v>0</v>
      </c>
      <c r="CM54" s="87">
        <f>CM$52*CM53</f>
        <v>0</v>
      </c>
      <c r="CN54" s="860">
        <f>CO54+CP54</f>
        <v>0</v>
      </c>
      <c r="CO54" s="87">
        <f>CO$52*CO53</f>
        <v>0</v>
      </c>
      <c r="CP54" s="87">
        <f>CP$52*CP53</f>
        <v>0</v>
      </c>
      <c r="CQ54" s="860">
        <f>CR54+CS54</f>
        <v>0</v>
      </c>
      <c r="CR54" s="87">
        <f>CR$52*CR53</f>
        <v>0</v>
      </c>
      <c r="CS54" s="87">
        <f>CS$52*CS53</f>
        <v>0</v>
      </c>
      <c r="CT54" s="73"/>
      <c r="CW54" s="1173" t="s">
        <v>790</v>
      </c>
    </row>
    <row customHeight="1" ht="16.672500000000003" hidden="1">
      <c r="E55" s="797">
        <v>17.1</v>
      </c>
      <c r="F55" s="922" cm="1" t="str">
        <f t="array" ref="F55:F55">OFFSET(G55,-1,-1)</f>
        <v>0</v>
      </c>
      <c r="L55" s="922" cm="1" t="str">
        <f t="array" ref="L55:L55">OFFSET(M55,-1,-1)</f>
        <v>false</v>
      </c>
      <c r="S55" s="159" cm="1" t="str">
        <f t="array" ref="S55:S55">OFFSET(T55,-1,-1)</f>
        <v>false</v>
      </c>
      <c r="T55" s="159">
        <f>AD55&lt;&gt;"18.0"</f>
        <v>0</v>
      </c>
      <c r="U55" s="819">
        <f>AND(S55,IF(ISBLANK(T55),TRUE,T55))</f>
        <v>0</v>
      </c>
      <c r="X55" s="159" t="s">
        <v>234</v>
      </c>
      <c r="AB55" s="1793"/>
      <c r="AC55" s="1794" t="s">
        <v>218</v>
      </c>
      <c r="AD55" s="160" t="s">
        <v>789</v>
      </c>
      <c r="AE55" s="88"/>
      <c r="AF55" s="89"/>
      <c r="AG55" s="160" t="s">
        <v>774</v>
      </c>
      <c r="AH55" s="86">
        <f>AH$51*AH58</f>
        <v>0</v>
      </c>
      <c r="AI55" s="86">
        <f>AI64*AI61</f>
        <v>0</v>
      </c>
      <c r="AJ55" s="86">
        <f>AJ64*AJ61</f>
        <v>0</v>
      </c>
      <c r="AK55" s="86">
        <f>AK$51*AK58</f>
        <v>0</v>
      </c>
      <c r="AL55" s="860">
        <f>AM55+AN55</f>
        <v>0</v>
      </c>
      <c r="AM55" s="86">
        <f>AM$51*AM58</f>
        <v>0</v>
      </c>
      <c r="AN55" s="86">
        <f>AN$51*AN58</f>
        <v>0</v>
      </c>
      <c r="AO55" s="860">
        <f>AP55+AQ55</f>
        <v>0</v>
      </c>
      <c r="AP55" s="86">
        <f>AP$51*AP58</f>
        <v>0</v>
      </c>
      <c r="AQ55" s="86">
        <f>AQ$51*AQ58</f>
        <v>0</v>
      </c>
      <c r="AR55" s="860">
        <f>AS55+AT55</f>
        <v>0</v>
      </c>
      <c r="AS55" s="86">
        <f>AS$51*AS58</f>
        <v>0</v>
      </c>
      <c r="AT55" s="86">
        <f>AT$51*AT58</f>
        <v>0</v>
      </c>
      <c r="AU55" s="860">
        <f>AV55+AW55</f>
        <v>0</v>
      </c>
      <c r="AV55" s="86">
        <f>AV$51*AV58</f>
        <v>0</v>
      </c>
      <c r="AW55" s="86">
        <f>AW$51*AW58</f>
        <v>0</v>
      </c>
      <c r="AX55" s="860">
        <f>AY55+AZ55</f>
        <v>0</v>
      </c>
      <c r="AY55" s="86">
        <f>AY$51*AY58</f>
        <v>0</v>
      </c>
      <c r="AZ55" s="86">
        <f>AZ$51*AZ58</f>
        <v>0</v>
      </c>
      <c r="BA55" s="860">
        <f>BB55+BC55</f>
        <v>0</v>
      </c>
      <c r="BB55" s="86">
        <f>BB$51*BB58</f>
        <v>0</v>
      </c>
      <c r="BC55" s="86">
        <f>BC$51*BC58</f>
        <v>0</v>
      </c>
      <c r="BD55" s="860">
        <f>BE55+BF55</f>
        <v>0</v>
      </c>
      <c r="BE55" s="86">
        <f>BE$51*BE58</f>
        <v>0</v>
      </c>
      <c r="BF55" s="86">
        <f>BF$51*BF58</f>
        <v>0</v>
      </c>
      <c r="BG55" s="860">
        <f>BH55+BI55</f>
        <v>0</v>
      </c>
      <c r="BH55" s="86">
        <f>BH$51*BH58</f>
        <v>0</v>
      </c>
      <c r="BI55" s="86">
        <f>BI$51*BI58</f>
        <v>0</v>
      </c>
      <c r="BJ55" s="860">
        <f>BK55+BL55</f>
        <v>0</v>
      </c>
      <c r="BK55" s="86">
        <f>BK$51*BK58</f>
        <v>0</v>
      </c>
      <c r="BL55" s="86">
        <f>BL$51*BL58</f>
        <v>0</v>
      </c>
      <c r="BM55" s="860">
        <f>BN55+BO55</f>
        <v>0</v>
      </c>
      <c r="BN55" s="86">
        <f>BN$51*BN58</f>
        <v>0</v>
      </c>
      <c r="BO55" s="86">
        <f>BO$51*BO58</f>
        <v>0</v>
      </c>
      <c r="BP55" s="860">
        <f>BQ55+BR55</f>
        <v>0</v>
      </c>
      <c r="BQ55" s="1791">
        <f>BQ$51*BQ58</f>
        <v>0</v>
      </c>
      <c r="BR55" s="1791">
        <f>BR$51*BR58</f>
        <v>0</v>
      </c>
      <c r="BS55" s="860">
        <f>BT55+BU55</f>
        <v>0</v>
      </c>
      <c r="BT55" s="86">
        <f>BT$51*BT58</f>
        <v>0</v>
      </c>
      <c r="BU55" s="86">
        <f>BU$51*BU58</f>
        <v>0</v>
      </c>
      <c r="BV55" s="860">
        <f>BW55+BX55</f>
        <v>0</v>
      </c>
      <c r="BW55" s="86">
        <f>BW$51*BW58</f>
        <v>0</v>
      </c>
      <c r="BX55" s="86">
        <f>BX$51*BX58</f>
        <v>0</v>
      </c>
      <c r="BY55" s="860">
        <f>BZ55+CA55</f>
        <v>0</v>
      </c>
      <c r="BZ55" s="86">
        <f>BZ$51*BZ58</f>
        <v>0</v>
      </c>
      <c r="CA55" s="86">
        <f>CA$51*CA58</f>
        <v>0</v>
      </c>
      <c r="CB55" s="860">
        <f>CC55+CD55</f>
        <v>0</v>
      </c>
      <c r="CC55" s="86">
        <f>CC$51*CC58</f>
        <v>0</v>
      </c>
      <c r="CD55" s="86">
        <f>CD$51*CD58</f>
        <v>0</v>
      </c>
      <c r="CE55" s="860">
        <f>CF55+CG55</f>
        <v>0</v>
      </c>
      <c r="CF55" s="86">
        <f>CF$51*CF58</f>
        <v>0</v>
      </c>
      <c r="CG55" s="86">
        <f>CG$51*CG58</f>
        <v>0</v>
      </c>
      <c r="CH55" s="860">
        <f>CI55+CJ55</f>
        <v>0</v>
      </c>
      <c r="CI55" s="86">
        <f>CI$51*CI58</f>
        <v>0</v>
      </c>
      <c r="CJ55" s="86">
        <f>CJ$51*CJ58</f>
        <v>0</v>
      </c>
      <c r="CK55" s="860">
        <f>CL55+CM55</f>
        <v>0</v>
      </c>
      <c r="CL55" s="86">
        <f>CL$51*CL58</f>
        <v>0</v>
      </c>
      <c r="CM55" s="86">
        <f>CM$51*CM58</f>
        <v>0</v>
      </c>
      <c r="CN55" s="860">
        <f>CO55+CP55</f>
        <v>0</v>
      </c>
      <c r="CO55" s="86">
        <f>CO$51*CO58</f>
        <v>0</v>
      </c>
      <c r="CP55" s="86">
        <f>CP$51*CP58</f>
        <v>0</v>
      </c>
      <c r="CQ55" s="860">
        <f>CR55+CS55</f>
        <v>0</v>
      </c>
      <c r="CR55" s="86">
        <f>CR$51*CR58</f>
        <v>0</v>
      </c>
      <c r="CS55" s="86">
        <f>CS$51*CS58</f>
        <v>0</v>
      </c>
      <c r="CT55" s="73"/>
      <c r="CW55" s="1173" t="s">
        <v>791</v>
      </c>
      <c r="CX55" s="1178" t="s">
        <v>792</v>
      </c>
      <c r="CY55" s="1182" cm="1" t="str">
        <f t="array" ref="CY55:CY55">AE55</f>
        <v>0</v>
      </c>
      <c r="CZ55" s="1182" cm="1" t="str">
        <f t="array" ref="CZ55:CZ55">AF55</f>
        <v>0</v>
      </c>
      <c r="DB55" s="1179" t="b">
        <v>1</v>
      </c>
    </row>
    <row customHeight="1" ht="16.672500000000003" hidden="1">
      <c r="E56" s="797">
        <v>17.1</v>
      </c>
      <c r="F56" s="922" cm="1" t="str">
        <f t="array" ref="F56:F56">OFFSET(G56,-1,-1)</f>
        <v>0</v>
      </c>
      <c r="L56" s="922" cm="1" t="str">
        <f t="array" ref="L56:L56">OFFSET(M56,-1,-1)</f>
        <v>false</v>
      </c>
      <c r="S56" s="159" cm="1" t="str">
        <f t="array" ref="S56:S56">OFFSET(T56,-1,-1)</f>
        <v>false</v>
      </c>
      <c r="U56" s="819">
        <f>AND(S56,IF(ISBLANK(T56),TRUE,T56))</f>
        <v>0</v>
      </c>
      <c r="X56" s="973" t="str">
        <f>"{                  
         funcDyn: 'msg',
         blok: 'blok_2',
         wsCross: 'Топливо 4.4',
         linkFormula: 'AE-AE#AF-AF',
         levelDyn: "&amp;Y28&amp;"
}"</f>
        <v>{                  
         funcDyn: 'msg',
         blok: 'blok_2',
         wsCross: 'Топливо 4.4',
         linkFormula: 'AE-AE#AF-AF',
         levelDyn: 0
}</v>
      </c>
      <c r="AB56" s="1793"/>
      <c r="AD56" s="1795"/>
      <c r="AE56" s="1796" t="s">
        <v>236</v>
      </c>
      <c r="AF56" s="903"/>
      <c r="AG56" s="903"/>
      <c r="AH56" s="903"/>
      <c r="AI56" s="903"/>
      <c r="AJ56" s="903"/>
      <c r="AK56" s="903"/>
      <c r="AL56" s="903"/>
      <c r="AM56" s="903"/>
      <c r="AN56" s="903"/>
      <c r="AO56" s="903"/>
      <c r="AP56" s="903"/>
      <c r="AQ56" s="903"/>
      <c r="AR56" s="903"/>
      <c r="AS56" s="903"/>
      <c r="AT56" s="903"/>
      <c r="AU56" s="903"/>
      <c r="AV56" s="903"/>
      <c r="AW56" s="903"/>
      <c r="AX56" s="903"/>
      <c r="AY56" s="903"/>
      <c r="AZ56" s="903"/>
      <c r="BA56" s="903"/>
      <c r="BB56" s="903"/>
      <c r="BC56" s="903"/>
      <c r="BD56" s="903"/>
      <c r="BE56" s="903"/>
      <c r="BF56" s="903"/>
      <c r="BG56" s="903"/>
      <c r="BH56" s="903"/>
      <c r="BI56" s="903"/>
      <c r="BJ56" s="903"/>
      <c r="BK56" s="903"/>
      <c r="BL56" s="903"/>
      <c r="BM56" s="903"/>
      <c r="BN56" s="903"/>
      <c r="BO56" s="903"/>
      <c r="BP56" s="903"/>
      <c r="BQ56" s="903"/>
      <c r="BR56" s="903"/>
      <c r="BS56" s="903"/>
      <c r="BT56" s="903"/>
      <c r="BU56" s="903"/>
      <c r="BV56" s="903"/>
      <c r="BW56" s="903"/>
      <c r="BX56" s="903"/>
      <c r="BY56" s="903"/>
      <c r="BZ56" s="903"/>
      <c r="CA56" s="903"/>
      <c r="CB56" s="903"/>
      <c r="CC56" s="903"/>
      <c r="CD56" s="903"/>
      <c r="CE56" s="903"/>
      <c r="CF56" s="903"/>
      <c r="CG56" s="903"/>
      <c r="CH56" s="903"/>
      <c r="CI56" s="903"/>
      <c r="CJ56" s="903"/>
      <c r="CK56" s="903"/>
      <c r="CL56" s="903"/>
      <c r="CM56" s="903"/>
      <c r="CN56" s="903"/>
      <c r="CO56" s="903"/>
      <c r="CP56" s="903"/>
      <c r="CQ56" s="903"/>
      <c r="CR56" s="903"/>
      <c r="CS56" s="903"/>
      <c r="CT56" s="1797"/>
      <c r="CW56" s="1173" t="str">
        <f>IF(AND(ISNUMBER(VALUE(TRIM(SUBSTITUTE(AD56,".","")))),TRIM(SUBSTITUTE(AD56,".",""))&lt;&gt;""),"P"&amp;SUBSTITUTE(AD56,".",""),"")</f>
        <v/>
      </c>
      <c r="DA56" s="1179" t="s">
        <v>792</v>
      </c>
    </row>
    <row customHeight="1" ht="16.672500000000003" hidden="1">
      <c r="E57" s="797">
        <v>17.1</v>
      </c>
      <c r="F57" s="922" cm="1" t="str">
        <f t="array" ref="F57:F57">OFFSET(G57,-1,-1)</f>
        <v>0</v>
      </c>
      <c r="L57" s="922" cm="1" t="str">
        <f t="array" ref="L57:L57">OFFSET(M57,-1,-1)</f>
        <v>false</v>
      </c>
      <c r="S57" s="159" cm="1" t="str">
        <f t="array" ref="S57:S57">OFFSET(T57,-1,-1)</f>
        <v>false</v>
      </c>
      <c r="U57" s="819">
        <f>AND(S57,IF(ISBLANK(T57),TRUE,T57))</f>
        <v>0</v>
      </c>
      <c r="AB57" s="1793"/>
      <c r="AD57" s="160">
        <v>19</v>
      </c>
      <c r="AE57" s="1798" t="s">
        <v>793</v>
      </c>
      <c r="AF57" s="1799"/>
      <c r="AG57" s="1800" t="s">
        <v>498</v>
      </c>
      <c r="AH57" s="1801">
        <f>SUM(AH58:AH59)</f>
        <v>0</v>
      </c>
      <c r="AI57" s="902">
        <f>SUM(AI58:AI59)</f>
        <v>0</v>
      </c>
      <c r="AJ57" s="902">
        <f>SUM(AJ58:AJ59)</f>
        <v>0</v>
      </c>
      <c r="AK57" s="902">
        <f>SUM(AK58:AK59)</f>
        <v>0</v>
      </c>
      <c r="AL57" s="902">
        <f>SUM(AL58:AL59)</f>
        <v>0</v>
      </c>
      <c r="AM57" s="902">
        <f>SUM(AM58:AM59)</f>
        <v>0</v>
      </c>
      <c r="AN57" s="902">
        <f>SUM(AN58:AN59)</f>
        <v>0</v>
      </c>
      <c r="AO57" s="902">
        <f>SUM(AO58:AO59)</f>
        <v>0</v>
      </c>
      <c r="AP57" s="902">
        <f>SUM(AP58:AP59)</f>
        <v>0</v>
      </c>
      <c r="AQ57" s="902">
        <f>SUM(AQ58:AQ59)</f>
        <v>0</v>
      </c>
      <c r="AR57" s="902">
        <f>SUM(AR58:AR59)</f>
        <v>0</v>
      </c>
      <c r="AS57" s="902">
        <f>SUM(AS58:AS59)</f>
        <v>0</v>
      </c>
      <c r="AT57" s="902">
        <f>SUM(AT58:AT59)</f>
        <v>0</v>
      </c>
      <c r="AU57" s="902">
        <f>SUM(AU58:AU59)</f>
        <v>0</v>
      </c>
      <c r="AV57" s="902">
        <f>SUM(AV58:AV59)</f>
        <v>0</v>
      </c>
      <c r="AW57" s="902">
        <f>SUM(AW58:AW59)</f>
        <v>0</v>
      </c>
      <c r="AX57" s="902">
        <f>SUM(AX58:AX59)</f>
        <v>0</v>
      </c>
      <c r="AY57" s="902">
        <f>SUM(AY58:AY59)</f>
        <v>0</v>
      </c>
      <c r="AZ57" s="902">
        <f>SUM(AZ58:AZ59)</f>
        <v>0</v>
      </c>
      <c r="BA57" s="902">
        <f>SUM(BA58:BA59)</f>
        <v>0</v>
      </c>
      <c r="BB57" s="902">
        <f>SUM(BB58:BB59)</f>
        <v>0</v>
      </c>
      <c r="BC57" s="902">
        <f>SUM(BC58:BC59)</f>
        <v>0</v>
      </c>
      <c r="BD57" s="902">
        <f>SUM(BD58:BD59)</f>
        <v>0</v>
      </c>
      <c r="BE57" s="902">
        <f>SUM(BE58:BE59)</f>
        <v>0</v>
      </c>
      <c r="BF57" s="902">
        <f>SUM(BF58:BF59)</f>
        <v>0</v>
      </c>
      <c r="BG57" s="902">
        <f>SUM(BG58:BG59)</f>
        <v>0</v>
      </c>
      <c r="BH57" s="902">
        <f>SUM(BH58:BH59)</f>
        <v>0</v>
      </c>
      <c r="BI57" s="902">
        <f>SUM(BI58:BI59)</f>
        <v>0</v>
      </c>
      <c r="BJ57" s="902">
        <f>SUM(BJ58:BJ59)</f>
        <v>0</v>
      </c>
      <c r="BK57" s="902">
        <f>SUM(BK58:BK59)</f>
        <v>0</v>
      </c>
      <c r="BL57" s="902">
        <f>SUM(BL58:BL59)</f>
        <v>0</v>
      </c>
      <c r="BM57" s="902">
        <f>SUM(BM58:BM59)</f>
        <v>0</v>
      </c>
      <c r="BN57" s="902">
        <f>SUM(BN58:BN59)</f>
        <v>0</v>
      </c>
      <c r="BO57" s="902">
        <f>SUM(BO58:BO59)</f>
        <v>0</v>
      </c>
      <c r="BP57" s="902">
        <f>SUM(BP58:BP59)</f>
        <v>0</v>
      </c>
      <c r="BQ57" s="902">
        <f>SUM(BQ58:BQ59)</f>
        <v>0</v>
      </c>
      <c r="BR57" s="902">
        <f>SUM(BR58:BR59)</f>
        <v>0</v>
      </c>
      <c r="BS57" s="902">
        <f>SUM(BS58:BS59)</f>
        <v>0</v>
      </c>
      <c r="BT57" s="902">
        <f>SUM(BT58:BT59)</f>
        <v>0</v>
      </c>
      <c r="BU57" s="902">
        <f>SUM(BU58:BU59)</f>
        <v>0</v>
      </c>
      <c r="BV57" s="902">
        <f>SUM(BV58:BV59)</f>
        <v>0</v>
      </c>
      <c r="BW57" s="902">
        <f>SUM(BW58:BW59)</f>
        <v>0</v>
      </c>
      <c r="BX57" s="902">
        <f>SUM(BX58:BX59)</f>
        <v>0</v>
      </c>
      <c r="BY57" s="902">
        <f>SUM(BY58:BY59)</f>
        <v>0</v>
      </c>
      <c r="BZ57" s="902">
        <f>SUM(BZ58:BZ59)</f>
        <v>0</v>
      </c>
      <c r="CA57" s="902">
        <f>SUM(CA58:CA59)</f>
        <v>0</v>
      </c>
      <c r="CB57" s="902">
        <f>SUM(CB58:CB59)</f>
        <v>0</v>
      </c>
      <c r="CC57" s="902">
        <f>SUM(CC58:CC59)</f>
        <v>0</v>
      </c>
      <c r="CD57" s="902">
        <f>SUM(CD58:CD59)</f>
        <v>0</v>
      </c>
      <c r="CE57" s="902">
        <f>SUM(CE58:CE59)</f>
        <v>0</v>
      </c>
      <c r="CF57" s="902">
        <f>SUM(CF58:CF59)</f>
        <v>0</v>
      </c>
      <c r="CG57" s="902">
        <f>SUM(CG58:CG59)</f>
        <v>0</v>
      </c>
      <c r="CH57" s="902">
        <f>SUM(CH58:CH59)</f>
        <v>0</v>
      </c>
      <c r="CI57" s="902">
        <f>SUM(CI58:CI59)</f>
        <v>0</v>
      </c>
      <c r="CJ57" s="902">
        <f>SUM(CJ58:CJ59)</f>
        <v>0</v>
      </c>
      <c r="CK57" s="902">
        <f>SUM(CK58:CK59)</f>
        <v>0</v>
      </c>
      <c r="CL57" s="902">
        <f>SUM(CL58:CL59)</f>
        <v>0</v>
      </c>
      <c r="CM57" s="902">
        <f>SUM(CM58:CM59)</f>
        <v>0</v>
      </c>
      <c r="CN57" s="902">
        <f>SUM(CN58:CN59)</f>
        <v>0</v>
      </c>
      <c r="CO57" s="902">
        <f>SUM(CO58:CO59)</f>
        <v>0</v>
      </c>
      <c r="CP57" s="902">
        <f>SUM(CP58:CP59)</f>
        <v>0</v>
      </c>
      <c r="CQ57" s="902">
        <f>SUM(CQ58:CQ59)</f>
        <v>0</v>
      </c>
      <c r="CR57" s="902">
        <f>SUM(CR58:CR59)</f>
        <v>0</v>
      </c>
      <c r="CS57" s="902">
        <f>SUM(CS58:CS59)</f>
        <v>0</v>
      </c>
      <c r="CT57" s="80"/>
      <c r="CW57" s="1173" t="s">
        <v>794</v>
      </c>
    </row>
    <row customHeight="1" ht="16.672500000000003" hidden="1">
      <c r="E58" s="797">
        <v>17.1</v>
      </c>
      <c r="F58" s="922" cm="1" t="str">
        <f t="array" ref="F58:F58">OFFSET(G58,-1,-1)</f>
        <v>0</v>
      </c>
      <c r="L58" s="922" cm="1" t="str">
        <f t="array" ref="L58:L58">OFFSET(M58,-1,-1)</f>
        <v>false</v>
      </c>
      <c r="S58" s="159" cm="1" t="str">
        <f t="array" ref="S58:S58">OFFSET(T58,-1,-1)</f>
        <v>false</v>
      </c>
      <c r="T58" s="159">
        <f>AD58&lt;&gt;"19.0"</f>
        <v>0</v>
      </c>
      <c r="U58" s="819">
        <f>AND(S58,IF(ISBLANK(T58),TRUE,T58))</f>
        <v>0</v>
      </c>
      <c r="X58" s="159" t="s">
        <v>234</v>
      </c>
      <c r="AB58" s="1793"/>
      <c r="AD58" s="160" t="s">
        <v>795</v>
      </c>
      <c r="AE58" s="1802"/>
      <c r="AF58" s="1803"/>
      <c r="AG58" s="160" t="s">
        <v>498</v>
      </c>
      <c r="AH58" s="90"/>
      <c r="AI58" s="90">
        <f>_xlfn.IFERROR(AI55/AI$53,0)</f>
        <v>0</v>
      </c>
      <c r="AJ58" s="90">
        <f>_xlfn.IFERROR(AJ55/AJ$53,0)</f>
        <v>0</v>
      </c>
      <c r="AK58" s="90"/>
      <c r="AL58" s="866">
        <f>_xlfn.IFERROR(AL55/AL$51,0)</f>
        <v>0</v>
      </c>
      <c r="AM58" s="90"/>
      <c r="AN58" s="90"/>
      <c r="AO58" s="866">
        <f>_xlfn.IFERROR(AO55/AO$51,0)</f>
        <v>0</v>
      </c>
      <c r="AP58" s="90"/>
      <c r="AQ58" s="90"/>
      <c r="AR58" s="866">
        <f>_xlfn.IFERROR(AR55/AR$51,0)</f>
        <v>0</v>
      </c>
      <c r="AS58" s="90"/>
      <c r="AT58" s="90"/>
      <c r="AU58" s="866">
        <f>_xlfn.IFERROR(AU55/AU$51,0)</f>
        <v>0</v>
      </c>
      <c r="AV58" s="90"/>
      <c r="AW58" s="90"/>
      <c r="AX58" s="866">
        <f>_xlfn.IFERROR(AX55/AX$51,0)</f>
        <v>0</v>
      </c>
      <c r="AY58" s="90"/>
      <c r="AZ58" s="90"/>
      <c r="BA58" s="866">
        <f>_xlfn.IFERROR(BA55/BA$51,0)</f>
        <v>0</v>
      </c>
      <c r="BB58" s="90"/>
      <c r="BC58" s="90"/>
      <c r="BD58" s="866">
        <f>_xlfn.IFERROR(BD55/BD$51,0)</f>
        <v>0</v>
      </c>
      <c r="BE58" s="90"/>
      <c r="BF58" s="90"/>
      <c r="BG58" s="866">
        <f>_xlfn.IFERROR(BG55/BG$51,0)</f>
        <v>0</v>
      </c>
      <c r="BH58" s="90"/>
      <c r="BI58" s="90"/>
      <c r="BJ58" s="866">
        <f>_xlfn.IFERROR(BJ55/BJ$51,0)</f>
        <v>0</v>
      </c>
      <c r="BK58" s="90"/>
      <c r="BL58" s="90"/>
      <c r="BM58" s="866">
        <f>_xlfn.IFERROR(BM55/BM$51,0)</f>
        <v>0</v>
      </c>
      <c r="BN58" s="90"/>
      <c r="BO58" s="90"/>
      <c r="BP58" s="866">
        <f>_xlfn.IFERROR(BP55/BP$51,0)</f>
        <v>0</v>
      </c>
      <c r="BQ58" s="1804"/>
      <c r="BR58" s="1804"/>
      <c r="BS58" s="866">
        <f>_xlfn.IFERROR(BS55/BS$51,0)</f>
        <v>0</v>
      </c>
      <c r="BT58" s="90"/>
      <c r="BU58" s="90"/>
      <c r="BV58" s="866">
        <f>_xlfn.IFERROR(BV55/BV$51,0)</f>
        <v>0</v>
      </c>
      <c r="BW58" s="90"/>
      <c r="BX58" s="90"/>
      <c r="BY58" s="866">
        <f>_xlfn.IFERROR(BY55/BY$51,0)</f>
        <v>0</v>
      </c>
      <c r="BZ58" s="90"/>
      <c r="CA58" s="90"/>
      <c r="CB58" s="866">
        <f>_xlfn.IFERROR(CB55/CB$51,0)</f>
        <v>0</v>
      </c>
      <c r="CC58" s="90"/>
      <c r="CD58" s="90"/>
      <c r="CE58" s="866">
        <f>_xlfn.IFERROR(CE55/CE$51,0)</f>
        <v>0</v>
      </c>
      <c r="CF58" s="90"/>
      <c r="CG58" s="90"/>
      <c r="CH58" s="866">
        <f>_xlfn.IFERROR(CH55/CH$51,0)</f>
        <v>0</v>
      </c>
      <c r="CI58" s="90"/>
      <c r="CJ58" s="90"/>
      <c r="CK58" s="866">
        <f>_xlfn.IFERROR(CK55/CK$51,0)</f>
        <v>0</v>
      </c>
      <c r="CL58" s="90"/>
      <c r="CM58" s="90"/>
      <c r="CN58" s="866">
        <f>_xlfn.IFERROR(CN55/CN$51,0)</f>
        <v>0</v>
      </c>
      <c r="CO58" s="90"/>
      <c r="CP58" s="90"/>
      <c r="CQ58" s="866">
        <f>_xlfn.IFERROR(CQ55/CQ$51,0)</f>
        <v>0</v>
      </c>
      <c r="CR58" s="90"/>
      <c r="CS58" s="90"/>
      <c r="CT58" s="73"/>
      <c r="CW58" s="1173" t="s">
        <v>794</v>
      </c>
      <c r="CX58" s="1178" t="s">
        <v>792</v>
      </c>
      <c r="CY58" s="1182" cm="1" t="str">
        <f t="array" ref="CY58:CY58">AE58</f>
        <v>0</v>
      </c>
      <c r="CZ58" s="1182" cm="1" t="str">
        <f t="array" ref="CZ58:CZ58">AF58</f>
        <v>0</v>
      </c>
    </row>
    <row customHeight="1" ht="17.25" hidden="1">
      <c r="E59" s="797">
        <v>0</v>
      </c>
      <c r="F59" s="922" cm="1" t="str">
        <f t="array" ref="F59:F59">OFFSET(G59,-1,-1)</f>
        <v>0</v>
      </c>
      <c r="L59" s="922" cm="1" t="str">
        <f t="array" ref="L59:L59">OFFSET(M59,-1,-1)</f>
        <v>false</v>
      </c>
      <c r="S59" s="159" cm="1" t="str">
        <f t="array" ref="S59:S59">OFFSET(T59,-1,-1)</f>
        <v>false</v>
      </c>
      <c r="U59" s="819">
        <f>AND(S59,IF(ISBLANK(T59),TRUE,T59))</f>
        <v>0</v>
      </c>
      <c r="X59" s="973" t="str">
        <f>"{                  
         funcDyn: 'msg1',
         blok: 'blok_2',
         wsCross: 'Топливо 4.4',
         linkFormula: 'AE-AE#AF-AF',
         levelDyn: "&amp;Y28&amp;"
}"</f>
        <v>{                  
         funcDyn: 'msg1',
         blok: 'blok_2',
         wsCross: 'Топливо 4.4',
         linkFormula: 'AE-AE#AF-AF',
         levelDyn: 0
}</v>
      </c>
      <c r="AB59" s="1793"/>
      <c r="AD59" s="1805"/>
      <c r="AE59" s="1806" t="s">
        <v>236</v>
      </c>
      <c r="AF59" s="1807"/>
      <c r="AG59" s="651"/>
      <c r="AH59" s="1808"/>
      <c r="AI59" s="1808"/>
      <c r="AJ59" s="1808"/>
      <c r="AK59" s="1808"/>
      <c r="AL59" s="1808"/>
      <c r="AM59" s="1808"/>
      <c r="AN59" s="1808"/>
      <c r="AO59" s="1808"/>
      <c r="AP59" s="1808"/>
      <c r="AQ59" s="1808"/>
      <c r="AR59" s="1808"/>
      <c r="AS59" s="1808"/>
      <c r="AT59" s="1808"/>
      <c r="AU59" s="1808"/>
      <c r="AV59" s="1808"/>
      <c r="AW59" s="1808"/>
      <c r="AX59" s="1808"/>
      <c r="AY59" s="1808"/>
      <c r="AZ59" s="1808"/>
      <c r="BA59" s="1808"/>
      <c r="BB59" s="1808"/>
      <c r="BC59" s="1808"/>
      <c r="BD59" s="1808"/>
      <c r="BE59" s="1808"/>
      <c r="BF59" s="1808"/>
      <c r="BG59" s="1808"/>
      <c r="BH59" s="1808"/>
      <c r="BI59" s="1808"/>
      <c r="BJ59" s="1808"/>
      <c r="BK59" s="1808"/>
      <c r="BL59" s="1808"/>
      <c r="BM59" s="1808"/>
      <c r="BN59" s="1808"/>
      <c r="BO59" s="1808"/>
      <c r="BP59" s="1808"/>
      <c r="BQ59" s="1808"/>
      <c r="BR59" s="1808"/>
      <c r="BS59" s="1808"/>
      <c r="BT59" s="1808"/>
      <c r="BU59" s="1808"/>
      <c r="BV59" s="1808"/>
      <c r="BW59" s="1808"/>
      <c r="BX59" s="1808"/>
      <c r="BY59" s="1808"/>
      <c r="BZ59" s="1808"/>
      <c r="CA59" s="1808"/>
      <c r="CB59" s="1808"/>
      <c r="CC59" s="1808"/>
      <c r="CD59" s="1808"/>
      <c r="CE59" s="1808"/>
      <c r="CF59" s="1808"/>
      <c r="CG59" s="1808"/>
      <c r="CH59" s="1808"/>
      <c r="CI59" s="1808"/>
      <c r="CJ59" s="1808"/>
      <c r="CK59" s="1808"/>
      <c r="CL59" s="1808"/>
      <c r="CM59" s="1808"/>
      <c r="CN59" s="1808"/>
      <c r="CO59" s="1808"/>
      <c r="CP59" s="1808"/>
      <c r="CQ59" s="1808"/>
      <c r="CR59" s="1808"/>
      <c r="CS59" s="1808"/>
      <c r="CT59" s="91"/>
      <c r="CW59" s="1173" t="str">
        <f>IF(AND(ISNUMBER(VALUE(TRIM(SUBSTITUTE(AD59,".","")))),TRIM(SUBSTITUTE(AD59,".",""))&lt;&gt;""),"P"&amp;SUBSTITUTE(AD59,".",""),"")</f>
        <v/>
      </c>
    </row>
    <row customHeight="1" ht="16.672500000000003" hidden="1">
      <c r="E60" s="797">
        <v>17.1</v>
      </c>
      <c r="F60" s="922" cm="1" t="str">
        <f t="array" ref="F60:F60">OFFSET(G60,-1,-1)</f>
        <v>0</v>
      </c>
      <c r="L60" s="922" cm="1" t="str">
        <f t="array" ref="L60:L60">OFFSET(M60,-1,-1)</f>
        <v>false</v>
      </c>
      <c r="S60" s="159" cm="1" t="str">
        <f t="array" ref="S60:S60">OFFSET(T60,-1,-1)</f>
        <v>false</v>
      </c>
      <c r="U60" s="819">
        <f>AND(S60,IF(ISBLANK(T60),TRUE,T60))</f>
        <v>0</v>
      </c>
      <c r="AB60" s="1793"/>
      <c r="AD60" s="160">
        <v>20</v>
      </c>
      <c r="AE60" s="1498" t="s">
        <v>796</v>
      </c>
      <c r="AF60" s="1770"/>
      <c r="AG60" s="1809"/>
      <c r="AH60" s="1810"/>
      <c r="AI60" s="1811"/>
      <c r="AJ60" s="1811"/>
      <c r="AK60" s="1811"/>
      <c r="AL60" s="1811"/>
      <c r="AM60" s="1811"/>
      <c r="AN60" s="1811"/>
      <c r="AO60" s="1811"/>
      <c r="AP60" s="1811"/>
      <c r="AQ60" s="1811"/>
      <c r="AR60" s="1811"/>
      <c r="AS60" s="1811"/>
      <c r="AT60" s="1811"/>
      <c r="AU60" s="1811"/>
      <c r="AV60" s="1811"/>
      <c r="AW60" s="1811"/>
      <c r="AX60" s="1811"/>
      <c r="AY60" s="1811"/>
      <c r="AZ60" s="1811"/>
      <c r="BA60" s="1811"/>
      <c r="BB60" s="1811"/>
      <c r="BC60" s="1811"/>
      <c r="BD60" s="1811"/>
      <c r="BE60" s="1811"/>
      <c r="BF60" s="1811"/>
      <c r="BG60" s="1811"/>
      <c r="BH60" s="1811"/>
      <c r="BI60" s="1811"/>
      <c r="BJ60" s="1811"/>
      <c r="BK60" s="1811"/>
      <c r="BL60" s="1811"/>
      <c r="BM60" s="1811"/>
      <c r="BN60" s="1811"/>
      <c r="BO60" s="1811"/>
      <c r="BP60" s="1811"/>
      <c r="BQ60" s="1811"/>
      <c r="BR60" s="1811"/>
      <c r="BS60" s="1811"/>
      <c r="BT60" s="1811"/>
      <c r="BU60" s="1811"/>
      <c r="BV60" s="1811"/>
      <c r="BW60" s="1811"/>
      <c r="BX60" s="1811"/>
      <c r="BY60" s="1811"/>
      <c r="BZ60" s="1811"/>
      <c r="CA60" s="1811"/>
      <c r="CB60" s="1811"/>
      <c r="CC60" s="1811"/>
      <c r="CD60" s="1811"/>
      <c r="CE60" s="1811"/>
      <c r="CF60" s="1811"/>
      <c r="CG60" s="1811"/>
      <c r="CH60" s="1811"/>
      <c r="CI60" s="1811"/>
      <c r="CJ60" s="1811"/>
      <c r="CK60" s="1811"/>
      <c r="CL60" s="1811"/>
      <c r="CM60" s="1811"/>
      <c r="CN60" s="1811"/>
      <c r="CO60" s="1811"/>
      <c r="CP60" s="1811"/>
      <c r="CQ60" s="1811"/>
      <c r="CR60" s="1811"/>
      <c r="CS60" s="1811"/>
      <c r="CT60" s="73"/>
      <c r="CW60" s="1173" t="s">
        <v>797</v>
      </c>
    </row>
    <row customHeight="1" ht="16.672500000000003" hidden="1">
      <c r="E61" s="797">
        <v>17.1</v>
      </c>
      <c r="F61" s="922" cm="1" t="str">
        <f t="array" ref="F61:F61">OFFSET(G61,-1,-1)</f>
        <v>0</v>
      </c>
      <c r="L61" s="922" cm="1" t="str">
        <f t="array" ref="L61:L61">OFFSET(M61,-1,-1)</f>
        <v>false</v>
      </c>
      <c r="S61" s="159" cm="1" t="str">
        <f t="array" ref="S61:S61">OFFSET(T61,-1,-1)</f>
        <v>false</v>
      </c>
      <c r="T61" s="159">
        <f>AD61&lt;&gt;"20.0"</f>
        <v>0</v>
      </c>
      <c r="U61" s="819">
        <f>AND(S61,IF(ISBLANK(T61),TRUE,T61))</f>
        <v>0</v>
      </c>
      <c r="X61" s="159" t="s">
        <v>234</v>
      </c>
      <c r="AB61" s="1793"/>
      <c r="AD61" s="160" t="s">
        <v>798</v>
      </c>
      <c r="AE61" s="1802"/>
      <c r="AF61" s="1803"/>
      <c r="AG61" s="1809"/>
      <c r="AH61" s="86"/>
      <c r="AI61" s="87"/>
      <c r="AJ61" s="87"/>
      <c r="AK61" s="87"/>
      <c r="AL61" s="862">
        <f>_xlfn.IFERROR(AL55/AL64,0)</f>
        <v>0</v>
      </c>
      <c r="AM61" s="87"/>
      <c r="AN61" s="87" cm="1" t="str">
        <f t="array" ref="AN61:AN61">AM61</f>
        <v>0</v>
      </c>
      <c r="AO61" s="862">
        <f>_xlfn.IFERROR(AO55/AO64,0)</f>
        <v>0</v>
      </c>
      <c r="AP61" s="87"/>
      <c r="AQ61" s="87" cm="1" t="str">
        <f t="array" ref="AQ61:AQ61">AP61</f>
        <v>0</v>
      </c>
      <c r="AR61" s="862">
        <f>_xlfn.IFERROR(AR55/AR64,0)</f>
        <v>0</v>
      </c>
      <c r="AS61" s="87"/>
      <c r="AT61" s="87" cm="1" t="str">
        <f t="array" ref="AT61:AT61">AS61</f>
        <v>0</v>
      </c>
      <c r="AU61" s="862">
        <f>_xlfn.IFERROR(AU55/AU64,0)</f>
        <v>0</v>
      </c>
      <c r="AV61" s="87"/>
      <c r="AW61" s="87" cm="1" t="str">
        <f t="array" ref="AW61:AW61">AV61</f>
        <v>0</v>
      </c>
      <c r="AX61" s="862">
        <f>_xlfn.IFERROR(AX55/AX64,0)</f>
        <v>0</v>
      </c>
      <c r="AY61" s="87"/>
      <c r="AZ61" s="87" cm="1" t="str">
        <f t="array" ref="AZ61:AZ61">AY61</f>
        <v>0</v>
      </c>
      <c r="BA61" s="862">
        <f>_xlfn.IFERROR(BA55/BA64,0)</f>
        <v>0</v>
      </c>
      <c r="BB61" s="87"/>
      <c r="BC61" s="87" cm="1" t="str">
        <f t="array" ref="BC61:BC61">BB61</f>
        <v>0</v>
      </c>
      <c r="BD61" s="862">
        <f>_xlfn.IFERROR(BD55/BD64,0)</f>
        <v>0</v>
      </c>
      <c r="BE61" s="87"/>
      <c r="BF61" s="87" cm="1" t="str">
        <f t="array" ref="BF61:BF61">BE61</f>
        <v>0</v>
      </c>
      <c r="BG61" s="862">
        <f>_xlfn.IFERROR(BG55/BG64,0)</f>
        <v>0</v>
      </c>
      <c r="BH61" s="87"/>
      <c r="BI61" s="87" cm="1" t="str">
        <f t="array" ref="BI61:BI61">BH61</f>
        <v>0</v>
      </c>
      <c r="BJ61" s="862">
        <f>_xlfn.IFERROR(BJ55/BJ64,0)</f>
        <v>0</v>
      </c>
      <c r="BK61" s="87"/>
      <c r="BL61" s="87" cm="1" t="str">
        <f t="array" ref="BL61:BL61">BK61</f>
        <v>0</v>
      </c>
      <c r="BM61" s="862">
        <f>_xlfn.IFERROR(BM55/BM64,0)</f>
        <v>0</v>
      </c>
      <c r="BN61" s="87"/>
      <c r="BO61" s="87" cm="1" t="str">
        <f t="array" ref="BO61:BO61">BN61</f>
        <v>0</v>
      </c>
      <c r="BP61" s="862">
        <f>_xlfn.IFERROR(BP55/BP64,0)</f>
        <v>0</v>
      </c>
      <c r="BQ61" s="1772"/>
      <c r="BR61" s="1772" cm="1" t="str">
        <f t="array" ref="BR61:BR61">BQ61</f>
        <v>0</v>
      </c>
      <c r="BS61" s="862">
        <f>_xlfn.IFERROR(BS55/BS64,0)</f>
        <v>0</v>
      </c>
      <c r="BT61" s="87"/>
      <c r="BU61" s="87" cm="1" t="str">
        <f t="array" ref="BU61:BU61">BT61</f>
        <v>0</v>
      </c>
      <c r="BV61" s="862">
        <f>_xlfn.IFERROR(BV55/BV64,0)</f>
        <v>0</v>
      </c>
      <c r="BW61" s="87"/>
      <c r="BX61" s="87" cm="1" t="str">
        <f t="array" ref="BX61:BX61">BW61</f>
        <v>0</v>
      </c>
      <c r="BY61" s="862">
        <f>_xlfn.IFERROR(BY55/BY64,0)</f>
        <v>0</v>
      </c>
      <c r="BZ61" s="87"/>
      <c r="CA61" s="87" cm="1" t="str">
        <f t="array" ref="CA61:CA61">BZ61</f>
        <v>0</v>
      </c>
      <c r="CB61" s="862">
        <f>_xlfn.IFERROR(CB55/CB64,0)</f>
        <v>0</v>
      </c>
      <c r="CC61" s="87"/>
      <c r="CD61" s="87" cm="1" t="str">
        <f t="array" ref="CD61:CD61">CC61</f>
        <v>0</v>
      </c>
      <c r="CE61" s="862">
        <f>_xlfn.IFERROR(CE55/CE64,0)</f>
        <v>0</v>
      </c>
      <c r="CF61" s="87"/>
      <c r="CG61" s="87" cm="1" t="str">
        <f t="array" ref="CG61:CG61">CF61</f>
        <v>0</v>
      </c>
      <c r="CH61" s="862">
        <f>_xlfn.IFERROR(CH55/CH64,0)</f>
        <v>0</v>
      </c>
      <c r="CI61" s="87"/>
      <c r="CJ61" s="87" cm="1" t="str">
        <f t="array" ref="CJ61:CJ61">CI61</f>
        <v>0</v>
      </c>
      <c r="CK61" s="862">
        <f>_xlfn.IFERROR(CK55/CK64,0)</f>
        <v>0</v>
      </c>
      <c r="CL61" s="87"/>
      <c r="CM61" s="87" cm="1" t="str">
        <f t="array" ref="CM61:CM61">CL61</f>
        <v>0</v>
      </c>
      <c r="CN61" s="862">
        <f>_xlfn.IFERROR(CN55/CN64,0)</f>
        <v>0</v>
      </c>
      <c r="CO61" s="87"/>
      <c r="CP61" s="87" cm="1" t="str">
        <f t="array" ref="CP61:CP61">CO61</f>
        <v>0</v>
      </c>
      <c r="CQ61" s="862">
        <f>_xlfn.IFERROR(CQ55/CQ64,0)</f>
        <v>0</v>
      </c>
      <c r="CR61" s="87"/>
      <c r="CS61" s="87" cm="1" t="str">
        <f t="array" ref="CS61:CS61">CR61</f>
        <v>0</v>
      </c>
      <c r="CT61" s="73"/>
      <c r="CW61" s="1173" t="s">
        <v>797</v>
      </c>
      <c r="CX61" s="1178" t="s">
        <v>792</v>
      </c>
      <c r="CY61" s="1182" cm="1" t="str">
        <f t="array" ref="CY61:CY61">AE61</f>
        <v>0</v>
      </c>
      <c r="CZ61" s="1182" cm="1" t="str">
        <f t="array" ref="CZ61:CZ61">AF61</f>
        <v>0</v>
      </c>
    </row>
    <row customHeight="1" ht="17.25" hidden="1">
      <c r="E62" s="797">
        <v>0</v>
      </c>
      <c r="F62" s="922" cm="1" t="str">
        <f t="array" ref="F62:F62">OFFSET(G62,-1,-1)</f>
        <v>0</v>
      </c>
      <c r="L62" s="922" cm="1" t="str">
        <f t="array" ref="L62:L62">OFFSET(M62,-1,-1)</f>
        <v>false</v>
      </c>
      <c r="S62" s="159" cm="1" t="str">
        <f t="array" ref="S62:S62">OFFSET(T62,-1,-1)</f>
        <v>false</v>
      </c>
      <c r="U62" s="819">
        <f>AND(S62,IF(ISBLANK(T62),TRUE,T62))</f>
        <v>0</v>
      </c>
      <c r="X62" s="973" t="str">
        <f>"{                  
         funcDyn: 'msg1',
         blok: 'blok_2',
         wsCross: 'Топливо 4.4',
         linkFormula: 'AE-AE#AF-AF',
         levelDyn: "&amp;Y28&amp;"
}"</f>
        <v>{                  
         funcDyn: 'msg1',
         blok: 'blok_2',
         wsCross: 'Топливо 4.4',
         linkFormula: 'AE-AE#AF-AF',
         levelDyn: 0
}</v>
      </c>
      <c r="AB62" s="1793"/>
      <c r="AD62" s="1805"/>
      <c r="AE62" s="975" t="s">
        <v>236</v>
      </c>
      <c r="AF62" s="1807"/>
      <c r="AG62" s="1812"/>
      <c r="AH62" s="1810"/>
      <c r="AI62" s="1811"/>
      <c r="AJ62" s="1811"/>
      <c r="AK62" s="1811"/>
      <c r="AL62" s="1811"/>
      <c r="AM62" s="1811"/>
      <c r="AN62" s="1811"/>
      <c r="AO62" s="1811"/>
      <c r="AP62" s="1811"/>
      <c r="AQ62" s="1811"/>
      <c r="AR62" s="1811"/>
      <c r="AS62" s="1811"/>
      <c r="AT62" s="1811"/>
      <c r="AU62" s="1811"/>
      <c r="AV62" s="1811"/>
      <c r="AW62" s="1811"/>
      <c r="AX62" s="1811"/>
      <c r="AY62" s="1811"/>
      <c r="AZ62" s="1811"/>
      <c r="BA62" s="1811"/>
      <c r="BB62" s="1811"/>
      <c r="BC62" s="1811"/>
      <c r="BD62" s="1811"/>
      <c r="BE62" s="1811"/>
      <c r="BF62" s="1811"/>
      <c r="BG62" s="1811"/>
      <c r="BH62" s="1811"/>
      <c r="BI62" s="1811"/>
      <c r="BJ62" s="1811"/>
      <c r="BK62" s="1811"/>
      <c r="BL62" s="1811"/>
      <c r="BM62" s="1811"/>
      <c r="BN62" s="1811"/>
      <c r="BO62" s="1811"/>
      <c r="BP62" s="1811"/>
      <c r="BQ62" s="1811"/>
      <c r="BR62" s="1811"/>
      <c r="BS62" s="1811"/>
      <c r="BT62" s="1811"/>
      <c r="BU62" s="1811"/>
      <c r="BV62" s="1811"/>
      <c r="BW62" s="1811"/>
      <c r="BX62" s="1811"/>
      <c r="BY62" s="1811"/>
      <c r="BZ62" s="1811"/>
      <c r="CA62" s="1811"/>
      <c r="CB62" s="1811"/>
      <c r="CC62" s="1811"/>
      <c r="CD62" s="1811"/>
      <c r="CE62" s="1811"/>
      <c r="CF62" s="1811"/>
      <c r="CG62" s="1811"/>
      <c r="CH62" s="1811"/>
      <c r="CI62" s="1811"/>
      <c r="CJ62" s="1811"/>
      <c r="CK62" s="1811"/>
      <c r="CL62" s="1811"/>
      <c r="CM62" s="1811"/>
      <c r="CN62" s="1811"/>
      <c r="CO62" s="1811"/>
      <c r="CP62" s="1811"/>
      <c r="CQ62" s="1811"/>
      <c r="CR62" s="1811"/>
      <c r="CS62" s="1811"/>
      <c r="CT62" s="91"/>
      <c r="CW62" s="1173" t="str">
        <f>IF(AND(ISNUMBER(VALUE(TRIM(SUBSTITUTE(AD62,".","")))),TRIM(SUBSTITUTE(AD62,".",""))&lt;&gt;""),"P"&amp;SUBSTITUTE(AD62,".",""),"")</f>
        <v/>
      </c>
    </row>
    <row customHeight="1" ht="16.672500000000003" hidden="1">
      <c r="E63" s="797">
        <v>17.1</v>
      </c>
      <c r="F63" s="922" cm="1" t="str">
        <f t="array" ref="F63:F63">OFFSET(G63,-1,-1)</f>
        <v>0</v>
      </c>
      <c r="L63" s="922" cm="1" t="str">
        <f t="array" ref="L63:L63">OFFSET(M63,-1,-1)</f>
        <v>false</v>
      </c>
      <c r="S63" s="159" cm="1" t="str">
        <f t="array" ref="S63:S63">OFFSET(T63,-1,-1)</f>
        <v>false</v>
      </c>
      <c r="U63" s="819">
        <f>AND(S63,IF(ISBLANK(T63),TRUE,T63))</f>
        <v>0</v>
      </c>
      <c r="AB63" s="1793"/>
      <c r="AD63" s="160">
        <v>21</v>
      </c>
      <c r="AE63" s="1813" t="s">
        <v>799</v>
      </c>
      <c r="AF63" s="1814"/>
      <c r="AG63" s="1809"/>
      <c r="AH63" s="1810"/>
      <c r="AI63" s="1811"/>
      <c r="AJ63" s="1811"/>
      <c r="AK63" s="1811"/>
      <c r="AL63" s="1811"/>
      <c r="AM63" s="1811"/>
      <c r="AN63" s="1811"/>
      <c r="AO63" s="1811"/>
      <c r="AP63" s="1811"/>
      <c r="AQ63" s="1811"/>
      <c r="AR63" s="1811"/>
      <c r="AS63" s="1811"/>
      <c r="AT63" s="1811"/>
      <c r="AU63" s="1811"/>
      <c r="AV63" s="1811"/>
      <c r="AW63" s="1811"/>
      <c r="AX63" s="1811"/>
      <c r="AY63" s="1811"/>
      <c r="AZ63" s="1811"/>
      <c r="BA63" s="1811"/>
      <c r="BB63" s="1811"/>
      <c r="BC63" s="1811"/>
      <c r="BD63" s="1811"/>
      <c r="BE63" s="1811"/>
      <c r="BF63" s="1811"/>
      <c r="BG63" s="1811"/>
      <c r="BH63" s="1811"/>
      <c r="BI63" s="1811"/>
      <c r="BJ63" s="1811"/>
      <c r="BK63" s="1811"/>
      <c r="BL63" s="1811"/>
      <c r="BM63" s="1811"/>
      <c r="BN63" s="1811"/>
      <c r="BO63" s="1811"/>
      <c r="BP63" s="1811"/>
      <c r="BQ63" s="1811"/>
      <c r="BR63" s="1811"/>
      <c r="BS63" s="1811"/>
      <c r="BT63" s="1811"/>
      <c r="BU63" s="1811"/>
      <c r="BV63" s="1811"/>
      <c r="BW63" s="1811"/>
      <c r="BX63" s="1811"/>
      <c r="BY63" s="1811"/>
      <c r="BZ63" s="1811"/>
      <c r="CA63" s="1811"/>
      <c r="CB63" s="1811"/>
      <c r="CC63" s="1811"/>
      <c r="CD63" s="1811"/>
      <c r="CE63" s="1811"/>
      <c r="CF63" s="1811"/>
      <c r="CG63" s="1811"/>
      <c r="CH63" s="1811"/>
      <c r="CI63" s="1811"/>
      <c r="CJ63" s="1811"/>
      <c r="CK63" s="1811"/>
      <c r="CL63" s="1811"/>
      <c r="CM63" s="1811"/>
      <c r="CN63" s="1811"/>
      <c r="CO63" s="1811"/>
      <c r="CP63" s="1811"/>
      <c r="CQ63" s="1811"/>
      <c r="CR63" s="1811"/>
      <c r="CS63" s="1811"/>
      <c r="CT63" s="73"/>
      <c r="CW63" s="1173" t="s">
        <v>800</v>
      </c>
    </row>
    <row customHeight="1" ht="16.672500000000003" hidden="1">
      <c r="E64" s="797">
        <v>17.1</v>
      </c>
      <c r="F64" s="922" cm="1" t="str">
        <f t="array" ref="F64:F64">OFFSET(G64,-1,-1)</f>
        <v>0</v>
      </c>
      <c r="L64" s="922" cm="1" t="str">
        <f t="array" ref="L64:L64">OFFSET(M64,-1,-1)</f>
        <v>false</v>
      </c>
      <c r="S64" s="159" cm="1" t="str">
        <f t="array" ref="S64:S64">OFFSET(T64,-1,-1)</f>
        <v>false</v>
      </c>
      <c r="T64" s="159">
        <f>AD64&lt;&gt;"21.0"</f>
        <v>0</v>
      </c>
      <c r="U64" s="819">
        <f>AND(S64,IF(ISBLANK(T64),TRUE,T64))</f>
        <v>0</v>
      </c>
      <c r="X64" s="159" t="s">
        <v>234</v>
      </c>
      <c r="AB64" s="1793"/>
      <c r="AD64" s="160" t="s">
        <v>801</v>
      </c>
      <c r="AE64" s="1802"/>
      <c r="AF64" s="1803"/>
      <c r="AG64" s="1815" t="str">
        <f>_xlfn.IFERROR(INDEX(fuel_ed_izm_list,MATCH(AE64,fuel_list,0)),"тнт")</f>
        <v>тнт</v>
      </c>
      <c r="AH64" s="87">
        <f>_xlfn.IFERROR(AH55/AH61,0)</f>
        <v>0</v>
      </c>
      <c r="AI64" s="87"/>
      <c r="AJ64" s="87"/>
      <c r="AK64" s="87">
        <f>_xlfn.IFERROR(AK55/AK61,0)</f>
        <v>0</v>
      </c>
      <c r="AL64" s="860">
        <f>AM64+AN64</f>
        <v>0</v>
      </c>
      <c r="AM64" s="87">
        <f>_xlfn.IFERROR(AM55/AM61,0)</f>
        <v>0</v>
      </c>
      <c r="AN64" s="87">
        <f>_xlfn.IFERROR(AN55/AN61,0)</f>
        <v>0</v>
      </c>
      <c r="AO64" s="860">
        <f>AP64+AQ64</f>
        <v>0</v>
      </c>
      <c r="AP64" s="87">
        <f>_xlfn.IFERROR(AP55/AP61,0)</f>
        <v>0</v>
      </c>
      <c r="AQ64" s="87">
        <f>_xlfn.IFERROR(AQ55/AQ61,0)</f>
        <v>0</v>
      </c>
      <c r="AR64" s="860">
        <f>AS64+AT64</f>
        <v>0</v>
      </c>
      <c r="AS64" s="87">
        <f>_xlfn.IFERROR(AS55/AS61,0)</f>
        <v>0</v>
      </c>
      <c r="AT64" s="87">
        <f>_xlfn.IFERROR(AT55/AT61,0)</f>
        <v>0</v>
      </c>
      <c r="AU64" s="860">
        <f>AV64+AW64</f>
        <v>0</v>
      </c>
      <c r="AV64" s="87">
        <f>_xlfn.IFERROR(AV55/AV61,0)</f>
        <v>0</v>
      </c>
      <c r="AW64" s="87">
        <f>_xlfn.IFERROR(AW55/AW61,0)</f>
        <v>0</v>
      </c>
      <c r="AX64" s="860">
        <f>AY64+AZ64</f>
        <v>0</v>
      </c>
      <c r="AY64" s="87">
        <f>_xlfn.IFERROR(AY55/AY61,0)</f>
        <v>0</v>
      </c>
      <c r="AZ64" s="87">
        <f>_xlfn.IFERROR(AZ55/AZ61,0)</f>
        <v>0</v>
      </c>
      <c r="BA64" s="860">
        <f>BB64+BC64</f>
        <v>0</v>
      </c>
      <c r="BB64" s="87">
        <f>_xlfn.IFERROR(BB55/BB61,0)</f>
        <v>0</v>
      </c>
      <c r="BC64" s="87">
        <f>_xlfn.IFERROR(BC55/BC61,0)</f>
        <v>0</v>
      </c>
      <c r="BD64" s="860">
        <f>BE64+BF64</f>
        <v>0</v>
      </c>
      <c r="BE64" s="87">
        <f>_xlfn.IFERROR(BE55/BE61,0)</f>
        <v>0</v>
      </c>
      <c r="BF64" s="87">
        <f>_xlfn.IFERROR(BF55/BF61,0)</f>
        <v>0</v>
      </c>
      <c r="BG64" s="860">
        <f>BH64+BI64</f>
        <v>0</v>
      </c>
      <c r="BH64" s="87">
        <f>_xlfn.IFERROR(BH55/BH61,0)</f>
        <v>0</v>
      </c>
      <c r="BI64" s="87">
        <f>_xlfn.IFERROR(BI55/BI61,0)</f>
        <v>0</v>
      </c>
      <c r="BJ64" s="860">
        <f>BK64+BL64</f>
        <v>0</v>
      </c>
      <c r="BK64" s="87">
        <f>_xlfn.IFERROR(BK55/BK61,0)</f>
        <v>0</v>
      </c>
      <c r="BL64" s="87">
        <f>_xlfn.IFERROR(BL55/BL61,0)</f>
        <v>0</v>
      </c>
      <c r="BM64" s="860">
        <f>BN64+BO64</f>
        <v>0</v>
      </c>
      <c r="BN64" s="87">
        <f>_xlfn.IFERROR(BN55/BN61,0)</f>
        <v>0</v>
      </c>
      <c r="BO64" s="87">
        <f>_xlfn.IFERROR(BO55/BO61,0)</f>
        <v>0</v>
      </c>
      <c r="BP64" s="860">
        <f>BQ64+BR64</f>
        <v>0</v>
      </c>
      <c r="BQ64" s="1772">
        <f>_xlfn.IFERROR(BQ55/BQ61,0)</f>
        <v>0</v>
      </c>
      <c r="BR64" s="1772">
        <f>_xlfn.IFERROR(BR55/BR61,0)</f>
        <v>0</v>
      </c>
      <c r="BS64" s="860">
        <f>BT64+BU64</f>
        <v>0</v>
      </c>
      <c r="BT64" s="87">
        <f>_xlfn.IFERROR(BT55/BT61,0)</f>
        <v>0</v>
      </c>
      <c r="BU64" s="87">
        <f>_xlfn.IFERROR(BU55/BU61,0)</f>
        <v>0</v>
      </c>
      <c r="BV64" s="860">
        <f>BW64+BX64</f>
        <v>0</v>
      </c>
      <c r="BW64" s="87">
        <f>_xlfn.IFERROR(BW55/BW61,0)</f>
        <v>0</v>
      </c>
      <c r="BX64" s="87">
        <f>_xlfn.IFERROR(BX55/BX61,0)</f>
        <v>0</v>
      </c>
      <c r="BY64" s="860">
        <f>BZ64+CA64</f>
        <v>0</v>
      </c>
      <c r="BZ64" s="87">
        <f>_xlfn.IFERROR(BZ55/BZ61,0)</f>
        <v>0</v>
      </c>
      <c r="CA64" s="87">
        <f>_xlfn.IFERROR(CA55/CA61,0)</f>
        <v>0</v>
      </c>
      <c r="CB64" s="860">
        <f>CC64+CD64</f>
        <v>0</v>
      </c>
      <c r="CC64" s="87">
        <f>_xlfn.IFERROR(CC55/CC61,0)</f>
        <v>0</v>
      </c>
      <c r="CD64" s="87">
        <f>_xlfn.IFERROR(CD55/CD61,0)</f>
        <v>0</v>
      </c>
      <c r="CE64" s="860">
        <f>CF64+CG64</f>
        <v>0</v>
      </c>
      <c r="CF64" s="87">
        <f>_xlfn.IFERROR(CF55/CF61,0)</f>
        <v>0</v>
      </c>
      <c r="CG64" s="87">
        <f>_xlfn.IFERROR(CG55/CG61,0)</f>
        <v>0</v>
      </c>
      <c r="CH64" s="860">
        <f>CI64+CJ64</f>
        <v>0</v>
      </c>
      <c r="CI64" s="87">
        <f>_xlfn.IFERROR(CI55/CI61,0)</f>
        <v>0</v>
      </c>
      <c r="CJ64" s="87">
        <f>_xlfn.IFERROR(CJ55/CJ61,0)</f>
        <v>0</v>
      </c>
      <c r="CK64" s="860">
        <f>CL64+CM64</f>
        <v>0</v>
      </c>
      <c r="CL64" s="87">
        <f>_xlfn.IFERROR(CL55/CL61,0)</f>
        <v>0</v>
      </c>
      <c r="CM64" s="87">
        <f>_xlfn.IFERROR(CM55/CM61,0)</f>
        <v>0</v>
      </c>
      <c r="CN64" s="860">
        <f>CO64+CP64</f>
        <v>0</v>
      </c>
      <c r="CO64" s="87">
        <f>_xlfn.IFERROR(CO55/CO61,0)</f>
        <v>0</v>
      </c>
      <c r="CP64" s="87">
        <f>_xlfn.IFERROR(CP55/CP61,0)</f>
        <v>0</v>
      </c>
      <c r="CQ64" s="860">
        <f>CR64+CS64</f>
        <v>0</v>
      </c>
      <c r="CR64" s="87">
        <f>_xlfn.IFERROR(CR55/CR61,0)</f>
        <v>0</v>
      </c>
      <c r="CS64" s="87">
        <f>_xlfn.IFERROR(CS55/CS61,0)</f>
        <v>0</v>
      </c>
      <c r="CT64" s="73"/>
      <c r="CW64" s="1173" t="s">
        <v>800</v>
      </c>
      <c r="CX64" s="1178" t="s">
        <v>792</v>
      </c>
      <c r="CY64" s="1182" cm="1" t="str">
        <f t="array" ref="CY64:CY64">AE64</f>
        <v>0</v>
      </c>
      <c r="CZ64" s="1182" cm="1" t="str">
        <f t="array" ref="CZ64:CZ64">AF64</f>
        <v>0</v>
      </c>
    </row>
    <row customHeight="1" ht="17.25" hidden="1">
      <c r="E65" s="797">
        <v>0</v>
      </c>
      <c r="F65" s="922" cm="1" t="str">
        <f t="array" ref="F65:F65">OFFSET(G65,-1,-1)</f>
        <v>0</v>
      </c>
      <c r="L65" s="922" cm="1" t="str">
        <f t="array" ref="L65:L65">OFFSET(M65,-1,-1)</f>
        <v>false</v>
      </c>
      <c r="S65" s="159" cm="1" t="str">
        <f t="array" ref="S65:S65">OFFSET(T65,-1,-1)</f>
        <v>false</v>
      </c>
      <c r="U65" s="819">
        <f>AND(S65,IF(ISBLANK(T65),TRUE,T65))</f>
        <v>0</v>
      </c>
      <c r="X65" s="973" t="str">
        <f>"{                  
         funcDyn: 'msg1',
         blok: 'blok_2',
         wsCross: 'Топливо 4.4',
         linkFormula: 'AE-AE#AF-AF',
         levelDyn: "&amp;Y28&amp;"
}"</f>
        <v>{                  
         funcDyn: 'msg1',
         blok: 'blok_2',
         wsCross: 'Топливо 4.4',
         linkFormula: 'AE-AE#AF-AF',
         levelDyn: 0
}</v>
      </c>
      <c r="AB65" s="1816"/>
      <c r="AD65" s="1805"/>
      <c r="AE65" s="975" t="s">
        <v>236</v>
      </c>
      <c r="AF65" s="1807"/>
      <c r="AG65" s="1812"/>
      <c r="AH65" s="1810"/>
      <c r="AI65" s="1811"/>
      <c r="AJ65" s="1811"/>
      <c r="AK65" s="1811"/>
      <c r="AL65" s="1810"/>
      <c r="AM65" s="1811"/>
      <c r="AN65" s="1811"/>
      <c r="AO65" s="1810"/>
      <c r="AP65" s="1811"/>
      <c r="AQ65" s="1811"/>
      <c r="AR65" s="1810"/>
      <c r="AS65" s="1811"/>
      <c r="AT65" s="1811"/>
      <c r="AU65" s="1810"/>
      <c r="AV65" s="1811"/>
      <c r="AW65" s="1811"/>
      <c r="AX65" s="1810"/>
      <c r="AY65" s="1811"/>
      <c r="AZ65" s="1811"/>
      <c r="BA65" s="1810"/>
      <c r="BB65" s="1811"/>
      <c r="BC65" s="1811"/>
      <c r="BD65" s="1810"/>
      <c r="BE65" s="1811"/>
      <c r="BF65" s="1811"/>
      <c r="BG65" s="1810"/>
      <c r="BH65" s="1811"/>
      <c r="BI65" s="1811"/>
      <c r="BJ65" s="1810"/>
      <c r="BK65" s="1811"/>
      <c r="BL65" s="1811"/>
      <c r="BM65" s="1810"/>
      <c r="BN65" s="1811"/>
      <c r="BO65" s="1811"/>
      <c r="BP65" s="1810"/>
      <c r="BQ65" s="1811"/>
      <c r="BR65" s="1811"/>
      <c r="BS65" s="1810"/>
      <c r="BT65" s="1811"/>
      <c r="BU65" s="1811"/>
      <c r="BV65" s="1810"/>
      <c r="BW65" s="1811"/>
      <c r="BX65" s="1811"/>
      <c r="BY65" s="1810"/>
      <c r="BZ65" s="1811"/>
      <c r="CA65" s="1811"/>
      <c r="CB65" s="1810"/>
      <c r="CC65" s="1811"/>
      <c r="CD65" s="1811"/>
      <c r="CE65" s="1810"/>
      <c r="CF65" s="1811"/>
      <c r="CG65" s="1811"/>
      <c r="CH65" s="1810"/>
      <c r="CI65" s="1811"/>
      <c r="CJ65" s="1811"/>
      <c r="CK65" s="1810"/>
      <c r="CL65" s="1811"/>
      <c r="CM65" s="1811"/>
      <c r="CN65" s="1810"/>
      <c r="CO65" s="1811"/>
      <c r="CP65" s="1811"/>
      <c r="CQ65" s="1810"/>
      <c r="CR65" s="1811"/>
      <c r="CS65" s="1811"/>
      <c r="CT65" s="91"/>
      <c r="CW65" s="1173" t="str">
        <f>IF(AND(ISNUMBER(VALUE(TRIM(SUBSTITUTE(AD65,".","")))),TRIM(SUBSTITUTE(AD65,".",""))&lt;&gt;""),"P"&amp;SUBSTITUTE(AD65,".",""),"")</f>
        <v/>
      </c>
    </row>
    <row customHeight="1" ht="16.672500000000003" hidden="1">
      <c r="E66" s="797">
        <v>17.1</v>
      </c>
      <c r="F66" s="922" cm="1" t="str">
        <f t="array" ref="F66:F66">OFFSET(G66,-1,-1)</f>
        <v>0</v>
      </c>
      <c r="L66" s="922" cm="1" t="str">
        <f t="array" ref="L66:L66">OFFSET(M66,-1,-1)</f>
        <v>false</v>
      </c>
      <c r="S66" s="159" cm="1" t="str">
        <f t="array" ref="S66:S66">OFFSET(T66,-1,-1)</f>
        <v>false</v>
      </c>
      <c r="U66" s="819">
        <f>AND(S66,IF(ISBLANK(T66),TRUE,T66))</f>
        <v>0</v>
      </c>
      <c r="AB66" s="1817" t="s">
        <v>802</v>
      </c>
      <c r="AD66" s="160">
        <v>22</v>
      </c>
      <c r="AE66" s="1498" t="s">
        <v>803</v>
      </c>
      <c r="AF66" s="1770"/>
      <c r="AG66" s="1809"/>
      <c r="AH66" s="1810"/>
      <c r="AI66" s="1811"/>
      <c r="AJ66" s="1811"/>
      <c r="AK66" s="1811"/>
      <c r="AL66" s="1811"/>
      <c r="AM66" s="1811"/>
      <c r="AN66" s="1811"/>
      <c r="AO66" s="1811"/>
      <c r="AP66" s="1811"/>
      <c r="AQ66" s="1811"/>
      <c r="AR66" s="1811"/>
      <c r="AS66" s="1811"/>
      <c r="AT66" s="1811"/>
      <c r="AU66" s="1811"/>
      <c r="AV66" s="1811"/>
      <c r="AW66" s="1811"/>
      <c r="AX66" s="1811"/>
      <c r="AY66" s="1811"/>
      <c r="AZ66" s="1811"/>
      <c r="BA66" s="1811"/>
      <c r="BB66" s="1811"/>
      <c r="BC66" s="1811"/>
      <c r="BD66" s="1811"/>
      <c r="BE66" s="1811"/>
      <c r="BF66" s="1811"/>
      <c r="BG66" s="1811"/>
      <c r="BH66" s="1811"/>
      <c r="BI66" s="1811"/>
      <c r="BJ66" s="1811"/>
      <c r="BK66" s="1811"/>
      <c r="BL66" s="1811"/>
      <c r="BM66" s="1811"/>
      <c r="BN66" s="1811"/>
      <c r="BO66" s="1811"/>
      <c r="BP66" s="1811"/>
      <c r="BQ66" s="1811"/>
      <c r="BR66" s="1811"/>
      <c r="BS66" s="1811"/>
      <c r="BT66" s="1811"/>
      <c r="BU66" s="1811"/>
      <c r="BV66" s="1811"/>
      <c r="BW66" s="1811"/>
      <c r="BX66" s="1811"/>
      <c r="BY66" s="1811"/>
      <c r="BZ66" s="1811"/>
      <c r="CA66" s="1811"/>
      <c r="CB66" s="1811"/>
      <c r="CC66" s="1811"/>
      <c r="CD66" s="1811"/>
      <c r="CE66" s="1811"/>
      <c r="CF66" s="1811"/>
      <c r="CG66" s="1811"/>
      <c r="CH66" s="1811"/>
      <c r="CI66" s="1811"/>
      <c r="CJ66" s="1811"/>
      <c r="CK66" s="1811"/>
      <c r="CL66" s="1811"/>
      <c r="CM66" s="1811"/>
      <c r="CN66" s="1811"/>
      <c r="CO66" s="1811"/>
      <c r="CP66" s="1811"/>
      <c r="CQ66" s="1811"/>
      <c r="CR66" s="1811"/>
      <c r="CS66" s="1811"/>
      <c r="CT66" s="73"/>
      <c r="CW66" s="1173" t="s">
        <v>804</v>
      </c>
    </row>
    <row customHeight="1" ht="16.672500000000003" hidden="1">
      <c r="E67" s="797">
        <v>17.1</v>
      </c>
      <c r="F67" s="922" cm="1" t="str">
        <f t="array" ref="F67:F67">OFFSET(G67,-1,-1)</f>
        <v>0</v>
      </c>
      <c r="L67" s="922" cm="1" t="str">
        <f t="array" ref="L67:L67">OFFSET(M67,-1,-1)</f>
        <v>false</v>
      </c>
      <c r="S67" s="159" cm="1" t="str">
        <f t="array" ref="S67:S67">OFFSET(T67,-1,-1)</f>
        <v>false</v>
      </c>
      <c r="T67" s="159">
        <f>AD67&lt;&gt;"22.0"</f>
        <v>0</v>
      </c>
      <c r="U67" s="819">
        <f>AND(S67,IF(ISBLANK(T67),TRUE,T67))</f>
        <v>0</v>
      </c>
      <c r="X67" s="159" t="s">
        <v>234</v>
      </c>
      <c r="AB67" s="1818"/>
      <c r="AD67" s="160" t="s">
        <v>805</v>
      </c>
      <c r="AE67" s="1802"/>
      <c r="AF67" s="1803"/>
      <c r="AG67" s="1014" t="s">
        <v>498</v>
      </c>
      <c r="AH67" s="92"/>
      <c r="AI67" s="93"/>
      <c r="AJ67" s="93"/>
      <c r="AK67" s="93"/>
      <c r="AL67" s="1819"/>
      <c r="AM67" s="93"/>
      <c r="AN67" s="93"/>
      <c r="AO67" s="1819"/>
      <c r="AP67" s="93"/>
      <c r="AQ67" s="93"/>
      <c r="AR67" s="1819"/>
      <c r="AS67" s="93"/>
      <c r="AT67" s="93"/>
      <c r="AU67" s="1819"/>
      <c r="AV67" s="93"/>
      <c r="AW67" s="93"/>
      <c r="AX67" s="1819"/>
      <c r="AY67" s="93"/>
      <c r="AZ67" s="93"/>
      <c r="BA67" s="1819"/>
      <c r="BB67" s="93"/>
      <c r="BC67" s="93"/>
      <c r="BD67" s="1819"/>
      <c r="BE67" s="93"/>
      <c r="BF67" s="93"/>
      <c r="BG67" s="1819"/>
      <c r="BH67" s="93"/>
      <c r="BI67" s="93"/>
      <c r="BJ67" s="1819"/>
      <c r="BK67" s="93"/>
      <c r="BL67" s="93"/>
      <c r="BM67" s="1819"/>
      <c r="BN67" s="93"/>
      <c r="BO67" s="93"/>
      <c r="BP67" s="1819"/>
      <c r="BQ67" s="1820"/>
      <c r="BR67" s="1820"/>
      <c r="BS67" s="1819"/>
      <c r="BT67" s="93"/>
      <c r="BU67" s="93"/>
      <c r="BV67" s="1819"/>
      <c r="BW67" s="93"/>
      <c r="BX67" s="93"/>
      <c r="BY67" s="1819"/>
      <c r="BZ67" s="93"/>
      <c r="CA67" s="93"/>
      <c r="CB67" s="1819"/>
      <c r="CC67" s="93"/>
      <c r="CD67" s="93"/>
      <c r="CE67" s="1819"/>
      <c r="CF67" s="93"/>
      <c r="CG67" s="93"/>
      <c r="CH67" s="1819"/>
      <c r="CI67" s="93"/>
      <c r="CJ67" s="93"/>
      <c r="CK67" s="1819"/>
      <c r="CL67" s="93"/>
      <c r="CM67" s="93"/>
      <c r="CN67" s="1819"/>
      <c r="CO67" s="93"/>
      <c r="CP67" s="93"/>
      <c r="CQ67" s="1819"/>
      <c r="CR67" s="93"/>
      <c r="CS67" s="93"/>
      <c r="CT67" s="73"/>
      <c r="CW67" s="1173" t="s">
        <v>804</v>
      </c>
      <c r="CX67" s="1178" t="s">
        <v>792</v>
      </c>
      <c r="CY67" s="1182" cm="1" t="str">
        <f t="array" ref="CY67:CY67">AE67</f>
        <v>0</v>
      </c>
      <c r="CZ67" s="1182" cm="1" t="str">
        <f t="array" ref="CZ67:CZ67">AF67</f>
        <v>0</v>
      </c>
    </row>
    <row customHeight="1" ht="17.25" hidden="1">
      <c r="E68" s="797">
        <v>0</v>
      </c>
      <c r="F68" s="922" cm="1" t="str">
        <f t="array" ref="F68:F68">OFFSET(G68,-1,-1)</f>
        <v>0</v>
      </c>
      <c r="L68" s="922" cm="1" t="str">
        <f t="array" ref="L68:L68">OFFSET(M68,-1,-1)</f>
        <v>false</v>
      </c>
      <c r="S68" s="159" cm="1" t="str">
        <f t="array" ref="S68:S68">OFFSET(T68,-1,-1)</f>
        <v>false</v>
      </c>
      <c r="U68" s="819">
        <f>AND(S68,IF(ISBLANK(T68),TRUE,T68))</f>
        <v>0</v>
      </c>
      <c r="X68" s="973" t="str">
        <f>"{                  
         funcDyn: 'msg1',
         blok: 'blok_2',
         wsCross: 'Топливо 4.4',
         linkFormula: 'AE-AE#AF-AF',
         levelDyn: "&amp;Y28&amp;"
}"</f>
        <v>{                  
         funcDyn: 'msg1',
         blok: 'blok_2',
         wsCross: 'Топливо 4.4',
         linkFormula: 'AE-AE#AF-AF',
         levelDyn: 0
}</v>
      </c>
      <c r="AB68" s="1818"/>
      <c r="AD68" s="1805"/>
      <c r="AE68" s="975" t="s">
        <v>236</v>
      </c>
      <c r="AF68" s="1807"/>
      <c r="AG68" s="1812"/>
      <c r="AH68" s="1810"/>
      <c r="AI68" s="1811"/>
      <c r="AJ68" s="1811"/>
      <c r="AK68" s="1811"/>
      <c r="AL68" s="1811"/>
      <c r="AM68" s="1811"/>
      <c r="AN68" s="1811"/>
      <c r="AO68" s="1811"/>
      <c r="AP68" s="1811"/>
      <c r="AQ68" s="1811"/>
      <c r="AR68" s="1811"/>
      <c r="AS68" s="1811"/>
      <c r="AT68" s="1811"/>
      <c r="AU68" s="1811"/>
      <c r="AV68" s="1811"/>
      <c r="AW68" s="1811"/>
      <c r="AX68" s="1811"/>
      <c r="AY68" s="1811"/>
      <c r="AZ68" s="1811"/>
      <c r="BA68" s="1811"/>
      <c r="BB68" s="1811"/>
      <c r="BC68" s="1811"/>
      <c r="BD68" s="1811"/>
      <c r="BE68" s="1811"/>
      <c r="BF68" s="1811"/>
      <c r="BG68" s="1811"/>
      <c r="BH68" s="1811"/>
      <c r="BI68" s="1811"/>
      <c r="BJ68" s="1811"/>
      <c r="BK68" s="1811"/>
      <c r="BL68" s="1811"/>
      <c r="BM68" s="1811"/>
      <c r="BN68" s="1811"/>
      <c r="BO68" s="1811"/>
      <c r="BP68" s="1811"/>
      <c r="BQ68" s="1811"/>
      <c r="BR68" s="1811"/>
      <c r="BS68" s="1811"/>
      <c r="BT68" s="1811"/>
      <c r="BU68" s="1811"/>
      <c r="BV68" s="1811"/>
      <c r="BW68" s="1811"/>
      <c r="BX68" s="1811"/>
      <c r="BY68" s="1811"/>
      <c r="BZ68" s="1811"/>
      <c r="CA68" s="1811"/>
      <c r="CB68" s="1811"/>
      <c r="CC68" s="1811"/>
      <c r="CD68" s="1811"/>
      <c r="CE68" s="1811"/>
      <c r="CF68" s="1811"/>
      <c r="CG68" s="1811"/>
      <c r="CH68" s="1811"/>
      <c r="CI68" s="1811"/>
      <c r="CJ68" s="1811"/>
      <c r="CK68" s="1811"/>
      <c r="CL68" s="1811"/>
      <c r="CM68" s="1811"/>
      <c r="CN68" s="1811"/>
      <c r="CO68" s="1811"/>
      <c r="CP68" s="1811"/>
      <c r="CQ68" s="1811"/>
      <c r="CR68" s="1811"/>
      <c r="CS68" s="1811"/>
      <c r="CT68" s="91"/>
      <c r="CW68" s="1173" t="str">
        <f>IF(AND(ISNUMBER(VALUE(TRIM(SUBSTITUTE(AD68,".","")))),TRIM(SUBSTITUTE(AD68,".",""))&lt;&gt;""),"P"&amp;SUBSTITUTE(AD68,".",""),"")</f>
        <v/>
      </c>
    </row>
    <row customHeight="1" ht="16.672500000000003" hidden="1">
      <c r="E69" s="797">
        <v>17.1</v>
      </c>
      <c r="F69" s="922" cm="1" t="str">
        <f t="array" ref="F69:F69">OFFSET(G69,-1,-1)</f>
        <v>0</v>
      </c>
      <c r="L69" s="922" cm="1" t="str">
        <f t="array" ref="L69:L69">OFFSET(M69,-1,-1)</f>
        <v>false</v>
      </c>
      <c r="S69" s="159" cm="1" t="str">
        <f t="array" ref="S69:S69">OFFSET(T69,-1,-1)</f>
        <v>false</v>
      </c>
      <c r="U69" s="819">
        <f>AND(S69,IF(ISBLANK(T69),TRUE,T69))</f>
        <v>0</v>
      </c>
      <c r="AB69" s="1818"/>
      <c r="AD69" s="160">
        <v>23</v>
      </c>
      <c r="AE69" s="1498" t="s">
        <v>806</v>
      </c>
      <c r="AF69" s="1770"/>
      <c r="AG69" s="1809"/>
      <c r="AH69" s="1810"/>
      <c r="AI69" s="1811"/>
      <c r="AJ69" s="1811"/>
      <c r="AK69" s="1811"/>
      <c r="AL69" s="1811"/>
      <c r="AM69" s="1811"/>
      <c r="AN69" s="1811"/>
      <c r="AO69" s="1811"/>
      <c r="AP69" s="1811"/>
      <c r="AQ69" s="1811"/>
      <c r="AR69" s="1811"/>
      <c r="AS69" s="1811"/>
      <c r="AT69" s="1811"/>
      <c r="AU69" s="1811"/>
      <c r="AV69" s="1811"/>
      <c r="AW69" s="1811"/>
      <c r="AX69" s="1811"/>
      <c r="AY69" s="1811"/>
      <c r="AZ69" s="1811"/>
      <c r="BA69" s="1811"/>
      <c r="BB69" s="1811"/>
      <c r="BC69" s="1811"/>
      <c r="BD69" s="1811"/>
      <c r="BE69" s="1811"/>
      <c r="BF69" s="1811"/>
      <c r="BG69" s="1811"/>
      <c r="BH69" s="1811"/>
      <c r="BI69" s="1811"/>
      <c r="BJ69" s="1811"/>
      <c r="BK69" s="1811"/>
      <c r="BL69" s="1811"/>
      <c r="BM69" s="1811"/>
      <c r="BN69" s="1811"/>
      <c r="BO69" s="1811"/>
      <c r="BP69" s="1811"/>
      <c r="BQ69" s="1811"/>
      <c r="BR69" s="1811"/>
      <c r="BS69" s="1811"/>
      <c r="BT69" s="1811"/>
      <c r="BU69" s="1811"/>
      <c r="BV69" s="1811"/>
      <c r="BW69" s="1811"/>
      <c r="BX69" s="1811"/>
      <c r="BY69" s="1811"/>
      <c r="BZ69" s="1811"/>
      <c r="CA69" s="1811"/>
      <c r="CB69" s="1811"/>
      <c r="CC69" s="1811"/>
      <c r="CD69" s="1811"/>
      <c r="CE69" s="1811"/>
      <c r="CF69" s="1811"/>
      <c r="CG69" s="1811"/>
      <c r="CH69" s="1811"/>
      <c r="CI69" s="1811"/>
      <c r="CJ69" s="1811"/>
      <c r="CK69" s="1811"/>
      <c r="CL69" s="1811"/>
      <c r="CM69" s="1811"/>
      <c r="CN69" s="1811"/>
      <c r="CO69" s="1811"/>
      <c r="CP69" s="1811"/>
      <c r="CQ69" s="1811"/>
      <c r="CR69" s="1811"/>
      <c r="CS69" s="1811"/>
      <c r="CT69" s="73"/>
      <c r="CW69" s="1173" t="s">
        <v>807</v>
      </c>
    </row>
    <row customHeight="1" ht="16.672500000000003" hidden="1">
      <c r="E70" s="797">
        <v>17.1</v>
      </c>
      <c r="F70" s="922" cm="1" t="str">
        <f t="array" ref="F70:F70">OFFSET(G70,-1,-1)</f>
        <v>0</v>
      </c>
      <c r="L70" s="922" cm="1" t="str">
        <f t="array" ref="L70:L70">OFFSET(M70,-1,-1)</f>
        <v>false</v>
      </c>
      <c r="S70" s="159" cm="1" t="str">
        <f t="array" ref="S70:S70">OFFSET(T70,-1,-1)</f>
        <v>false</v>
      </c>
      <c r="T70" s="159">
        <f>AD70&lt;&gt;"23.0"</f>
        <v>0</v>
      </c>
      <c r="U70" s="819">
        <f>AND(S70,IF(ISBLANK(T70),TRUE,T70))</f>
        <v>0</v>
      </c>
      <c r="X70" s="159" t="s">
        <v>234</v>
      </c>
      <c r="AB70" s="1818"/>
      <c r="AD70" s="160" t="s">
        <v>808</v>
      </c>
      <c r="AE70" s="1802"/>
      <c r="AF70" s="1803"/>
      <c r="AG70" s="1815" t="str">
        <f>"руб./"&amp;_xlfn.IFERROR(INDEX(fuel_ed_izm_list,MATCH(AE70,fuel_list,0)),"")</f>
        <v>руб./</v>
      </c>
      <c r="AH70" s="86">
        <f>_xlfn.IFERROR(AH74/AH64,0)*1000</f>
        <v>0</v>
      </c>
      <c r="AI70" s="87">
        <f>_xlfn.IFERROR(AI74/AI64,0)*1000</f>
        <v>0</v>
      </c>
      <c r="AJ70" s="87">
        <f>_xlfn.IFERROR(AJ74/AJ64,0)*1000</f>
        <v>0</v>
      </c>
      <c r="AK70" s="87">
        <f>_xlfn.IFERROR(AK74/AK64,0)*1000</f>
        <v>0</v>
      </c>
      <c r="AL70" s="862">
        <f>_xlfn.IFERROR(AL74/AL64,0)*1000</f>
        <v>0</v>
      </c>
      <c r="AM70" s="87"/>
      <c r="AN70" s="87"/>
      <c r="AO70" s="862">
        <f>_xlfn.IFERROR(AO74/AO64,0)*1000</f>
        <v>0</v>
      </c>
      <c r="AP70" s="87"/>
      <c r="AQ70" s="87"/>
      <c r="AR70" s="862">
        <f>_xlfn.IFERROR(AR74/AR64,0)*1000</f>
        <v>0</v>
      </c>
      <c r="AS70" s="87"/>
      <c r="AT70" s="87"/>
      <c r="AU70" s="862">
        <f>_xlfn.IFERROR(AU74/AU64,0)*1000</f>
        <v>0</v>
      </c>
      <c r="AV70" s="87"/>
      <c r="AW70" s="87"/>
      <c r="AX70" s="862">
        <f>_xlfn.IFERROR(AX74/AX64,0)*1000</f>
        <v>0</v>
      </c>
      <c r="AY70" s="87"/>
      <c r="AZ70" s="87"/>
      <c r="BA70" s="862">
        <f>_xlfn.IFERROR(BA74/BA64,0)*1000</f>
        <v>0</v>
      </c>
      <c r="BB70" s="87"/>
      <c r="BC70" s="87"/>
      <c r="BD70" s="862">
        <f>_xlfn.IFERROR(BD74/BD64,0)*1000</f>
        <v>0</v>
      </c>
      <c r="BE70" s="87"/>
      <c r="BF70" s="87"/>
      <c r="BG70" s="862">
        <f>_xlfn.IFERROR(BG74/BG64,0)*1000</f>
        <v>0</v>
      </c>
      <c r="BH70" s="87"/>
      <c r="BI70" s="87"/>
      <c r="BJ70" s="862">
        <f>_xlfn.IFERROR(BJ74/BJ64,0)*1000</f>
        <v>0</v>
      </c>
      <c r="BK70" s="87"/>
      <c r="BL70" s="87"/>
      <c r="BM70" s="862">
        <f>_xlfn.IFERROR(BM74/BM64,0)*1000</f>
        <v>0</v>
      </c>
      <c r="BN70" s="87"/>
      <c r="BO70" s="87"/>
      <c r="BP70" s="862">
        <f>_xlfn.IFERROR(BP74/BP64,0)*1000</f>
        <v>0</v>
      </c>
      <c r="BQ70" s="1772"/>
      <c r="BR70" s="1772"/>
      <c r="BS70" s="862">
        <f>_xlfn.IFERROR(BS74/BS64,0)*1000</f>
        <v>0</v>
      </c>
      <c r="BT70" s="87"/>
      <c r="BU70" s="87"/>
      <c r="BV70" s="862">
        <f>_xlfn.IFERROR(BV74/BV64,0)*1000</f>
        <v>0</v>
      </c>
      <c r="BW70" s="87"/>
      <c r="BX70" s="87"/>
      <c r="BY70" s="862">
        <f>_xlfn.IFERROR(BY74/BY64,0)*1000</f>
        <v>0</v>
      </c>
      <c r="BZ70" s="87"/>
      <c r="CA70" s="87"/>
      <c r="CB70" s="862">
        <f>_xlfn.IFERROR(CB74/CB64,0)*1000</f>
        <v>0</v>
      </c>
      <c r="CC70" s="87"/>
      <c r="CD70" s="87"/>
      <c r="CE70" s="862">
        <f>_xlfn.IFERROR(CE74/CE64,0)*1000</f>
        <v>0</v>
      </c>
      <c r="CF70" s="87"/>
      <c r="CG70" s="87"/>
      <c r="CH70" s="862">
        <f>_xlfn.IFERROR(CH74/CH64,0)*1000</f>
        <v>0</v>
      </c>
      <c r="CI70" s="87"/>
      <c r="CJ70" s="87"/>
      <c r="CK70" s="862">
        <f>_xlfn.IFERROR(CK74/CK64,0)*1000</f>
        <v>0</v>
      </c>
      <c r="CL70" s="87"/>
      <c r="CM70" s="87"/>
      <c r="CN70" s="862">
        <f>_xlfn.IFERROR(CN74/CN64,0)*1000</f>
        <v>0</v>
      </c>
      <c r="CO70" s="87"/>
      <c r="CP70" s="87"/>
      <c r="CQ70" s="862">
        <f>_xlfn.IFERROR(CQ74/CQ64,0)*1000</f>
        <v>0</v>
      </c>
      <c r="CR70" s="87"/>
      <c r="CS70" s="87"/>
      <c r="CT70" s="73"/>
      <c r="CW70" s="1173" t="s">
        <v>807</v>
      </c>
      <c r="CX70" s="1178" t="s">
        <v>792</v>
      </c>
      <c r="CY70" s="1182" cm="1" t="str">
        <f t="array" ref="CY70:CY70">AE70</f>
        <v>0</v>
      </c>
      <c r="CZ70" s="1182" cm="1" t="str">
        <f t="array" ref="CZ70:CZ70">AF70</f>
        <v>0</v>
      </c>
    </row>
    <row customHeight="1" ht="17.25" hidden="1">
      <c r="E71" s="797">
        <v>0</v>
      </c>
      <c r="F71" s="922" cm="1" t="str">
        <f t="array" ref="F71:F71">OFFSET(G71,-1,-1)</f>
        <v>0</v>
      </c>
      <c r="L71" s="922" cm="1" t="str">
        <f t="array" ref="L71:L71">OFFSET(M71,-1,-1)</f>
        <v>false</v>
      </c>
      <c r="S71" s="159" cm="1" t="str">
        <f t="array" ref="S71:S71">OFFSET(T71,-1,-1)</f>
        <v>false</v>
      </c>
      <c r="U71" s="819">
        <f>AND(S71,IF(ISBLANK(T71),TRUE,T71))</f>
        <v>0</v>
      </c>
      <c r="X71" s="973" t="str">
        <f>"{                  
         funcDyn: 'msg1',
         blok: 'blok_2',
         wsCross: 'Топливо 4.4',
         linkFormula: 'AE-AE#AF-AF',
         levelDyn: "&amp;Y28&amp;"
}"</f>
        <v>{                  
         funcDyn: 'msg1',
         blok: 'blok_2',
         wsCross: 'Топливо 4.4',
         linkFormula: 'AE-AE#AF-AF',
         levelDyn: 0
}</v>
      </c>
      <c r="AB71" s="1818"/>
      <c r="AD71" s="1805"/>
      <c r="AE71" s="975" t="s">
        <v>236</v>
      </c>
      <c r="AF71" s="1807"/>
      <c r="AG71" s="1812"/>
      <c r="AH71" s="1810"/>
      <c r="AI71" s="1811"/>
      <c r="AJ71" s="1811"/>
      <c r="AK71" s="1811"/>
      <c r="AL71" s="1811"/>
      <c r="AM71" s="1811"/>
      <c r="AN71" s="1811"/>
      <c r="AO71" s="1811"/>
      <c r="AP71" s="1811"/>
      <c r="AQ71" s="1811"/>
      <c r="AR71" s="1811"/>
      <c r="AS71" s="1811"/>
      <c r="AT71" s="1811"/>
      <c r="AU71" s="1811"/>
      <c r="AV71" s="1811"/>
      <c r="AW71" s="1811"/>
      <c r="AX71" s="1811"/>
      <c r="AY71" s="1811"/>
      <c r="AZ71" s="1811"/>
      <c r="BA71" s="1811"/>
      <c r="BB71" s="1811"/>
      <c r="BC71" s="1811"/>
      <c r="BD71" s="1811"/>
      <c r="BE71" s="1811"/>
      <c r="BF71" s="1811"/>
      <c r="BG71" s="1811"/>
      <c r="BH71" s="1811"/>
      <c r="BI71" s="1811"/>
      <c r="BJ71" s="1811"/>
      <c r="BK71" s="1811"/>
      <c r="BL71" s="1811"/>
      <c r="BM71" s="1811"/>
      <c r="BN71" s="1811"/>
      <c r="BO71" s="1811"/>
      <c r="BP71" s="1811"/>
      <c r="BQ71" s="1811"/>
      <c r="BR71" s="1811"/>
      <c r="BS71" s="1811"/>
      <c r="BT71" s="1811"/>
      <c r="BU71" s="1811"/>
      <c r="BV71" s="1811"/>
      <c r="BW71" s="1811"/>
      <c r="BX71" s="1811"/>
      <c r="BY71" s="1811"/>
      <c r="BZ71" s="1811"/>
      <c r="CA71" s="1811"/>
      <c r="CB71" s="1811"/>
      <c r="CC71" s="1811"/>
      <c r="CD71" s="1811"/>
      <c r="CE71" s="1811"/>
      <c r="CF71" s="1811"/>
      <c r="CG71" s="1811"/>
      <c r="CH71" s="1811"/>
      <c r="CI71" s="1811"/>
      <c r="CJ71" s="1811"/>
      <c r="CK71" s="1811"/>
      <c r="CL71" s="1811"/>
      <c r="CM71" s="1811"/>
      <c r="CN71" s="1811"/>
      <c r="CO71" s="1811"/>
      <c r="CP71" s="1811"/>
      <c r="CQ71" s="1811"/>
      <c r="CR71" s="1811"/>
      <c r="CS71" s="1811"/>
      <c r="CT71" s="91"/>
      <c r="CW71" s="1173" t="str">
        <f>IF(AND(ISNUMBER(VALUE(TRIM(SUBSTITUTE(AD71,".","")))),TRIM(SUBSTITUTE(AD71,".",""))&lt;&gt;""),"P"&amp;SUBSTITUTE(AD71,".",""),"")</f>
        <v/>
      </c>
    </row>
    <row customHeight="1" ht="16.672500000000003" hidden="1">
      <c r="E72" s="797">
        <v>17.1</v>
      </c>
      <c r="F72" s="922" cm="1" t="str">
        <f t="array" ref="F72:F72">OFFSET(G72,-1,-1)</f>
        <v>0</v>
      </c>
      <c r="L72" s="922" cm="1" t="str">
        <f t="array" ref="L72:L72">OFFSET(M72,-1,-1)</f>
        <v>false</v>
      </c>
      <c r="S72" s="159" cm="1" t="str">
        <f t="array" ref="S72:S72">OFFSET(T72,-1,-1)</f>
        <v>false</v>
      </c>
      <c r="U72" s="819">
        <f>AND(S72,IF(ISBLANK(T72),TRUE,T72))</f>
        <v>0</v>
      </c>
      <c r="AB72" s="1818"/>
      <c r="AD72" s="160">
        <v>24</v>
      </c>
      <c r="AE72" s="1498" t="s">
        <v>809</v>
      </c>
      <c r="AF72" s="1770"/>
      <c r="AG72" s="1014" t="s">
        <v>810</v>
      </c>
      <c r="AH72" s="860">
        <f>SUM(AH74:AH75)</f>
        <v>0</v>
      </c>
      <c r="AI72" s="860">
        <f>SUM(AI74:AI75)</f>
        <v>0</v>
      </c>
      <c r="AJ72" s="860">
        <f>SUM(AJ74:AJ75)</f>
        <v>0</v>
      </c>
      <c r="AK72" s="860">
        <f>SUM(AK74:AK75)</f>
        <v>0</v>
      </c>
      <c r="AL72" s="860">
        <f>SUM(AL74:AL75)</f>
        <v>0</v>
      </c>
      <c r="AM72" s="860">
        <f>SUM(AM74:AM75)</f>
        <v>0</v>
      </c>
      <c r="AN72" s="860">
        <f>SUM(AN74:AN75)</f>
        <v>0</v>
      </c>
      <c r="AO72" s="860">
        <f>SUM(AO74:AO75)</f>
        <v>0</v>
      </c>
      <c r="AP72" s="860">
        <f>SUM(AP74:AP75)</f>
        <v>0</v>
      </c>
      <c r="AQ72" s="860">
        <f>SUM(AQ74:AQ75)</f>
        <v>0</v>
      </c>
      <c r="AR72" s="860">
        <f>SUM(AR74:AR75)</f>
        <v>0</v>
      </c>
      <c r="AS72" s="860">
        <f>SUM(AS74:AS75)</f>
        <v>0</v>
      </c>
      <c r="AT72" s="860">
        <f>SUM(AT74:AT75)</f>
        <v>0</v>
      </c>
      <c r="AU72" s="860">
        <f>SUM(AU74:AU75)</f>
        <v>0</v>
      </c>
      <c r="AV72" s="860">
        <f>SUM(AV74:AV75)</f>
        <v>0</v>
      </c>
      <c r="AW72" s="860">
        <f>SUM(AW74:AW75)</f>
        <v>0</v>
      </c>
      <c r="AX72" s="860">
        <f>SUM(AX74:AX75)</f>
        <v>0</v>
      </c>
      <c r="AY72" s="860">
        <f>SUM(AY74:AY75)</f>
        <v>0</v>
      </c>
      <c r="AZ72" s="860">
        <f>SUM(AZ74:AZ75)</f>
        <v>0</v>
      </c>
      <c r="BA72" s="860">
        <f>SUM(BA74:BA75)</f>
        <v>0</v>
      </c>
      <c r="BB72" s="860">
        <f>SUM(BB74:BB75)</f>
        <v>0</v>
      </c>
      <c r="BC72" s="860">
        <f>SUM(BC74:BC75)</f>
        <v>0</v>
      </c>
      <c r="BD72" s="860">
        <f>SUM(BD74:BD75)</f>
        <v>0</v>
      </c>
      <c r="BE72" s="860">
        <f>SUM(BE74:BE75)</f>
        <v>0</v>
      </c>
      <c r="BF72" s="860">
        <f>SUM(BF74:BF75)</f>
        <v>0</v>
      </c>
      <c r="BG72" s="860">
        <f>SUM(BG74:BG75)</f>
        <v>0</v>
      </c>
      <c r="BH72" s="860">
        <f>SUM(BH74:BH75)</f>
        <v>0</v>
      </c>
      <c r="BI72" s="860">
        <f>SUM(BI74:BI75)</f>
        <v>0</v>
      </c>
      <c r="BJ72" s="860">
        <f>SUM(BJ74:BJ75)</f>
        <v>0</v>
      </c>
      <c r="BK72" s="860">
        <f>SUM(BK74:BK75)</f>
        <v>0</v>
      </c>
      <c r="BL72" s="860">
        <f>SUM(BL74:BL75)</f>
        <v>0</v>
      </c>
      <c r="BM72" s="860">
        <f>SUM(BM74:BM75)</f>
        <v>0</v>
      </c>
      <c r="BN72" s="860">
        <f>SUM(BN74:BN75)</f>
        <v>0</v>
      </c>
      <c r="BO72" s="860">
        <f>SUM(BO74:BO75)</f>
        <v>0</v>
      </c>
      <c r="BP72" s="860">
        <f>SUM(BP74:BP75)</f>
        <v>0</v>
      </c>
      <c r="BQ72" s="860">
        <f>SUM(BQ74:BQ75)</f>
        <v>0</v>
      </c>
      <c r="BR72" s="860">
        <f>SUM(BR74:BR75)</f>
        <v>0</v>
      </c>
      <c r="BS72" s="860">
        <f>SUM(BS74:BS75)</f>
        <v>0</v>
      </c>
      <c r="BT72" s="860">
        <f>SUM(BT74:BT75)</f>
        <v>0</v>
      </c>
      <c r="BU72" s="860">
        <f>SUM(BU74:BU75)</f>
        <v>0</v>
      </c>
      <c r="BV72" s="860">
        <f>SUM(BV74:BV75)</f>
        <v>0</v>
      </c>
      <c r="BW72" s="860">
        <f>SUM(BW74:BW75)</f>
        <v>0</v>
      </c>
      <c r="BX72" s="860">
        <f>SUM(BX74:BX75)</f>
        <v>0</v>
      </c>
      <c r="BY72" s="860">
        <f>SUM(BY74:BY75)</f>
        <v>0</v>
      </c>
      <c r="BZ72" s="860">
        <f>SUM(BZ74:BZ75)</f>
        <v>0</v>
      </c>
      <c r="CA72" s="860">
        <f>SUM(CA74:CA75)</f>
        <v>0</v>
      </c>
      <c r="CB72" s="860">
        <f>SUM(CB74:CB75)</f>
        <v>0</v>
      </c>
      <c r="CC72" s="860">
        <f>SUM(CC74:CC75)</f>
        <v>0</v>
      </c>
      <c r="CD72" s="860">
        <f>SUM(CD74:CD75)</f>
        <v>0</v>
      </c>
      <c r="CE72" s="860">
        <f>SUM(CE74:CE75)</f>
        <v>0</v>
      </c>
      <c r="CF72" s="860">
        <f>SUM(CF74:CF75)</f>
        <v>0</v>
      </c>
      <c r="CG72" s="860">
        <f>SUM(CG74:CG75)</f>
        <v>0</v>
      </c>
      <c r="CH72" s="860">
        <f>SUM(CH74:CH75)</f>
        <v>0</v>
      </c>
      <c r="CI72" s="860">
        <f>SUM(CI74:CI75)</f>
        <v>0</v>
      </c>
      <c r="CJ72" s="860">
        <f>SUM(CJ74:CJ75)</f>
        <v>0</v>
      </c>
      <c r="CK72" s="860">
        <f>SUM(CK74:CK75)</f>
        <v>0</v>
      </c>
      <c r="CL72" s="860">
        <f>SUM(CL74:CL75)</f>
        <v>0</v>
      </c>
      <c r="CM72" s="860">
        <f>SUM(CM74:CM75)</f>
        <v>0</v>
      </c>
      <c r="CN72" s="860">
        <f>SUM(CN74:CN75)</f>
        <v>0</v>
      </c>
      <c r="CO72" s="860">
        <f>SUM(CO74:CO75)</f>
        <v>0</v>
      </c>
      <c r="CP72" s="860">
        <f>SUM(CP74:CP75)</f>
        <v>0</v>
      </c>
      <c r="CQ72" s="860">
        <f>SUM(CQ74:CQ75)</f>
        <v>0</v>
      </c>
      <c r="CR72" s="860">
        <f>SUM(CR74:CR75)</f>
        <v>0</v>
      </c>
      <c r="CS72" s="860">
        <f>SUM(CS74:CS75)</f>
        <v>0</v>
      </c>
      <c r="CT72" s="73"/>
      <c r="CW72" s="1173" t="s">
        <v>811</v>
      </c>
    </row>
    <row customHeight="1" ht="16.672500000000003" hidden="1">
      <c r="E73" s="797">
        <v>17.1</v>
      </c>
      <c r="F73" s="922" cm="1" t="str">
        <f t="array" ref="F73:F73">OFFSET(G73,-1,-1)</f>
        <v>0</v>
      </c>
      <c r="L73" s="922" cm="1" t="str">
        <f t="array" ref="L73:L73">OFFSET(M73,-1,-1)</f>
        <v>false</v>
      </c>
      <c r="R73" s="922" t="s">
        <v>730</v>
      </c>
      <c r="S73" s="159" cm="1" t="str">
        <f t="array" ref="S73:S73">OFFSET(T73,-1,-1)</f>
        <v>false</v>
      </c>
      <c r="T73" s="922" t="b">
        <v>0</v>
      </c>
      <c r="U73" s="819">
        <f>AND(S73,IF(ISBLANK(T73),TRUE,T73))</f>
        <v>0</v>
      </c>
      <c r="AB73" s="1818"/>
      <c r="AD73" s="160" t="str">
        <f>AD72&amp;".0"</f>
        <v>24.0</v>
      </c>
      <c r="AE73" s="1510" t="s">
        <v>741</v>
      </c>
      <c r="AF73" s="1776"/>
      <c r="AG73" s="1014" t="s">
        <v>810</v>
      </c>
      <c r="AH73" s="86">
        <f>AH$52*AH72/1000</f>
        <v>0</v>
      </c>
      <c r="AI73" s="86">
        <f>AI$52*AI72/1000</f>
        <v>0</v>
      </c>
      <c r="AJ73" s="86">
        <f>AJ$52*AJ72/1000</f>
        <v>0</v>
      </c>
      <c r="AK73" s="86">
        <f>AK$52*AK72/1000</f>
        <v>0</v>
      </c>
      <c r="AL73" s="862">
        <f>AM73+AN73</f>
        <v>0</v>
      </c>
      <c r="AM73" s="87">
        <f>AM$52*AM72</f>
        <v>0</v>
      </c>
      <c r="AN73" s="87">
        <f>AN$52*AN72</f>
        <v>0</v>
      </c>
      <c r="AO73" s="862">
        <f>AP73+AQ73</f>
        <v>0</v>
      </c>
      <c r="AP73" s="87">
        <f>AP$52*AP72</f>
        <v>0</v>
      </c>
      <c r="AQ73" s="87">
        <f>AQ$52*AQ72</f>
        <v>0</v>
      </c>
      <c r="AR73" s="862">
        <f>AS73+AT73</f>
        <v>0</v>
      </c>
      <c r="AS73" s="87">
        <f>AS$52*AS72</f>
        <v>0</v>
      </c>
      <c r="AT73" s="87">
        <f>AT$52*AT72</f>
        <v>0</v>
      </c>
      <c r="AU73" s="862">
        <f>AV73+AW73</f>
        <v>0</v>
      </c>
      <c r="AV73" s="87">
        <f>AV$52*AV72</f>
        <v>0</v>
      </c>
      <c r="AW73" s="87">
        <f>AW$52*AW72</f>
        <v>0</v>
      </c>
      <c r="AX73" s="862">
        <f>AY73+AZ73</f>
        <v>0</v>
      </c>
      <c r="AY73" s="87">
        <f>AY$52*AY72</f>
        <v>0</v>
      </c>
      <c r="AZ73" s="87">
        <f>AZ$52*AZ72</f>
        <v>0</v>
      </c>
      <c r="BA73" s="862">
        <f>BB73+BC73</f>
        <v>0</v>
      </c>
      <c r="BB73" s="87">
        <f>BB$52*BB72</f>
        <v>0</v>
      </c>
      <c r="BC73" s="87">
        <f>BC$52*BC72</f>
        <v>0</v>
      </c>
      <c r="BD73" s="862">
        <f>BE73+BF73</f>
        <v>0</v>
      </c>
      <c r="BE73" s="87">
        <f>BE$52*BE72</f>
        <v>0</v>
      </c>
      <c r="BF73" s="87">
        <f>BF$52*BF72</f>
        <v>0</v>
      </c>
      <c r="BG73" s="862">
        <f>BH73+BI73</f>
        <v>0</v>
      </c>
      <c r="BH73" s="87">
        <f>BH$52*BH72</f>
        <v>0</v>
      </c>
      <c r="BI73" s="87">
        <f>BI$52*BI72</f>
        <v>0</v>
      </c>
      <c r="BJ73" s="862">
        <f>BK73+BL73</f>
        <v>0</v>
      </c>
      <c r="BK73" s="87">
        <f>BK$52*BK72</f>
        <v>0</v>
      </c>
      <c r="BL73" s="87">
        <f>BL$52*BL72</f>
        <v>0</v>
      </c>
      <c r="BM73" s="862">
        <f>BN73+BO73</f>
        <v>0</v>
      </c>
      <c r="BN73" s="87">
        <f>BN$52*BN72</f>
        <v>0</v>
      </c>
      <c r="BO73" s="87">
        <f>BO$52*BO72</f>
        <v>0</v>
      </c>
      <c r="BP73" s="862">
        <f>BQ73+BR73</f>
        <v>0</v>
      </c>
      <c r="BQ73" s="1772">
        <f>BQ$52*BQ72</f>
        <v>0</v>
      </c>
      <c r="BR73" s="1772">
        <f>BR$52*BR72</f>
        <v>0</v>
      </c>
      <c r="BS73" s="862">
        <f>BT73+BU73</f>
        <v>0</v>
      </c>
      <c r="BT73" s="87">
        <f>BT$52*BT72</f>
        <v>0</v>
      </c>
      <c r="BU73" s="87">
        <f>BU$52*BU72</f>
        <v>0</v>
      </c>
      <c r="BV73" s="862">
        <f>BW73+BX73</f>
        <v>0</v>
      </c>
      <c r="BW73" s="87">
        <f>BW$52*BW72</f>
        <v>0</v>
      </c>
      <c r="BX73" s="87">
        <f>BX$52*BX72</f>
        <v>0</v>
      </c>
      <c r="BY73" s="862">
        <f>BZ73+CA73</f>
        <v>0</v>
      </c>
      <c r="BZ73" s="87">
        <f>BZ$52*BZ72</f>
        <v>0</v>
      </c>
      <c r="CA73" s="87">
        <f>CA$52*CA72</f>
        <v>0</v>
      </c>
      <c r="CB73" s="862">
        <f>CC73+CD73</f>
        <v>0</v>
      </c>
      <c r="CC73" s="87">
        <f>CC$52*CC72</f>
        <v>0</v>
      </c>
      <c r="CD73" s="87">
        <f>CD$52*CD72</f>
        <v>0</v>
      </c>
      <c r="CE73" s="862">
        <f>CF73+CG73</f>
        <v>0</v>
      </c>
      <c r="CF73" s="87">
        <f>CF$52*CF72</f>
        <v>0</v>
      </c>
      <c r="CG73" s="87">
        <f>CG$52*CG72</f>
        <v>0</v>
      </c>
      <c r="CH73" s="862">
        <f>CI73+CJ73</f>
        <v>0</v>
      </c>
      <c r="CI73" s="87">
        <f>CI$52*CI72</f>
        <v>0</v>
      </c>
      <c r="CJ73" s="87">
        <f>CJ$52*CJ72</f>
        <v>0</v>
      </c>
      <c r="CK73" s="862">
        <f>CL73+CM73</f>
        <v>0</v>
      </c>
      <c r="CL73" s="87">
        <f>CL$52*CL72</f>
        <v>0</v>
      </c>
      <c r="CM73" s="87">
        <f>CM$52*CM72</f>
        <v>0</v>
      </c>
      <c r="CN73" s="862">
        <f>CO73+CP73</f>
        <v>0</v>
      </c>
      <c r="CO73" s="87">
        <f>CO$52*CO72</f>
        <v>0</v>
      </c>
      <c r="CP73" s="87">
        <f>CP$52*CP72</f>
        <v>0</v>
      </c>
      <c r="CQ73" s="862">
        <f>CR73+CS73</f>
        <v>0</v>
      </c>
      <c r="CR73" s="87">
        <f>CR$52*CR72</f>
        <v>0</v>
      </c>
      <c r="CS73" s="87">
        <f>CS$52*CS72</f>
        <v>0</v>
      </c>
      <c r="CT73" s="73"/>
      <c r="CW73" s="1173" t="s">
        <v>812</v>
      </c>
    </row>
    <row customHeight="1" ht="16.672500000000003" hidden="1">
      <c r="E74" s="797">
        <v>17.1</v>
      </c>
      <c r="F74" s="922" cm="1" t="str">
        <f t="array" ref="F74:F74">OFFSET(G74,-1,-1)</f>
        <v>0</v>
      </c>
      <c r="L74" s="922" cm="1" t="str">
        <f t="array" ref="L74:L74">OFFSET(M74,-1,-1)</f>
        <v>false</v>
      </c>
      <c r="S74" s="159" cm="1" t="str">
        <f t="array" ref="S74:S74">OFFSET(T74,-1,-1)</f>
        <v>false</v>
      </c>
      <c r="T74" s="159">
        <f>AD74&lt;&gt;"24.0"</f>
        <v>0</v>
      </c>
      <c r="U74" s="819">
        <f>AND(S74,IF(ISBLANK(T74),TRUE,T74))</f>
        <v>0</v>
      </c>
      <c r="X74" s="159" t="s">
        <v>234</v>
      </c>
      <c r="AB74" s="1818"/>
      <c r="AD74" s="160" t="s">
        <v>813</v>
      </c>
      <c r="AE74" s="1802"/>
      <c r="AF74" s="1803"/>
      <c r="AG74" s="1014" t="s">
        <v>810</v>
      </c>
      <c r="AH74" s="86"/>
      <c r="AI74" s="87"/>
      <c r="AJ74" s="87"/>
      <c r="AK74" s="87"/>
      <c r="AL74" s="862">
        <f>AM74+AN74</f>
        <v>0</v>
      </c>
      <c r="AM74" s="87">
        <f>AM70*AM64/1000</f>
        <v>0</v>
      </c>
      <c r="AN74" s="87">
        <f>AN70*AN64/1000</f>
        <v>0</v>
      </c>
      <c r="AO74" s="862">
        <f>AP74+AQ74</f>
        <v>0</v>
      </c>
      <c r="AP74" s="87">
        <f>AP70*AP64/1000</f>
        <v>0</v>
      </c>
      <c r="AQ74" s="87">
        <f>AQ70*AQ64/1000</f>
        <v>0</v>
      </c>
      <c r="AR74" s="862">
        <f>AS74+AT74</f>
        <v>0</v>
      </c>
      <c r="AS74" s="87">
        <f>AS70*AS64/1000</f>
        <v>0</v>
      </c>
      <c r="AT74" s="87">
        <f>AT70*AT64/1000</f>
        <v>0</v>
      </c>
      <c r="AU74" s="862">
        <f>AV74+AW74</f>
        <v>0</v>
      </c>
      <c r="AV74" s="87">
        <f>AV70*AV64/1000</f>
        <v>0</v>
      </c>
      <c r="AW74" s="87">
        <f>AW70*AW64/1000</f>
        <v>0</v>
      </c>
      <c r="AX74" s="862">
        <f>AY74+AZ74</f>
        <v>0</v>
      </c>
      <c r="AY74" s="87">
        <f>AY70*AY64/1000</f>
        <v>0</v>
      </c>
      <c r="AZ74" s="87">
        <f>AZ70*AZ64/1000</f>
        <v>0</v>
      </c>
      <c r="BA74" s="862">
        <f>BB74+BC74</f>
        <v>0</v>
      </c>
      <c r="BB74" s="87">
        <f>BB70*BB64/1000</f>
        <v>0</v>
      </c>
      <c r="BC74" s="87">
        <f>BC70*BC64/1000</f>
        <v>0</v>
      </c>
      <c r="BD74" s="862">
        <f>BE74+BF74</f>
        <v>0</v>
      </c>
      <c r="BE74" s="87">
        <f>BE70*BE64/1000</f>
        <v>0</v>
      </c>
      <c r="BF74" s="87">
        <f>BF70*BF64/1000</f>
        <v>0</v>
      </c>
      <c r="BG74" s="862">
        <f>BH74+BI74</f>
        <v>0</v>
      </c>
      <c r="BH74" s="87">
        <f>BH70*BH64/1000</f>
        <v>0</v>
      </c>
      <c r="BI74" s="87">
        <f>BI70*BI64/1000</f>
        <v>0</v>
      </c>
      <c r="BJ74" s="862">
        <f>BK74+BL74</f>
        <v>0</v>
      </c>
      <c r="BK74" s="87">
        <f>BK70*BK64/1000</f>
        <v>0</v>
      </c>
      <c r="BL74" s="87">
        <f>BL70*BL64/1000</f>
        <v>0</v>
      </c>
      <c r="BM74" s="862">
        <f>BN74+BO74</f>
        <v>0</v>
      </c>
      <c r="BN74" s="87">
        <f>BN70*BN64/1000</f>
        <v>0</v>
      </c>
      <c r="BO74" s="87">
        <f>BO70*BO64/1000</f>
        <v>0</v>
      </c>
      <c r="BP74" s="862">
        <f>BQ74+BR74</f>
        <v>0</v>
      </c>
      <c r="BQ74" s="1772">
        <f>BQ70*BQ64/1000</f>
        <v>0</v>
      </c>
      <c r="BR74" s="1772">
        <f>BR70*BR64/1000</f>
        <v>0</v>
      </c>
      <c r="BS74" s="862">
        <f>BT74+BU74</f>
        <v>0</v>
      </c>
      <c r="BT74" s="87">
        <f>BT70*BT64/1000</f>
        <v>0</v>
      </c>
      <c r="BU74" s="87">
        <f>BU70*BU64/1000</f>
        <v>0</v>
      </c>
      <c r="BV74" s="862">
        <f>BW74+BX74</f>
        <v>0</v>
      </c>
      <c r="BW74" s="87">
        <f>BW70*BW64/1000</f>
        <v>0</v>
      </c>
      <c r="BX74" s="87">
        <f>BX70*BX64/1000</f>
        <v>0</v>
      </c>
      <c r="BY74" s="862">
        <f>BZ74+CA74</f>
        <v>0</v>
      </c>
      <c r="BZ74" s="87">
        <f>BZ70*BZ64/1000</f>
        <v>0</v>
      </c>
      <c r="CA74" s="87">
        <f>CA70*CA64/1000</f>
        <v>0</v>
      </c>
      <c r="CB74" s="862">
        <f>CC74+CD74</f>
        <v>0</v>
      </c>
      <c r="CC74" s="87">
        <f>CC70*CC64/1000</f>
        <v>0</v>
      </c>
      <c r="CD74" s="87">
        <f>CD70*CD64/1000</f>
        <v>0</v>
      </c>
      <c r="CE74" s="862">
        <f>CF74+CG74</f>
        <v>0</v>
      </c>
      <c r="CF74" s="87">
        <f>CF70*CF64/1000</f>
        <v>0</v>
      </c>
      <c r="CG74" s="87">
        <f>CG70*CG64/1000</f>
        <v>0</v>
      </c>
      <c r="CH74" s="862">
        <f>CI74+CJ74</f>
        <v>0</v>
      </c>
      <c r="CI74" s="87">
        <f>CI70*CI64/1000</f>
        <v>0</v>
      </c>
      <c r="CJ74" s="87">
        <f>CJ70*CJ64/1000</f>
        <v>0</v>
      </c>
      <c r="CK74" s="862">
        <f>CL74+CM74</f>
        <v>0</v>
      </c>
      <c r="CL74" s="87">
        <f>CL70*CL64/1000</f>
        <v>0</v>
      </c>
      <c r="CM74" s="87">
        <f>CM70*CM64/1000</f>
        <v>0</v>
      </c>
      <c r="CN74" s="862">
        <f>CO74+CP74</f>
        <v>0</v>
      </c>
      <c r="CO74" s="87">
        <f>CO70*CO64/1000</f>
        <v>0</v>
      </c>
      <c r="CP74" s="87">
        <f>CP70*CP64/1000</f>
        <v>0</v>
      </c>
      <c r="CQ74" s="862">
        <f>CR74+CS74</f>
        <v>0</v>
      </c>
      <c r="CR74" s="87">
        <f>CR70*CR64/1000</f>
        <v>0</v>
      </c>
      <c r="CS74" s="87">
        <f>CS70*CS64/1000</f>
        <v>0</v>
      </c>
      <c r="CT74" s="73"/>
      <c r="CW74" s="1173" t="s">
        <v>812</v>
      </c>
      <c r="CX74" s="1178" t="s">
        <v>792</v>
      </c>
      <c r="CY74" s="1182" cm="1" t="str">
        <f t="array" ref="CY74:CY74">AE74</f>
        <v>0</v>
      </c>
      <c r="CZ74" s="1182" cm="1" t="str">
        <f t="array" ref="CZ74:CZ74">AF74</f>
        <v>0</v>
      </c>
    </row>
    <row customHeight="1" ht="17.25" hidden="1">
      <c r="E75" s="797">
        <v>0</v>
      </c>
      <c r="F75" s="922" cm="1" t="str">
        <f t="array" ref="F75:F75">OFFSET(G75,-1,-1)</f>
        <v>0</v>
      </c>
      <c r="L75" s="922" cm="1" t="str">
        <f t="array" ref="L75:L75">OFFSET(M75,-1,-1)</f>
        <v>false</v>
      </c>
      <c r="S75" s="159" cm="1" t="str">
        <f t="array" ref="S75:S75">OFFSET(T75,-1,-1)</f>
        <v>false</v>
      </c>
      <c r="U75" s="819">
        <f>AND(S75,IF(ISBLANK(T75),TRUE,T75))</f>
        <v>0</v>
      </c>
      <c r="X75" s="973" t="str">
        <f>"{                  
         funcDyn: 'msg1',
         blok: 'blok_2',
         wsCross: 'Топливо 4.4',
         linkFormula: 'AE-AE#AF-AF',
         levelDyn: "&amp;Y28&amp;"
}"</f>
        <v>{                  
         funcDyn: 'msg1',
         blok: 'blok_2',
         wsCross: 'Топливо 4.4',
         linkFormula: 'AE-AE#AF-AF',
         levelDyn: 0
}</v>
      </c>
      <c r="AB75" s="1818"/>
      <c r="AD75" s="1805"/>
      <c r="AE75" s="975" t="s">
        <v>236</v>
      </c>
      <c r="AF75" s="1807"/>
      <c r="AG75" s="1821"/>
      <c r="AH75" s="1810"/>
      <c r="AI75" s="1811"/>
      <c r="AJ75" s="1811"/>
      <c r="AK75" s="1811"/>
      <c r="AL75" s="1811"/>
      <c r="AM75" s="1811"/>
      <c r="AN75" s="1811"/>
      <c r="AO75" s="1811"/>
      <c r="AP75" s="1811"/>
      <c r="AQ75" s="1811"/>
      <c r="AR75" s="1811"/>
      <c r="AS75" s="1811"/>
      <c r="AT75" s="1811"/>
      <c r="AU75" s="1811"/>
      <c r="AV75" s="1811"/>
      <c r="AW75" s="1811"/>
      <c r="AX75" s="1811"/>
      <c r="AY75" s="1811"/>
      <c r="AZ75" s="1811"/>
      <c r="BA75" s="1811"/>
      <c r="BB75" s="1811"/>
      <c r="BC75" s="1811"/>
      <c r="BD75" s="1811"/>
      <c r="BE75" s="1811"/>
      <c r="BF75" s="1811"/>
      <c r="BG75" s="1811"/>
      <c r="BH75" s="1811"/>
      <c r="BI75" s="1811"/>
      <c r="BJ75" s="1811"/>
      <c r="BK75" s="1811"/>
      <c r="BL75" s="1811"/>
      <c r="BM75" s="1811"/>
      <c r="BN75" s="1811"/>
      <c r="BO75" s="1811"/>
      <c r="BP75" s="1811"/>
      <c r="BQ75" s="1811"/>
      <c r="BR75" s="1811"/>
      <c r="BS75" s="1811"/>
      <c r="BT75" s="1811"/>
      <c r="BU75" s="1811"/>
      <c r="BV75" s="1811"/>
      <c r="BW75" s="1811"/>
      <c r="BX75" s="1811"/>
      <c r="BY75" s="1811"/>
      <c r="BZ75" s="1811"/>
      <c r="CA75" s="1811"/>
      <c r="CB75" s="1811"/>
      <c r="CC75" s="1811"/>
      <c r="CD75" s="1811"/>
      <c r="CE75" s="1811"/>
      <c r="CF75" s="1811"/>
      <c r="CG75" s="1811"/>
      <c r="CH75" s="1811"/>
      <c r="CI75" s="1811"/>
      <c r="CJ75" s="1811"/>
      <c r="CK75" s="1811"/>
      <c r="CL75" s="1811"/>
      <c r="CM75" s="1811"/>
      <c r="CN75" s="1811"/>
      <c r="CO75" s="1811"/>
      <c r="CP75" s="1811"/>
      <c r="CQ75" s="1811"/>
      <c r="CR75" s="1811"/>
      <c r="CS75" s="1811"/>
      <c r="CT75" s="91"/>
      <c r="CW75" s="1173" t="str">
        <f>IF(AND(ISNUMBER(VALUE(TRIM(SUBSTITUTE(AD75,".","")))),TRIM(SUBSTITUTE(AD75,".",""))&lt;&gt;""),"P"&amp;SUBSTITUTE(AD75,".",""),"")</f>
        <v/>
      </c>
    </row>
    <row customHeight="1" ht="21.9375" hidden="1">
      <c r="E76" s="797">
        <v>22.5</v>
      </c>
      <c r="F76" s="922" cm="1" t="str">
        <f t="array" ref="F76:F76">OFFSET(G76,-1,-1)</f>
        <v>0</v>
      </c>
      <c r="L76" s="922" cm="1" t="str">
        <f t="array" ref="L76:L76">OFFSET(M76,-1,-1)</f>
        <v>false</v>
      </c>
      <c r="R76" s="922" t="s">
        <v>730</v>
      </c>
      <c r="S76" s="159" cm="1" t="str">
        <f t="array" ref="S76:S76">OFFSET(T76,-1,-1)</f>
        <v>false</v>
      </c>
      <c r="T76" s="159" cm="1" t="str">
        <f t="array" ref="T76:T76">L76</f>
        <v>false</v>
      </c>
      <c r="U76" s="819">
        <f>AND(S76,IF(ISBLANK(T76),TRUE,T76))</f>
        <v>0</v>
      </c>
      <c r="AB76" s="1818"/>
      <c r="AD76" s="160">
        <v>25</v>
      </c>
      <c r="AE76" s="1508" t="s">
        <v>814</v>
      </c>
      <c r="AF76" s="1814"/>
      <c r="AG76" s="1014" t="s">
        <v>810</v>
      </c>
      <c r="AH76" s="860">
        <f>SUM(AH77:AH78)</f>
        <v>0</v>
      </c>
      <c r="AI76" s="860">
        <f>SUM(AI77:AI78)</f>
        <v>0</v>
      </c>
      <c r="AJ76" s="860">
        <f>SUM(AJ77:AJ78)</f>
        <v>0</v>
      </c>
      <c r="AK76" s="860">
        <f>SUM(AK77:AK78)</f>
        <v>0</v>
      </c>
      <c r="AL76" s="860">
        <f>SUM(AL77:AL78)</f>
        <v>0</v>
      </c>
      <c r="AM76" s="860">
        <f>SUM(AM77:AM78)</f>
        <v>0</v>
      </c>
      <c r="AN76" s="860">
        <f>SUM(AN77:AN78)</f>
        <v>0</v>
      </c>
      <c r="AO76" s="860">
        <f>SUM(AO77:AO78)</f>
        <v>0</v>
      </c>
      <c r="AP76" s="860">
        <f>SUM(AP77:AP78)</f>
        <v>0</v>
      </c>
      <c r="AQ76" s="860">
        <f>SUM(AQ77:AQ78)</f>
        <v>0</v>
      </c>
      <c r="AR76" s="860">
        <f>SUM(AR77:AR78)</f>
        <v>0</v>
      </c>
      <c r="AS76" s="860">
        <f>SUM(AS77:AS78)</f>
        <v>0</v>
      </c>
      <c r="AT76" s="860">
        <f>SUM(AT77:AT78)</f>
        <v>0</v>
      </c>
      <c r="AU76" s="860">
        <f>SUM(AU77:AU78)</f>
        <v>0</v>
      </c>
      <c r="AV76" s="860">
        <f>SUM(AV77:AV78)</f>
        <v>0</v>
      </c>
      <c r="AW76" s="860">
        <f>SUM(AW77:AW78)</f>
        <v>0</v>
      </c>
      <c r="AX76" s="860">
        <f>SUM(AX77:AX78)</f>
        <v>0</v>
      </c>
      <c r="AY76" s="860">
        <f>SUM(AY77:AY78)</f>
        <v>0</v>
      </c>
      <c r="AZ76" s="860">
        <f>SUM(AZ77:AZ78)</f>
        <v>0</v>
      </c>
      <c r="BA76" s="860">
        <f>SUM(BA77:BA78)</f>
        <v>0</v>
      </c>
      <c r="BB76" s="860">
        <f>SUM(BB77:BB78)</f>
        <v>0</v>
      </c>
      <c r="BC76" s="860">
        <f>SUM(BC77:BC78)</f>
        <v>0</v>
      </c>
      <c r="BD76" s="860">
        <f>SUM(BD77:BD78)</f>
        <v>0</v>
      </c>
      <c r="BE76" s="860">
        <f>SUM(BE77:BE78)</f>
        <v>0</v>
      </c>
      <c r="BF76" s="860">
        <f>SUM(BF77:BF78)</f>
        <v>0</v>
      </c>
      <c r="BG76" s="860">
        <f>SUM(BG77:BG78)</f>
        <v>0</v>
      </c>
      <c r="BH76" s="860">
        <f>SUM(BH77:BH78)</f>
        <v>0</v>
      </c>
      <c r="BI76" s="860">
        <f>SUM(BI77:BI78)</f>
        <v>0</v>
      </c>
      <c r="BJ76" s="860">
        <f>SUM(BJ77:BJ78)</f>
        <v>0</v>
      </c>
      <c r="BK76" s="860">
        <f>SUM(BK77:BK78)</f>
        <v>0</v>
      </c>
      <c r="BL76" s="860">
        <f>SUM(BL77:BL78)</f>
        <v>0</v>
      </c>
      <c r="BM76" s="860">
        <f>SUM(BM77:BM78)</f>
        <v>0</v>
      </c>
      <c r="BN76" s="860">
        <f>SUM(BN77:BN78)</f>
        <v>0</v>
      </c>
      <c r="BO76" s="860">
        <f>SUM(BO77:BO78)</f>
        <v>0</v>
      </c>
      <c r="BP76" s="860">
        <f>SUM(BP77:BP78)</f>
        <v>0</v>
      </c>
      <c r="BQ76" s="860">
        <f>SUM(BQ77:BQ78)</f>
        <v>0</v>
      </c>
      <c r="BR76" s="860">
        <f>SUM(BR77:BR78)</f>
        <v>0</v>
      </c>
      <c r="BS76" s="860">
        <f>SUM(BS77:BS78)</f>
        <v>0</v>
      </c>
      <c r="BT76" s="860">
        <f>SUM(BT77:BT78)</f>
        <v>0</v>
      </c>
      <c r="BU76" s="860">
        <f>SUM(BU77:BU78)</f>
        <v>0</v>
      </c>
      <c r="BV76" s="860">
        <f>SUM(BV77:BV78)</f>
        <v>0</v>
      </c>
      <c r="BW76" s="860">
        <f>SUM(BW77:BW78)</f>
        <v>0</v>
      </c>
      <c r="BX76" s="860">
        <f>SUM(BX77:BX78)</f>
        <v>0</v>
      </c>
      <c r="BY76" s="860">
        <f>SUM(BY77:BY78)</f>
        <v>0</v>
      </c>
      <c r="BZ76" s="860">
        <f>SUM(BZ77:BZ78)</f>
        <v>0</v>
      </c>
      <c r="CA76" s="860">
        <f>SUM(CA77:CA78)</f>
        <v>0</v>
      </c>
      <c r="CB76" s="860">
        <f>SUM(CB77:CB78)</f>
        <v>0</v>
      </c>
      <c r="CC76" s="860">
        <f>SUM(CC77:CC78)</f>
        <v>0</v>
      </c>
      <c r="CD76" s="860">
        <f>SUM(CD77:CD78)</f>
        <v>0</v>
      </c>
      <c r="CE76" s="860">
        <f>SUM(CE77:CE78)</f>
        <v>0</v>
      </c>
      <c r="CF76" s="860">
        <f>SUM(CF77:CF78)</f>
        <v>0</v>
      </c>
      <c r="CG76" s="860">
        <f>SUM(CG77:CG78)</f>
        <v>0</v>
      </c>
      <c r="CH76" s="860">
        <f>SUM(CH77:CH78)</f>
        <v>0</v>
      </c>
      <c r="CI76" s="860">
        <f>SUM(CI77:CI78)</f>
        <v>0</v>
      </c>
      <c r="CJ76" s="860">
        <f>SUM(CJ77:CJ78)</f>
        <v>0</v>
      </c>
      <c r="CK76" s="860">
        <f>SUM(CK77:CK78)</f>
        <v>0</v>
      </c>
      <c r="CL76" s="860">
        <f>SUM(CL77:CL78)</f>
        <v>0</v>
      </c>
      <c r="CM76" s="860">
        <f>SUM(CM77:CM78)</f>
        <v>0</v>
      </c>
      <c r="CN76" s="860">
        <f>SUM(CN77:CN78)</f>
        <v>0</v>
      </c>
      <c r="CO76" s="860">
        <f>SUM(CO77:CO78)</f>
        <v>0</v>
      </c>
      <c r="CP76" s="860">
        <f>SUM(CP77:CP78)</f>
        <v>0</v>
      </c>
      <c r="CQ76" s="860">
        <f>SUM(CQ77:CQ78)</f>
        <v>0</v>
      </c>
      <c r="CR76" s="860">
        <f>SUM(CR77:CR78)</f>
        <v>0</v>
      </c>
      <c r="CS76" s="860">
        <f>SUM(CS77:CS78)</f>
        <v>0</v>
      </c>
      <c r="CT76" s="73"/>
      <c r="CW76" s="1173" t="s">
        <v>815</v>
      </c>
    </row>
    <row customHeight="1" ht="16.672500000000003" hidden="1">
      <c r="E77" s="797">
        <v>17.1</v>
      </c>
      <c r="F77" s="922" cm="1" t="str">
        <f t="array" ref="F77:F77">OFFSET(G77,-1,-1)</f>
        <v>0</v>
      </c>
      <c r="L77" s="922" cm="1" t="str">
        <f t="array" ref="L77:L77">OFFSET(M77,-1,-1)</f>
        <v>false</v>
      </c>
      <c r="R77" s="922" t="s">
        <v>730</v>
      </c>
      <c r="S77" s="159" cm="1" t="str">
        <f t="array" ref="S77:S77">OFFSET(T77,-1,-1)</f>
        <v>false</v>
      </c>
      <c r="T77" s="159">
        <f>AND(L77,AD77&lt;&gt;"25.0")</f>
        <v>0</v>
      </c>
      <c r="U77" s="819">
        <f>AND(S77,IF(ISBLANK(T77),TRUE,T77))</f>
        <v>0</v>
      </c>
      <c r="X77" s="159" t="s">
        <v>234</v>
      </c>
      <c r="AB77" s="1818"/>
      <c r="AD77" s="160" t="s">
        <v>816</v>
      </c>
      <c r="AE77" s="1802"/>
      <c r="AF77" s="1803"/>
      <c r="AG77" s="1014" t="s">
        <v>810</v>
      </c>
      <c r="AH77" s="86">
        <f>AH$52*AH74</f>
        <v>0</v>
      </c>
      <c r="AI77" s="87">
        <f>AI$52*AI74</f>
        <v>0</v>
      </c>
      <c r="AJ77" s="87">
        <f>AJ$52*AJ74</f>
        <v>0</v>
      </c>
      <c r="AK77" s="87">
        <f>AK$52*AK74</f>
        <v>0</v>
      </c>
      <c r="AL77" s="862">
        <f>AM77+AN77</f>
        <v>0</v>
      </c>
      <c r="AM77" s="87">
        <f>AM$52*AM74</f>
        <v>0</v>
      </c>
      <c r="AN77" s="87">
        <f>AN$52*AN74</f>
        <v>0</v>
      </c>
      <c r="AO77" s="862">
        <f>AP77+AQ77</f>
        <v>0</v>
      </c>
      <c r="AP77" s="87">
        <f>AP$52*AP74</f>
        <v>0</v>
      </c>
      <c r="AQ77" s="87">
        <f>AQ$52*AQ74</f>
        <v>0</v>
      </c>
      <c r="AR77" s="862">
        <f>AS77+AT77</f>
        <v>0</v>
      </c>
      <c r="AS77" s="87">
        <f>AS$52*AS74</f>
        <v>0</v>
      </c>
      <c r="AT77" s="87">
        <f>AT$52*AT74</f>
        <v>0</v>
      </c>
      <c r="AU77" s="862">
        <f>AV77+AW77</f>
        <v>0</v>
      </c>
      <c r="AV77" s="87">
        <f>AV$52*AV74</f>
        <v>0</v>
      </c>
      <c r="AW77" s="87">
        <f>AW$52*AW74</f>
        <v>0</v>
      </c>
      <c r="AX77" s="862">
        <f>AY77+AZ77</f>
        <v>0</v>
      </c>
      <c r="AY77" s="87">
        <f>AY$52*AY74</f>
        <v>0</v>
      </c>
      <c r="AZ77" s="87">
        <f>AZ$52*AZ74</f>
        <v>0</v>
      </c>
      <c r="BA77" s="862">
        <f>BB77+BC77</f>
        <v>0</v>
      </c>
      <c r="BB77" s="87">
        <f>BB$52*BB74</f>
        <v>0</v>
      </c>
      <c r="BC77" s="87">
        <f>BC$52*BC74</f>
        <v>0</v>
      </c>
      <c r="BD77" s="862">
        <f>BE77+BF77</f>
        <v>0</v>
      </c>
      <c r="BE77" s="87">
        <f>BE$52*BE74</f>
        <v>0</v>
      </c>
      <c r="BF77" s="87">
        <f>BF$52*BF74</f>
        <v>0</v>
      </c>
      <c r="BG77" s="862">
        <f>BH77+BI77</f>
        <v>0</v>
      </c>
      <c r="BH77" s="87">
        <f>BH$52*BH74</f>
        <v>0</v>
      </c>
      <c r="BI77" s="87">
        <f>BI$52*BI74</f>
        <v>0</v>
      </c>
      <c r="BJ77" s="862">
        <f>BK77+BL77</f>
        <v>0</v>
      </c>
      <c r="BK77" s="87">
        <f>BK$52*BK74</f>
        <v>0</v>
      </c>
      <c r="BL77" s="87">
        <f>BL$52*BL74</f>
        <v>0</v>
      </c>
      <c r="BM77" s="862">
        <f>BN77+BO77</f>
        <v>0</v>
      </c>
      <c r="BN77" s="87">
        <f>BN$52*BN74</f>
        <v>0</v>
      </c>
      <c r="BO77" s="87">
        <f>BO$52*BO74</f>
        <v>0</v>
      </c>
      <c r="BP77" s="862">
        <f>BQ77+BR77</f>
        <v>0</v>
      </c>
      <c r="BQ77" s="1772">
        <f>BQ$52*BQ74</f>
        <v>0</v>
      </c>
      <c r="BR77" s="1772">
        <f>BR$52*BR74</f>
        <v>0</v>
      </c>
      <c r="BS77" s="862">
        <f>BT77+BU77</f>
        <v>0</v>
      </c>
      <c r="BT77" s="87">
        <f>BT$52*BT74</f>
        <v>0</v>
      </c>
      <c r="BU77" s="87">
        <f>BU$52*BU74</f>
        <v>0</v>
      </c>
      <c r="BV77" s="862">
        <f>BW77+BX77</f>
        <v>0</v>
      </c>
      <c r="BW77" s="87">
        <f>BW$52*BW74</f>
        <v>0</v>
      </c>
      <c r="BX77" s="87">
        <f>BX$52*BX74</f>
        <v>0</v>
      </c>
      <c r="BY77" s="862">
        <f>BZ77+CA77</f>
        <v>0</v>
      </c>
      <c r="BZ77" s="87">
        <f>BZ$52*BZ74</f>
        <v>0</v>
      </c>
      <c r="CA77" s="87">
        <f>CA$52*CA74</f>
        <v>0</v>
      </c>
      <c r="CB77" s="862">
        <f>CC77+CD77</f>
        <v>0</v>
      </c>
      <c r="CC77" s="87">
        <f>CC$52*CC74</f>
        <v>0</v>
      </c>
      <c r="CD77" s="87">
        <f>CD$52*CD74</f>
        <v>0</v>
      </c>
      <c r="CE77" s="862">
        <f>CF77+CG77</f>
        <v>0</v>
      </c>
      <c r="CF77" s="87">
        <f>CF$52*CF74</f>
        <v>0</v>
      </c>
      <c r="CG77" s="87">
        <f>CG$52*CG74</f>
        <v>0</v>
      </c>
      <c r="CH77" s="862">
        <f>CI77+CJ77</f>
        <v>0</v>
      </c>
      <c r="CI77" s="87">
        <f>CI$52*CI74</f>
        <v>0</v>
      </c>
      <c r="CJ77" s="87">
        <f>CJ$52*CJ74</f>
        <v>0</v>
      </c>
      <c r="CK77" s="862">
        <f>CL77+CM77</f>
        <v>0</v>
      </c>
      <c r="CL77" s="87">
        <f>CL$52*CL74</f>
        <v>0</v>
      </c>
      <c r="CM77" s="87">
        <f>CM$52*CM74</f>
        <v>0</v>
      </c>
      <c r="CN77" s="862">
        <f>CO77+CP77</f>
        <v>0</v>
      </c>
      <c r="CO77" s="87">
        <f>CO$52*CO74</f>
        <v>0</v>
      </c>
      <c r="CP77" s="87">
        <f>CP$52*CP74</f>
        <v>0</v>
      </c>
      <c r="CQ77" s="862">
        <f>CR77+CS77</f>
        <v>0</v>
      </c>
      <c r="CR77" s="87">
        <f>CR$52*CR74</f>
        <v>0</v>
      </c>
      <c r="CS77" s="87">
        <f>CS$52*CS74</f>
        <v>0</v>
      </c>
      <c r="CT77" s="73"/>
      <c r="CW77" s="1173" t="s">
        <v>815</v>
      </c>
      <c r="CX77" s="1178" t="s">
        <v>792</v>
      </c>
      <c r="CY77" s="1182" cm="1" t="str">
        <f t="array" ref="CY77:CY77">AE77</f>
        <v>0</v>
      </c>
      <c r="CZ77" s="1182" cm="1" t="str">
        <f t="array" ref="CZ77:CZ77">AF77</f>
        <v>0</v>
      </c>
    </row>
    <row customHeight="1" ht="15" hidden="1">
      <c r="E78" s="797">
        <v>0</v>
      </c>
      <c r="F78" s="922" cm="1" t="str">
        <f t="array" ref="F78:F78">OFFSET(G78,-1,-1)</f>
        <v>0</v>
      </c>
      <c r="L78" s="922" cm="1" t="str">
        <f t="array" ref="L78:L78">OFFSET(M78,-1,-1)</f>
        <v>false</v>
      </c>
      <c r="S78" s="159" cm="1" t="str">
        <f t="array" ref="S78:S78">OFFSET(T78,-1,-1)</f>
        <v>false</v>
      </c>
      <c r="U78" s="819">
        <f>AND(S78,IF(ISBLANK(T78),TRUE,T78))</f>
        <v>0</v>
      </c>
      <c r="X78" s="973" t="str">
        <f>"{                  
         funcDyn: 'msg1',
         blok: 'blok_2',
         wsCross: 'Топливо 4.4',
         linkFormula: 'AE-AE#AF-AF',
         levelDyn: "&amp;Y28&amp;"
}"</f>
        <v>{                  
         funcDyn: 'msg1',
         blok: 'blok_2',
         wsCross: 'Топливо 4.4',
         linkFormula: 'AE-AE#AF-AF',
         levelDyn: 0
}</v>
      </c>
      <c r="AB78" s="1822"/>
      <c r="AD78" s="1805"/>
      <c r="AE78" s="975" t="s">
        <v>236</v>
      </c>
      <c r="AF78" s="1807"/>
      <c r="AG78" s="1812"/>
      <c r="AH78" s="1810"/>
      <c r="AI78" s="1811"/>
      <c r="AJ78" s="1811"/>
      <c r="AK78" s="1811"/>
      <c r="AL78" s="1811"/>
      <c r="AM78" s="1811"/>
      <c r="AN78" s="1811"/>
      <c r="AO78" s="1811"/>
      <c r="AP78" s="1811"/>
      <c r="AQ78" s="1811"/>
      <c r="AR78" s="1811"/>
      <c r="AS78" s="1811"/>
      <c r="AT78" s="1811"/>
      <c r="AU78" s="1811"/>
      <c r="AV78" s="1811"/>
      <c r="AW78" s="1811"/>
      <c r="AX78" s="1811"/>
      <c r="AY78" s="1811"/>
      <c r="AZ78" s="1811"/>
      <c r="BA78" s="1811"/>
      <c r="BB78" s="1811"/>
      <c r="BC78" s="1811"/>
      <c r="BD78" s="1811"/>
      <c r="BE78" s="1811"/>
      <c r="BF78" s="1811"/>
      <c r="BG78" s="1811"/>
      <c r="BH78" s="1811"/>
      <c r="BI78" s="1811"/>
      <c r="BJ78" s="1811"/>
      <c r="BK78" s="1811"/>
      <c r="BL78" s="1811"/>
      <c r="BM78" s="1811"/>
      <c r="BN78" s="1811"/>
      <c r="BO78" s="1811"/>
      <c r="BP78" s="1811"/>
      <c r="BQ78" s="1811"/>
      <c r="BR78" s="1811"/>
      <c r="BS78" s="1811"/>
      <c r="BT78" s="1811"/>
      <c r="BU78" s="1811"/>
      <c r="BV78" s="1811"/>
      <c r="BW78" s="1811"/>
      <c r="BX78" s="1811"/>
      <c r="BY78" s="1811"/>
      <c r="BZ78" s="1811"/>
      <c r="CA78" s="1811"/>
      <c r="CB78" s="1811"/>
      <c r="CC78" s="1811"/>
      <c r="CD78" s="1811"/>
      <c r="CE78" s="1811"/>
      <c r="CF78" s="1811"/>
      <c r="CG78" s="1811"/>
      <c r="CH78" s="1811"/>
      <c r="CI78" s="1811"/>
      <c r="CJ78" s="1811"/>
      <c r="CK78" s="1811"/>
      <c r="CL78" s="1811"/>
      <c r="CM78" s="1811"/>
      <c r="CN78" s="1811"/>
      <c r="CO78" s="1811"/>
      <c r="CP78" s="1811"/>
      <c r="CQ78" s="1811"/>
      <c r="CR78" s="1811"/>
      <c r="CS78" s="1811"/>
      <c r="CT78" s="91"/>
      <c r="CW78" s="1173" t="str">
        <f>IF(AND(ISNUMBER(VALUE(TRIM(SUBSTITUTE(AD78,".","")))),TRIM(SUBSTITUTE(AD78,".",""))&lt;&gt;""),"P"&amp;SUBSTITUTE(AD78,".",""),"")</f>
        <v/>
      </c>
    </row>
    <row customHeight="1" ht="16.672500000000003" hidden="1">
      <c r="E79" s="797">
        <v>17.1</v>
      </c>
      <c r="F79" s="922" cm="1" t="str">
        <f t="array" ref="F79:F79">OFFSET(G79,-1,-1)</f>
        <v>0</v>
      </c>
      <c r="L79" s="922" cm="1" t="str">
        <f t="array" ref="L79:L79">OFFSET(M79,-1,-1)</f>
        <v>false</v>
      </c>
      <c r="S79" s="159" cm="1" t="str">
        <f t="array" ref="S79:S79">OFFSET(T79,-1,-1)</f>
        <v>false</v>
      </c>
      <c r="U79" s="819">
        <f>AND(S79,IF(ISBLANK(T79),TRUE,T79))</f>
        <v>0</v>
      </c>
      <c r="AB79" s="1823" t="s">
        <v>817</v>
      </c>
      <c r="AD79" s="1824">
        <v>26</v>
      </c>
      <c r="AE79" s="1825" t="s">
        <v>818</v>
      </c>
      <c r="AF79" s="1826"/>
      <c r="AG79" s="1827"/>
      <c r="AH79" s="1810"/>
      <c r="AI79" s="1811"/>
      <c r="AJ79" s="1811"/>
      <c r="AK79" s="1811"/>
      <c r="AL79" s="1811"/>
      <c r="AM79" s="1811"/>
      <c r="AN79" s="1811"/>
      <c r="AO79" s="1811"/>
      <c r="AP79" s="1811"/>
      <c r="AQ79" s="1811"/>
      <c r="AR79" s="1811"/>
      <c r="AS79" s="1811"/>
      <c r="AT79" s="1811"/>
      <c r="AU79" s="1811"/>
      <c r="AV79" s="1811"/>
      <c r="AW79" s="1811"/>
      <c r="AX79" s="1811"/>
      <c r="AY79" s="1811"/>
      <c r="AZ79" s="1811"/>
      <c r="BA79" s="1811"/>
      <c r="BB79" s="1811"/>
      <c r="BC79" s="1811"/>
      <c r="BD79" s="1811"/>
      <c r="BE79" s="1811"/>
      <c r="BF79" s="1811"/>
      <c r="BG79" s="1811"/>
      <c r="BH79" s="1811"/>
      <c r="BI79" s="1811"/>
      <c r="BJ79" s="1811"/>
      <c r="BK79" s="1811"/>
      <c r="BL79" s="1811"/>
      <c r="BM79" s="1811"/>
      <c r="BN79" s="1811"/>
      <c r="BO79" s="1811"/>
      <c r="BP79" s="1811"/>
      <c r="BQ79" s="1811"/>
      <c r="BR79" s="1811"/>
      <c r="BS79" s="1811"/>
      <c r="BT79" s="1811"/>
      <c r="BU79" s="1811"/>
      <c r="BV79" s="1811"/>
      <c r="BW79" s="1811"/>
      <c r="BX79" s="1811"/>
      <c r="BY79" s="1811"/>
      <c r="BZ79" s="1811"/>
      <c r="CA79" s="1811"/>
      <c r="CB79" s="1811"/>
      <c r="CC79" s="1811"/>
      <c r="CD79" s="1811"/>
      <c r="CE79" s="1811"/>
      <c r="CF79" s="1811"/>
      <c r="CG79" s="1811"/>
      <c r="CH79" s="1811"/>
      <c r="CI79" s="1811"/>
      <c r="CJ79" s="1811"/>
      <c r="CK79" s="1811"/>
      <c r="CL79" s="1811"/>
      <c r="CM79" s="1811"/>
      <c r="CN79" s="1811"/>
      <c r="CO79" s="1811"/>
      <c r="CP79" s="1811"/>
      <c r="CQ79" s="1811"/>
      <c r="CR79" s="1811"/>
      <c r="CS79" s="1811"/>
      <c r="CT79" s="73"/>
      <c r="CW79" s="1173" t="s">
        <v>819</v>
      </c>
    </row>
    <row customHeight="1" ht="16.672500000000003" hidden="1">
      <c r="E80" s="797">
        <v>17.1</v>
      </c>
      <c r="F80" s="922" cm="1" t="str">
        <f t="array" ref="F80:F80">OFFSET(G80,-1,-1)</f>
        <v>0</v>
      </c>
      <c r="L80" s="922" cm="1" t="str">
        <f t="array" ref="L80:L80">OFFSET(M80,-1,-1)</f>
        <v>false</v>
      </c>
      <c r="S80" s="159" cm="1" t="str">
        <f t="array" ref="S80:S80">OFFSET(T80,-1,-1)</f>
        <v>false</v>
      </c>
      <c r="T80" s="159">
        <f>AD80&lt;&gt;"26.0"</f>
        <v>0</v>
      </c>
      <c r="U80" s="819">
        <f>AND(S80,IF(ISBLANK(T80),TRUE,T80))</f>
        <v>0</v>
      </c>
      <c r="X80" s="159" t="s">
        <v>234</v>
      </c>
      <c r="AB80" s="1828"/>
      <c r="AD80" s="160" t="s">
        <v>820</v>
      </c>
      <c r="AE80" s="1802"/>
      <c r="AF80" s="1803"/>
      <c r="AG80" s="859" t="s">
        <v>498</v>
      </c>
      <c r="AH80" s="90"/>
      <c r="AI80" s="94"/>
      <c r="AJ80" s="94"/>
      <c r="AK80" s="94"/>
      <c r="AL80" s="1811"/>
      <c r="AM80" s="87"/>
      <c r="AN80" s="87"/>
      <c r="AO80" s="1811"/>
      <c r="AP80" s="94"/>
      <c r="AQ80" s="94"/>
      <c r="AR80" s="1811"/>
      <c r="AS80" s="94"/>
      <c r="AT80" s="94"/>
      <c r="AU80" s="1811"/>
      <c r="AV80" s="94"/>
      <c r="AW80" s="94"/>
      <c r="AX80" s="1811"/>
      <c r="AY80" s="94"/>
      <c r="AZ80" s="94"/>
      <c r="BA80" s="1811"/>
      <c r="BB80" s="94"/>
      <c r="BC80" s="94"/>
      <c r="BD80" s="1811"/>
      <c r="BE80" s="94"/>
      <c r="BF80" s="94"/>
      <c r="BG80" s="1811"/>
      <c r="BH80" s="94"/>
      <c r="BI80" s="94"/>
      <c r="BJ80" s="1811"/>
      <c r="BK80" s="94"/>
      <c r="BL80" s="94"/>
      <c r="BM80" s="1811"/>
      <c r="BN80" s="94"/>
      <c r="BO80" s="94"/>
      <c r="BP80" s="1811"/>
      <c r="BQ80" s="1829"/>
      <c r="BR80" s="1829"/>
      <c r="BS80" s="1811"/>
      <c r="BT80" s="94"/>
      <c r="BU80" s="94"/>
      <c r="BV80" s="1811"/>
      <c r="BW80" s="94"/>
      <c r="BX80" s="94"/>
      <c r="BY80" s="1811"/>
      <c r="BZ80" s="94"/>
      <c r="CA80" s="94"/>
      <c r="CB80" s="1811"/>
      <c r="CC80" s="94"/>
      <c r="CD80" s="94"/>
      <c r="CE80" s="1811"/>
      <c r="CF80" s="94"/>
      <c r="CG80" s="94"/>
      <c r="CH80" s="1811"/>
      <c r="CI80" s="94"/>
      <c r="CJ80" s="94"/>
      <c r="CK80" s="1811"/>
      <c r="CL80" s="94"/>
      <c r="CM80" s="94"/>
      <c r="CN80" s="1811"/>
      <c r="CO80" s="94"/>
      <c r="CP80" s="94"/>
      <c r="CQ80" s="1811"/>
      <c r="CR80" s="94"/>
      <c r="CS80" s="94"/>
      <c r="CT80" s="73"/>
      <c r="CW80" s="1173" t="s">
        <v>819</v>
      </c>
      <c r="CX80" s="1178" t="s">
        <v>792</v>
      </c>
      <c r="CY80" s="1182" cm="1" t="str">
        <f t="array" ref="CY80:CY80">AE80</f>
        <v>0</v>
      </c>
      <c r="CZ80" s="1182" cm="1" t="str">
        <f t="array" ref="CZ80:CZ80">AF80</f>
        <v>0</v>
      </c>
    </row>
    <row customHeight="1" ht="15" hidden="1">
      <c r="E81" s="797">
        <v>0</v>
      </c>
      <c r="F81" s="922" cm="1" t="str">
        <f t="array" ref="F81:F81">OFFSET(G81,-1,-1)</f>
        <v>0</v>
      </c>
      <c r="L81" s="922" cm="1" t="str">
        <f t="array" ref="L81:L81">OFFSET(M81,-1,-1)</f>
        <v>false</v>
      </c>
      <c r="S81" s="159" cm="1" t="str">
        <f t="array" ref="S81:S81">OFFSET(T81,-1,-1)</f>
        <v>false</v>
      </c>
      <c r="U81" s="819">
        <f>AND(S81,IF(ISBLANK(T81),TRUE,T81))</f>
        <v>0</v>
      </c>
      <c r="X81" s="973" t="str">
        <f>"{                  
         funcDyn: 'msg1',
         blok: 'blok_2',
         wsCross: 'Топливо 4.4',
         linkFormula: 'AE-AE#AF-AF',
         levelDyn: "&amp;Y28&amp;"
}"</f>
        <v>{                  
         funcDyn: 'msg1',
         blok: 'blok_2',
         wsCross: 'Топливо 4.4',
         linkFormula: 'AE-AE#AF-AF',
         levelDyn: 0
}</v>
      </c>
      <c r="AB81" s="1828"/>
      <c r="AD81" s="1805"/>
      <c r="AE81" s="975" t="s">
        <v>236</v>
      </c>
      <c r="AF81" s="1807"/>
      <c r="AG81" s="1821"/>
      <c r="AH81" s="1808"/>
      <c r="AI81" s="95"/>
      <c r="AJ81" s="95"/>
      <c r="AK81" s="95"/>
      <c r="AL81" s="1811"/>
      <c r="AM81" s="95"/>
      <c r="AN81" s="95"/>
      <c r="AO81" s="1811"/>
      <c r="AP81" s="95"/>
      <c r="AQ81" s="95"/>
      <c r="AR81" s="1811"/>
      <c r="AS81" s="95"/>
      <c r="AT81" s="95"/>
      <c r="AU81" s="1811"/>
      <c r="AV81" s="95"/>
      <c r="AW81" s="95"/>
      <c r="AX81" s="1811"/>
      <c r="AY81" s="95"/>
      <c r="AZ81" s="95"/>
      <c r="BA81" s="1811"/>
      <c r="BB81" s="95"/>
      <c r="BC81" s="95"/>
      <c r="BD81" s="1811"/>
      <c r="BE81" s="95"/>
      <c r="BF81" s="95"/>
      <c r="BG81" s="1811"/>
      <c r="BH81" s="95"/>
      <c r="BI81" s="95"/>
      <c r="BJ81" s="1811"/>
      <c r="BK81" s="95"/>
      <c r="BL81" s="95"/>
      <c r="BM81" s="1811"/>
      <c r="BN81" s="95"/>
      <c r="BO81" s="95"/>
      <c r="BP81" s="1811"/>
      <c r="BQ81" s="95"/>
      <c r="BR81" s="95"/>
      <c r="BS81" s="1811"/>
      <c r="BT81" s="95"/>
      <c r="BU81" s="95"/>
      <c r="BV81" s="1811"/>
      <c r="BW81" s="95"/>
      <c r="BX81" s="95"/>
      <c r="BY81" s="1811"/>
      <c r="BZ81" s="95"/>
      <c r="CA81" s="95"/>
      <c r="CB81" s="1811"/>
      <c r="CC81" s="95"/>
      <c r="CD81" s="95"/>
      <c r="CE81" s="1811"/>
      <c r="CF81" s="95"/>
      <c r="CG81" s="95"/>
      <c r="CH81" s="1811"/>
      <c r="CI81" s="95"/>
      <c r="CJ81" s="95"/>
      <c r="CK81" s="1811"/>
      <c r="CL81" s="95"/>
      <c r="CM81" s="95"/>
      <c r="CN81" s="1811"/>
      <c r="CO81" s="95"/>
      <c r="CP81" s="95"/>
      <c r="CQ81" s="1811"/>
      <c r="CR81" s="95"/>
      <c r="CS81" s="95"/>
      <c r="CT81" s="91"/>
      <c r="CW81" s="1173" t="str">
        <f>IF(AND(ISNUMBER(VALUE(TRIM(SUBSTITUTE(AD81,".","")))),TRIM(SUBSTITUTE(AD81,".",""))&lt;&gt;""),"P"&amp;SUBSTITUTE(AD81,".",""),"")</f>
        <v/>
      </c>
    </row>
    <row customHeight="1" ht="16.672500000000003" hidden="1">
      <c r="E82" s="797">
        <v>17.1</v>
      </c>
      <c r="F82" s="922" cm="1" t="str">
        <f t="array" ref="F82:F82">OFFSET(G82,-1,-1)</f>
        <v>0</v>
      </c>
      <c r="L82" s="922" cm="1" t="str">
        <f t="array" ref="L82:L82">OFFSET(M82,-1,-1)</f>
        <v>false</v>
      </c>
      <c r="S82" s="159" cm="1" t="str">
        <f t="array" ref="S82:S82">OFFSET(T82,-1,-1)</f>
        <v>false</v>
      </c>
      <c r="U82" s="819">
        <f>AND(S82,IF(ISBLANK(T82),TRUE,T82))</f>
        <v>0</v>
      </c>
      <c r="AB82" s="1828"/>
      <c r="AD82" s="173">
        <v>27</v>
      </c>
      <c r="AE82" s="1497" t="s">
        <v>821</v>
      </c>
      <c r="AF82" s="1826"/>
      <c r="AG82" s="1827"/>
      <c r="AH82" s="1810"/>
      <c r="AI82" s="1811"/>
      <c r="AJ82" s="1811"/>
      <c r="AK82" s="1811"/>
      <c r="AL82" s="1811"/>
      <c r="AM82" s="1811"/>
      <c r="AN82" s="1811"/>
      <c r="AO82" s="1811"/>
      <c r="AP82" s="1811"/>
      <c r="AQ82" s="1811"/>
      <c r="AR82" s="1811"/>
      <c r="AS82" s="1811"/>
      <c r="AT82" s="1811"/>
      <c r="AU82" s="1811"/>
      <c r="AV82" s="1811"/>
      <c r="AW82" s="1811"/>
      <c r="AX82" s="1811"/>
      <c r="AY82" s="1811"/>
      <c r="AZ82" s="1811"/>
      <c r="BA82" s="1811"/>
      <c r="BB82" s="1811"/>
      <c r="BC82" s="1811"/>
      <c r="BD82" s="1811"/>
      <c r="BE82" s="1811"/>
      <c r="BF82" s="1811"/>
      <c r="BG82" s="1811"/>
      <c r="BH82" s="1811"/>
      <c r="BI82" s="1811"/>
      <c r="BJ82" s="1811"/>
      <c r="BK82" s="1811"/>
      <c r="BL82" s="1811"/>
      <c r="BM82" s="1811"/>
      <c r="BN82" s="1811"/>
      <c r="BO82" s="1811"/>
      <c r="BP82" s="1811"/>
      <c r="BQ82" s="1811"/>
      <c r="BR82" s="1811"/>
      <c r="BS82" s="1811"/>
      <c r="BT82" s="1811"/>
      <c r="BU82" s="1811"/>
      <c r="BV82" s="1811"/>
      <c r="BW82" s="1811"/>
      <c r="BX82" s="1811"/>
      <c r="BY82" s="1811"/>
      <c r="BZ82" s="1811"/>
      <c r="CA82" s="1811"/>
      <c r="CB82" s="1811"/>
      <c r="CC82" s="1811"/>
      <c r="CD82" s="1811"/>
      <c r="CE82" s="1811"/>
      <c r="CF82" s="1811"/>
      <c r="CG82" s="1811"/>
      <c r="CH82" s="1811"/>
      <c r="CI82" s="1811"/>
      <c r="CJ82" s="1811"/>
      <c r="CK82" s="1811"/>
      <c r="CL82" s="1811"/>
      <c r="CM82" s="1811"/>
      <c r="CN82" s="1811"/>
      <c r="CO82" s="1811"/>
      <c r="CP82" s="1811"/>
      <c r="CQ82" s="1811"/>
      <c r="CR82" s="1811"/>
      <c r="CS82" s="1811"/>
      <c r="CT82" s="73"/>
      <c r="CW82" s="1173" t="s">
        <v>822</v>
      </c>
    </row>
    <row customHeight="1" ht="16.672500000000003" hidden="1">
      <c r="E83" s="797">
        <v>17.1</v>
      </c>
      <c r="F83" s="922" cm="1" t="str">
        <f t="array" ref="F83:F83">OFFSET(G83,-1,-1)</f>
        <v>0</v>
      </c>
      <c r="L83" s="922" cm="1" t="str">
        <f t="array" ref="L83:L83">OFFSET(M83,-1,-1)</f>
        <v>false</v>
      </c>
      <c r="S83" s="159" cm="1" t="str">
        <f t="array" ref="S83:S83">OFFSET(T83,-1,-1)</f>
        <v>false</v>
      </c>
      <c r="T83" s="159">
        <f>AD83&lt;&gt;"27.0"</f>
        <v>0</v>
      </c>
      <c r="U83" s="819">
        <f>AND(S83,IF(ISBLANK(T83),TRUE,T83))</f>
        <v>0</v>
      </c>
      <c r="X83" s="159" t="s">
        <v>234</v>
      </c>
      <c r="AB83" s="1828"/>
      <c r="AD83" s="160" t="s">
        <v>823</v>
      </c>
      <c r="AE83" s="1802"/>
      <c r="AF83" s="1803"/>
      <c r="AG83" s="1815" t="str">
        <f>"руб./"&amp;_xlfn.IFERROR(INDEX(fuel_ed_izm_list,MATCH(AE83,fuel_list,0)),"")</f>
        <v>руб./</v>
      </c>
      <c r="AH83" s="86">
        <f>_xlfn.IFERROR(AH87/AH64,0)*1000</f>
        <v>0</v>
      </c>
      <c r="AI83" s="86">
        <f>_xlfn.IFERROR(AI87/AI64,0)*1000</f>
        <v>0</v>
      </c>
      <c r="AJ83" s="86">
        <f>_xlfn.IFERROR(AJ87/AJ64,0)*1000</f>
        <v>0</v>
      </c>
      <c r="AK83" s="86">
        <f>_xlfn.IFERROR(AK87/AK64,0)*1000</f>
        <v>0</v>
      </c>
      <c r="AL83" s="862">
        <f>_xlfn.IFERROR(AL87/AL64,0)*1000</f>
        <v>0</v>
      </c>
      <c r="AM83" s="87"/>
      <c r="AN83" s="87"/>
      <c r="AO83" s="862">
        <f>_xlfn.IFERROR(AO87/AO64,0)*1000</f>
        <v>0</v>
      </c>
      <c r="AP83" s="87"/>
      <c r="AQ83" s="87"/>
      <c r="AR83" s="862">
        <f>_xlfn.IFERROR(AR87/AR64,0)*1000</f>
        <v>0</v>
      </c>
      <c r="AS83" s="87"/>
      <c r="AT83" s="87"/>
      <c r="AU83" s="862">
        <f>_xlfn.IFERROR(AU87/AU64,0)*1000</f>
        <v>0</v>
      </c>
      <c r="AV83" s="87"/>
      <c r="AW83" s="87"/>
      <c r="AX83" s="862">
        <f>_xlfn.IFERROR(AX87/AX64,0)*1000</f>
        <v>0</v>
      </c>
      <c r="AY83" s="87"/>
      <c r="AZ83" s="87"/>
      <c r="BA83" s="862">
        <f>_xlfn.IFERROR(BA87/BA64,0)*1000</f>
        <v>0</v>
      </c>
      <c r="BB83" s="87"/>
      <c r="BC83" s="87"/>
      <c r="BD83" s="862">
        <f>_xlfn.IFERROR(BD87/BD64,0)*1000</f>
        <v>0</v>
      </c>
      <c r="BE83" s="87"/>
      <c r="BF83" s="87"/>
      <c r="BG83" s="862">
        <f>_xlfn.IFERROR(BG87/BG64,0)*1000</f>
        <v>0</v>
      </c>
      <c r="BH83" s="87"/>
      <c r="BI83" s="87"/>
      <c r="BJ83" s="862">
        <f>_xlfn.IFERROR(BJ87/BJ64,0)*1000</f>
        <v>0</v>
      </c>
      <c r="BK83" s="87"/>
      <c r="BL83" s="87"/>
      <c r="BM83" s="862">
        <f>_xlfn.IFERROR(BM87/BM64,0)*1000</f>
        <v>0</v>
      </c>
      <c r="BN83" s="87"/>
      <c r="BO83" s="87"/>
      <c r="BP83" s="862">
        <f>_xlfn.IFERROR(BP87/BP64,0)*1000</f>
        <v>0</v>
      </c>
      <c r="BQ83" s="1772"/>
      <c r="BR83" s="1772"/>
      <c r="BS83" s="862">
        <f>_xlfn.IFERROR(BS87/BS64,0)*1000</f>
        <v>0</v>
      </c>
      <c r="BT83" s="87"/>
      <c r="BU83" s="87"/>
      <c r="BV83" s="862">
        <f>_xlfn.IFERROR(BV87/BV64,0)*1000</f>
        <v>0</v>
      </c>
      <c r="BW83" s="87"/>
      <c r="BX83" s="87"/>
      <c r="BY83" s="862">
        <f>_xlfn.IFERROR(BY87/BY64,0)*1000</f>
        <v>0</v>
      </c>
      <c r="BZ83" s="87"/>
      <c r="CA83" s="87"/>
      <c r="CB83" s="862">
        <f>_xlfn.IFERROR(CB87/CB64,0)*1000</f>
        <v>0</v>
      </c>
      <c r="CC83" s="87"/>
      <c r="CD83" s="87"/>
      <c r="CE83" s="862">
        <f>_xlfn.IFERROR(CE87/CE64,0)*1000</f>
        <v>0</v>
      </c>
      <c r="CF83" s="87"/>
      <c r="CG83" s="87"/>
      <c r="CH83" s="862">
        <f>_xlfn.IFERROR(CH87/CH64,0)*1000</f>
        <v>0</v>
      </c>
      <c r="CI83" s="87"/>
      <c r="CJ83" s="87"/>
      <c r="CK83" s="862">
        <f>_xlfn.IFERROR(CK87/CK64,0)*1000</f>
        <v>0</v>
      </c>
      <c r="CL83" s="87"/>
      <c r="CM83" s="87"/>
      <c r="CN83" s="862">
        <f>_xlfn.IFERROR(CN87/CN64,0)*1000</f>
        <v>0</v>
      </c>
      <c r="CO83" s="87"/>
      <c r="CP83" s="87"/>
      <c r="CQ83" s="862">
        <f>_xlfn.IFERROR(CQ87/CQ64,0)*1000</f>
        <v>0</v>
      </c>
      <c r="CR83" s="87"/>
      <c r="CS83" s="87"/>
      <c r="CT83" s="73"/>
      <c r="CW83" s="1173" t="s">
        <v>822</v>
      </c>
      <c r="CX83" s="1178" t="s">
        <v>792</v>
      </c>
      <c r="CY83" s="1182" cm="1" t="str">
        <f t="array" ref="CY83:CY83">AE83</f>
        <v>0</v>
      </c>
      <c r="CZ83" s="1182" cm="1" t="str">
        <f t="array" ref="CZ83:CZ83">AF83</f>
        <v>0</v>
      </c>
    </row>
    <row customHeight="1" ht="15" hidden="1">
      <c r="E84" s="797">
        <v>0</v>
      </c>
      <c r="F84" s="922" cm="1" t="str">
        <f t="array" ref="F84:F84">OFFSET(G84,-1,-1)</f>
        <v>0</v>
      </c>
      <c r="L84" s="922" cm="1" t="str">
        <f t="array" ref="L84:L84">OFFSET(M84,-1,-1)</f>
        <v>false</v>
      </c>
      <c r="S84" s="159" cm="1" t="str">
        <f t="array" ref="S84:S84">OFFSET(T84,-1,-1)</f>
        <v>false</v>
      </c>
      <c r="U84" s="819">
        <f>AND(S84,IF(ISBLANK(T84),TRUE,T84))</f>
        <v>0</v>
      </c>
      <c r="X84" s="973" t="str">
        <f>"{                  
         funcDyn: 'msg1',
         blok: 'blok_2',
         wsCross: 'Топливо 4.4',
         linkFormula: 'AE-AE#AF-AF',
         levelDyn: "&amp;Y28&amp;"
}"</f>
        <v>{                  
         funcDyn: 'msg1',
         blok: 'blok_2',
         wsCross: 'Топливо 4.4',
         linkFormula: 'AE-AE#AF-AF',
         levelDyn: 0
}</v>
      </c>
      <c r="AB84" s="1828"/>
      <c r="AD84" s="1805"/>
      <c r="AE84" s="975" t="s">
        <v>236</v>
      </c>
      <c r="AF84" s="1807"/>
      <c r="AG84" s="1821"/>
      <c r="AH84" s="1810"/>
      <c r="AI84" s="1811"/>
      <c r="AJ84" s="1811"/>
      <c r="AK84" s="1811"/>
      <c r="AL84" s="1811"/>
      <c r="AM84" s="1811"/>
      <c r="AN84" s="1811"/>
      <c r="AO84" s="1811"/>
      <c r="AP84" s="1811"/>
      <c r="AQ84" s="1811"/>
      <c r="AR84" s="1811"/>
      <c r="AS84" s="1811"/>
      <c r="AT84" s="1811"/>
      <c r="AU84" s="1811"/>
      <c r="AV84" s="1811"/>
      <c r="AW84" s="1811"/>
      <c r="AX84" s="1811"/>
      <c r="AY84" s="1811"/>
      <c r="AZ84" s="1811"/>
      <c r="BA84" s="1811"/>
      <c r="BB84" s="1811"/>
      <c r="BC84" s="1811"/>
      <c r="BD84" s="1811"/>
      <c r="BE84" s="1811"/>
      <c r="BF84" s="1811"/>
      <c r="BG84" s="1811"/>
      <c r="BH84" s="1811"/>
      <c r="BI84" s="1811"/>
      <c r="BJ84" s="1811"/>
      <c r="BK84" s="1811"/>
      <c r="BL84" s="1811"/>
      <c r="BM84" s="1811"/>
      <c r="BN84" s="1811"/>
      <c r="BO84" s="1811"/>
      <c r="BP84" s="1811"/>
      <c r="BQ84" s="1811"/>
      <c r="BR84" s="1811"/>
      <c r="BS84" s="1811"/>
      <c r="BT84" s="1811"/>
      <c r="BU84" s="1811"/>
      <c r="BV84" s="1811"/>
      <c r="BW84" s="1811"/>
      <c r="BX84" s="1811"/>
      <c r="BY84" s="1811"/>
      <c r="BZ84" s="1811"/>
      <c r="CA84" s="1811"/>
      <c r="CB84" s="1811"/>
      <c r="CC84" s="1811"/>
      <c r="CD84" s="1811"/>
      <c r="CE84" s="1811"/>
      <c r="CF84" s="1811"/>
      <c r="CG84" s="1811"/>
      <c r="CH84" s="1811"/>
      <c r="CI84" s="1811"/>
      <c r="CJ84" s="1811"/>
      <c r="CK84" s="1811"/>
      <c r="CL84" s="1811"/>
      <c r="CM84" s="1811"/>
      <c r="CN84" s="1811"/>
      <c r="CO84" s="1811"/>
      <c r="CP84" s="1811"/>
      <c r="CQ84" s="1811"/>
      <c r="CR84" s="1811"/>
      <c r="CS84" s="1811"/>
      <c r="CT84" s="91"/>
      <c r="CW84" s="1173" t="str">
        <f>IF(AND(ISNUMBER(VALUE(TRIM(SUBSTITUTE(AD84,".","")))),TRIM(SUBSTITUTE(AD84,".",""))&lt;&gt;""),"P"&amp;SUBSTITUTE(AD84,".",""),"")</f>
        <v/>
      </c>
    </row>
    <row customHeight="1" ht="16.672500000000003" hidden="1">
      <c r="E85" s="797">
        <v>17.1</v>
      </c>
      <c r="F85" s="922" cm="1" t="str">
        <f t="array" ref="F85:F85">OFFSET(G85,-1,-1)</f>
        <v>0</v>
      </c>
      <c r="L85" s="922" cm="1" t="str">
        <f t="array" ref="L85:L85">OFFSET(M85,-1,-1)</f>
        <v>false</v>
      </c>
      <c r="S85" s="159" cm="1" t="str">
        <f t="array" ref="S85:S85">OFFSET(T85,-1,-1)</f>
        <v>false</v>
      </c>
      <c r="U85" s="819">
        <f>AND(S85,IF(ISBLANK(T85),TRUE,T85))</f>
        <v>0</v>
      </c>
      <c r="AB85" s="1828"/>
      <c r="AD85" s="173">
        <v>28</v>
      </c>
      <c r="AE85" s="1497" t="s">
        <v>824</v>
      </c>
      <c r="AF85" s="1826"/>
      <c r="AG85" s="859" t="s">
        <v>810</v>
      </c>
      <c r="AH85" s="860">
        <f>SUM(AH87:AH88)</f>
        <v>0</v>
      </c>
      <c r="AI85" s="860">
        <f>SUM(AI87:AI88)</f>
        <v>0</v>
      </c>
      <c r="AJ85" s="860">
        <f>SUM(AJ87:AJ88)</f>
        <v>0</v>
      </c>
      <c r="AK85" s="860">
        <f>SUM(AK87:AK88)</f>
        <v>0</v>
      </c>
      <c r="AL85" s="860">
        <f>SUM(AL87:AL88)</f>
        <v>0</v>
      </c>
      <c r="AM85" s="860">
        <f>SUM(AM87:AM88)</f>
        <v>0</v>
      </c>
      <c r="AN85" s="860">
        <f>SUM(AN87:AN88)</f>
        <v>0</v>
      </c>
      <c r="AO85" s="860">
        <f>SUM(AO87:AO88)</f>
        <v>0</v>
      </c>
      <c r="AP85" s="860">
        <f>SUM(AP87:AP88)</f>
        <v>0</v>
      </c>
      <c r="AQ85" s="860">
        <f>SUM(AQ87:AQ88)</f>
        <v>0</v>
      </c>
      <c r="AR85" s="860">
        <f>SUM(AR87:AR88)</f>
        <v>0</v>
      </c>
      <c r="AS85" s="860">
        <f>SUM(AS87:AS88)</f>
        <v>0</v>
      </c>
      <c r="AT85" s="860">
        <f>SUM(AT87:AT88)</f>
        <v>0</v>
      </c>
      <c r="AU85" s="860">
        <f>SUM(AU87:AU88)</f>
        <v>0</v>
      </c>
      <c r="AV85" s="860">
        <f>SUM(AV87:AV88)</f>
        <v>0</v>
      </c>
      <c r="AW85" s="860">
        <f>SUM(AW87:AW88)</f>
        <v>0</v>
      </c>
      <c r="AX85" s="860">
        <f>SUM(AX87:AX88)</f>
        <v>0</v>
      </c>
      <c r="AY85" s="860">
        <f>SUM(AY87:AY88)</f>
        <v>0</v>
      </c>
      <c r="AZ85" s="860">
        <f>SUM(AZ87:AZ88)</f>
        <v>0</v>
      </c>
      <c r="BA85" s="860">
        <f>SUM(BA87:BA88)</f>
        <v>0</v>
      </c>
      <c r="BB85" s="860">
        <f>SUM(BB87:BB88)</f>
        <v>0</v>
      </c>
      <c r="BC85" s="860">
        <f>SUM(BC87:BC88)</f>
        <v>0</v>
      </c>
      <c r="BD85" s="860">
        <f>SUM(BD87:BD88)</f>
        <v>0</v>
      </c>
      <c r="BE85" s="860">
        <f>SUM(BE87:BE88)</f>
        <v>0</v>
      </c>
      <c r="BF85" s="860">
        <f>SUM(BF87:BF88)</f>
        <v>0</v>
      </c>
      <c r="BG85" s="860">
        <f>SUM(BG87:BG88)</f>
        <v>0</v>
      </c>
      <c r="BH85" s="860">
        <f>SUM(BH87:BH88)</f>
        <v>0</v>
      </c>
      <c r="BI85" s="860">
        <f>SUM(BI87:BI88)</f>
        <v>0</v>
      </c>
      <c r="BJ85" s="860">
        <f>SUM(BJ87:BJ88)</f>
        <v>0</v>
      </c>
      <c r="BK85" s="860">
        <f>SUM(BK87:BK88)</f>
        <v>0</v>
      </c>
      <c r="BL85" s="860">
        <f>SUM(BL87:BL88)</f>
        <v>0</v>
      </c>
      <c r="BM85" s="860">
        <f>SUM(BM87:BM88)</f>
        <v>0</v>
      </c>
      <c r="BN85" s="860">
        <f>SUM(BN87:BN88)</f>
        <v>0</v>
      </c>
      <c r="BO85" s="860">
        <f>SUM(BO87:BO88)</f>
        <v>0</v>
      </c>
      <c r="BP85" s="860">
        <f>SUM(BP87:BP88)</f>
        <v>0</v>
      </c>
      <c r="BQ85" s="860">
        <f>SUM(BQ87:BQ88)</f>
        <v>0</v>
      </c>
      <c r="BR85" s="860">
        <f>SUM(BR87:BR88)</f>
        <v>0</v>
      </c>
      <c r="BS85" s="860">
        <f>SUM(BS87:BS88)</f>
        <v>0</v>
      </c>
      <c r="BT85" s="860">
        <f>SUM(BT87:BT88)</f>
        <v>0</v>
      </c>
      <c r="BU85" s="860">
        <f>SUM(BU87:BU88)</f>
        <v>0</v>
      </c>
      <c r="BV85" s="860">
        <f>SUM(BV87:BV88)</f>
        <v>0</v>
      </c>
      <c r="BW85" s="860">
        <f>SUM(BW87:BW88)</f>
        <v>0</v>
      </c>
      <c r="BX85" s="860">
        <f>SUM(BX87:BX88)</f>
        <v>0</v>
      </c>
      <c r="BY85" s="860">
        <f>SUM(BY87:BY88)</f>
        <v>0</v>
      </c>
      <c r="BZ85" s="860">
        <f>SUM(BZ87:BZ88)</f>
        <v>0</v>
      </c>
      <c r="CA85" s="860">
        <f>SUM(CA87:CA88)</f>
        <v>0</v>
      </c>
      <c r="CB85" s="860">
        <f>SUM(CB87:CB88)</f>
        <v>0</v>
      </c>
      <c r="CC85" s="860">
        <f>SUM(CC87:CC88)</f>
        <v>0</v>
      </c>
      <c r="CD85" s="860">
        <f>SUM(CD87:CD88)</f>
        <v>0</v>
      </c>
      <c r="CE85" s="860">
        <f>SUM(CE87:CE88)</f>
        <v>0</v>
      </c>
      <c r="CF85" s="860">
        <f>SUM(CF87:CF88)</f>
        <v>0</v>
      </c>
      <c r="CG85" s="860">
        <f>SUM(CG87:CG88)</f>
        <v>0</v>
      </c>
      <c r="CH85" s="860">
        <f>SUM(CH87:CH88)</f>
        <v>0</v>
      </c>
      <c r="CI85" s="860">
        <f>SUM(CI87:CI88)</f>
        <v>0</v>
      </c>
      <c r="CJ85" s="860">
        <f>SUM(CJ87:CJ88)</f>
        <v>0</v>
      </c>
      <c r="CK85" s="860">
        <f>SUM(CK87:CK88)</f>
        <v>0</v>
      </c>
      <c r="CL85" s="860">
        <f>SUM(CL87:CL88)</f>
        <v>0</v>
      </c>
      <c r="CM85" s="860">
        <f>SUM(CM87:CM88)</f>
        <v>0</v>
      </c>
      <c r="CN85" s="860">
        <f>SUM(CN87:CN88)</f>
        <v>0</v>
      </c>
      <c r="CO85" s="860">
        <f>SUM(CO87:CO88)</f>
        <v>0</v>
      </c>
      <c r="CP85" s="860">
        <f>SUM(CP87:CP88)</f>
        <v>0</v>
      </c>
      <c r="CQ85" s="860">
        <f>SUM(CQ87:CQ88)</f>
        <v>0</v>
      </c>
      <c r="CR85" s="860">
        <f>SUM(CR87:CR88)</f>
        <v>0</v>
      </c>
      <c r="CS85" s="860">
        <f>SUM(CS87:CS88)</f>
        <v>0</v>
      </c>
      <c r="CT85" s="73"/>
      <c r="CW85" s="1173" t="s">
        <v>825</v>
      </c>
    </row>
    <row customHeight="1" ht="16.672500000000003" hidden="1">
      <c r="E86" s="797">
        <v>17.1</v>
      </c>
      <c r="F86" s="922" cm="1" t="str">
        <f t="array" ref="F86:F86">OFFSET(G86,-1,-1)</f>
        <v>0</v>
      </c>
      <c r="L86" s="922" cm="1" t="str">
        <f t="array" ref="L86:L86">OFFSET(M86,-1,-1)</f>
        <v>false</v>
      </c>
      <c r="R86" s="922" t="s">
        <v>730</v>
      </c>
      <c r="S86" s="159" cm="1" t="str">
        <f t="array" ref="S86:S86">OFFSET(T86,-1,-1)</f>
        <v>false</v>
      </c>
      <c r="T86" s="922" t="b">
        <v>0</v>
      </c>
      <c r="U86" s="819">
        <f>AND(S86,IF(ISBLANK(T86),TRUE,T86))</f>
        <v>0</v>
      </c>
      <c r="AB86" s="1828"/>
      <c r="AD86" s="160" t="str">
        <f>AD85&amp;".0"</f>
        <v>28.0</v>
      </c>
      <c r="AE86" s="1830" t="s">
        <v>741</v>
      </c>
      <c r="AF86" s="1831"/>
      <c r="AG86" s="859" t="s">
        <v>810</v>
      </c>
      <c r="AH86" s="86">
        <f>AH$52*AH85</f>
        <v>0</v>
      </c>
      <c r="AI86" s="87">
        <f>AI$52*AI85</f>
        <v>0</v>
      </c>
      <c r="AJ86" s="87">
        <f>AJ$52*AJ85</f>
        <v>0</v>
      </c>
      <c r="AK86" s="87">
        <f>AK$52*AK85</f>
        <v>0</v>
      </c>
      <c r="AL86" s="862">
        <f>AM86+AN86</f>
        <v>0</v>
      </c>
      <c r="AM86" s="87">
        <f>AM$52*AM85</f>
        <v>0</v>
      </c>
      <c r="AN86" s="87">
        <f>AN$52*AN85</f>
        <v>0</v>
      </c>
      <c r="AO86" s="862">
        <f>AP86+AQ86</f>
        <v>0</v>
      </c>
      <c r="AP86" s="87">
        <f>AP$52*AP85</f>
        <v>0</v>
      </c>
      <c r="AQ86" s="87">
        <f>AQ$52*AQ85</f>
        <v>0</v>
      </c>
      <c r="AR86" s="862">
        <f>AS86+AT86</f>
        <v>0</v>
      </c>
      <c r="AS86" s="87">
        <f>AS$52*AS85</f>
        <v>0</v>
      </c>
      <c r="AT86" s="87">
        <f>AT$52*AT85</f>
        <v>0</v>
      </c>
      <c r="AU86" s="862">
        <f>AV86+AW86</f>
        <v>0</v>
      </c>
      <c r="AV86" s="87">
        <f>AV$52*AV85</f>
        <v>0</v>
      </c>
      <c r="AW86" s="87">
        <f>AW$52*AW85</f>
        <v>0</v>
      </c>
      <c r="AX86" s="862">
        <f>AY86+AZ86</f>
        <v>0</v>
      </c>
      <c r="AY86" s="87">
        <f>AY$52*AY85</f>
        <v>0</v>
      </c>
      <c r="AZ86" s="87">
        <f>AZ$52*AZ85</f>
        <v>0</v>
      </c>
      <c r="BA86" s="862">
        <f>BB86+BC86</f>
        <v>0</v>
      </c>
      <c r="BB86" s="87">
        <f>BB$52*BB85</f>
        <v>0</v>
      </c>
      <c r="BC86" s="87">
        <f>BC$52*BC85</f>
        <v>0</v>
      </c>
      <c r="BD86" s="862">
        <f>BE86+BF86</f>
        <v>0</v>
      </c>
      <c r="BE86" s="87">
        <f>BE$52*BE85</f>
        <v>0</v>
      </c>
      <c r="BF86" s="87">
        <f>BF$52*BF85</f>
        <v>0</v>
      </c>
      <c r="BG86" s="862">
        <f>BH86+BI86</f>
        <v>0</v>
      </c>
      <c r="BH86" s="87">
        <f>BH$52*BH85</f>
        <v>0</v>
      </c>
      <c r="BI86" s="87">
        <f>BI$52*BI85</f>
        <v>0</v>
      </c>
      <c r="BJ86" s="862">
        <f>BK86+BL86</f>
        <v>0</v>
      </c>
      <c r="BK86" s="87">
        <f>BK$52*BK85</f>
        <v>0</v>
      </c>
      <c r="BL86" s="87">
        <f>BL$52*BL85</f>
        <v>0</v>
      </c>
      <c r="BM86" s="862">
        <f>BN86+BO86</f>
        <v>0</v>
      </c>
      <c r="BN86" s="87">
        <f>BN$52*BN85</f>
        <v>0</v>
      </c>
      <c r="BO86" s="87">
        <f>BO$52*BO85</f>
        <v>0</v>
      </c>
      <c r="BP86" s="862">
        <f>BQ86+BR86</f>
        <v>0</v>
      </c>
      <c r="BQ86" s="1772">
        <f>BQ$52*BQ85</f>
        <v>0</v>
      </c>
      <c r="BR86" s="1772">
        <f>BR$52*BR85</f>
        <v>0</v>
      </c>
      <c r="BS86" s="862">
        <f>BT86+BU86</f>
        <v>0</v>
      </c>
      <c r="BT86" s="87">
        <f>BT$52*BT85</f>
        <v>0</v>
      </c>
      <c r="BU86" s="87">
        <f>BU$52*BU85</f>
        <v>0</v>
      </c>
      <c r="BV86" s="862">
        <f>BW86+BX86</f>
        <v>0</v>
      </c>
      <c r="BW86" s="87">
        <f>BW$52*BW85</f>
        <v>0</v>
      </c>
      <c r="BX86" s="87">
        <f>BX$52*BX85</f>
        <v>0</v>
      </c>
      <c r="BY86" s="862">
        <f>BZ86+CA86</f>
        <v>0</v>
      </c>
      <c r="BZ86" s="87">
        <f>BZ$52*BZ85</f>
        <v>0</v>
      </c>
      <c r="CA86" s="87">
        <f>CA$52*CA85</f>
        <v>0</v>
      </c>
      <c r="CB86" s="862">
        <f>CC86+CD86</f>
        <v>0</v>
      </c>
      <c r="CC86" s="87">
        <f>CC$52*CC85</f>
        <v>0</v>
      </c>
      <c r="CD86" s="87">
        <f>CD$52*CD85</f>
        <v>0</v>
      </c>
      <c r="CE86" s="862">
        <f>CF86+CG86</f>
        <v>0</v>
      </c>
      <c r="CF86" s="87">
        <f>CF$52*CF85</f>
        <v>0</v>
      </c>
      <c r="CG86" s="87">
        <f>CG$52*CG85</f>
        <v>0</v>
      </c>
      <c r="CH86" s="862">
        <f>CI86+CJ86</f>
        <v>0</v>
      </c>
      <c r="CI86" s="87">
        <f>CI$52*CI85</f>
        <v>0</v>
      </c>
      <c r="CJ86" s="87">
        <f>CJ$52*CJ85</f>
        <v>0</v>
      </c>
      <c r="CK86" s="862">
        <f>CL86+CM86</f>
        <v>0</v>
      </c>
      <c r="CL86" s="87">
        <f>CL$52*CL85</f>
        <v>0</v>
      </c>
      <c r="CM86" s="87">
        <f>CM$52*CM85</f>
        <v>0</v>
      </c>
      <c r="CN86" s="862">
        <f>CO86+CP86</f>
        <v>0</v>
      </c>
      <c r="CO86" s="87">
        <f>CO$52*CO85</f>
        <v>0</v>
      </c>
      <c r="CP86" s="87">
        <f>CP$52*CP85</f>
        <v>0</v>
      </c>
      <c r="CQ86" s="862">
        <f>CR86+CS86</f>
        <v>0</v>
      </c>
      <c r="CR86" s="87">
        <f>CR$52*CR85</f>
        <v>0</v>
      </c>
      <c r="CS86" s="87">
        <f>CS$52*CS85</f>
        <v>0</v>
      </c>
      <c r="CT86" s="73"/>
      <c r="CW86" s="1173" t="s">
        <v>826</v>
      </c>
    </row>
    <row customHeight="1" ht="16.672500000000003" hidden="1">
      <c r="E87" s="797">
        <v>17.1</v>
      </c>
      <c r="F87" s="922" cm="1" t="str">
        <f t="array" ref="F87:F87">OFFSET(G87,-1,-1)</f>
        <v>0</v>
      </c>
      <c r="L87" s="922" cm="1" t="str">
        <f t="array" ref="L87:L87">OFFSET(M87,-1,-1)</f>
        <v>false</v>
      </c>
      <c r="S87" s="159" cm="1" t="str">
        <f t="array" ref="S87:S87">OFFSET(T87,-1,-1)</f>
        <v>false</v>
      </c>
      <c r="T87" s="159">
        <f>AD87&lt;&gt;"28.0"</f>
        <v>0</v>
      </c>
      <c r="U87" s="819">
        <f>AND(S87,IF(ISBLANK(T87),TRUE,T87))</f>
        <v>0</v>
      </c>
      <c r="X87" s="159" t="s">
        <v>234</v>
      </c>
      <c r="AB87" s="1828"/>
      <c r="AD87" s="160" t="s">
        <v>827</v>
      </c>
      <c r="AE87" s="1802"/>
      <c r="AF87" s="1803"/>
      <c r="AG87" s="859" t="s">
        <v>810</v>
      </c>
      <c r="AH87" s="86"/>
      <c r="AI87" s="87"/>
      <c r="AJ87" s="87"/>
      <c r="AK87" s="87"/>
      <c r="AL87" s="862">
        <f>AM87+AN87</f>
        <v>0</v>
      </c>
      <c r="AM87" s="87">
        <f>AM83*AM64/1000</f>
        <v>0</v>
      </c>
      <c r="AN87" s="87">
        <f>AN83*AN64/1000</f>
        <v>0</v>
      </c>
      <c r="AO87" s="862">
        <f>AP87+AQ87</f>
        <v>0</v>
      </c>
      <c r="AP87" s="87">
        <f>AP83*AP64/1000</f>
        <v>0</v>
      </c>
      <c r="AQ87" s="87">
        <f>AQ83*AQ64/1000</f>
        <v>0</v>
      </c>
      <c r="AR87" s="862">
        <f>AS87+AT87</f>
        <v>0</v>
      </c>
      <c r="AS87" s="87">
        <f>AS83*AS64/1000</f>
        <v>0</v>
      </c>
      <c r="AT87" s="87">
        <f>AT83*AT64/1000</f>
        <v>0</v>
      </c>
      <c r="AU87" s="862">
        <f>AV87+AW87</f>
        <v>0</v>
      </c>
      <c r="AV87" s="87">
        <f>AV83*AV64/1000</f>
        <v>0</v>
      </c>
      <c r="AW87" s="87">
        <f>AW83*AW64/1000</f>
        <v>0</v>
      </c>
      <c r="AX87" s="862">
        <f>AY87+AZ87</f>
        <v>0</v>
      </c>
      <c r="AY87" s="87">
        <f>AY83*AY64/1000</f>
        <v>0</v>
      </c>
      <c r="AZ87" s="87">
        <f>AZ83*AZ64/1000</f>
        <v>0</v>
      </c>
      <c r="BA87" s="862">
        <f>BB87+BC87</f>
        <v>0</v>
      </c>
      <c r="BB87" s="87">
        <f>BB83*BB64/1000</f>
        <v>0</v>
      </c>
      <c r="BC87" s="87">
        <f>BC83*BC64/1000</f>
        <v>0</v>
      </c>
      <c r="BD87" s="862">
        <f>BE87+BF87</f>
        <v>0</v>
      </c>
      <c r="BE87" s="87">
        <f>BE83*BE64/1000</f>
        <v>0</v>
      </c>
      <c r="BF87" s="87">
        <f>BF83*BF64/1000</f>
        <v>0</v>
      </c>
      <c r="BG87" s="862">
        <f>BH87+BI87</f>
        <v>0</v>
      </c>
      <c r="BH87" s="87">
        <f>BH83*BH64/1000</f>
        <v>0</v>
      </c>
      <c r="BI87" s="87">
        <f>BI83*BI64/1000</f>
        <v>0</v>
      </c>
      <c r="BJ87" s="862">
        <f>BK87+BL87</f>
        <v>0</v>
      </c>
      <c r="BK87" s="87">
        <f>BK83*BK64/1000</f>
        <v>0</v>
      </c>
      <c r="BL87" s="87">
        <f>BL83*BL64/1000</f>
        <v>0</v>
      </c>
      <c r="BM87" s="862">
        <f>BN87+BO87</f>
        <v>0</v>
      </c>
      <c r="BN87" s="87">
        <f>BN83*BN64/1000</f>
        <v>0</v>
      </c>
      <c r="BO87" s="87">
        <f>BO83*BO64/1000</f>
        <v>0</v>
      </c>
      <c r="BP87" s="862">
        <f>BQ87+BR87</f>
        <v>0</v>
      </c>
      <c r="BQ87" s="1772">
        <f>BQ83*BQ64/1000</f>
        <v>0</v>
      </c>
      <c r="BR87" s="1772">
        <f>BR83*BR64/1000</f>
        <v>0</v>
      </c>
      <c r="BS87" s="862">
        <f>BT87+BU87</f>
        <v>0</v>
      </c>
      <c r="BT87" s="87">
        <f>BT83*BT64/1000</f>
        <v>0</v>
      </c>
      <c r="BU87" s="87">
        <f>BU83*BU64/1000</f>
        <v>0</v>
      </c>
      <c r="BV87" s="862">
        <f>BW87+BX87</f>
        <v>0</v>
      </c>
      <c r="BW87" s="87">
        <f>BW83*BW64/1000</f>
        <v>0</v>
      </c>
      <c r="BX87" s="87">
        <f>BX83*BX64/1000</f>
        <v>0</v>
      </c>
      <c r="BY87" s="862">
        <f>BZ87+CA87</f>
        <v>0</v>
      </c>
      <c r="BZ87" s="87">
        <f>BZ83*BZ64/1000</f>
        <v>0</v>
      </c>
      <c r="CA87" s="87">
        <f>CA83*CA64/1000</f>
        <v>0</v>
      </c>
      <c r="CB87" s="862">
        <f>CC87+CD87</f>
        <v>0</v>
      </c>
      <c r="CC87" s="87">
        <f>CC83*CC64/1000</f>
        <v>0</v>
      </c>
      <c r="CD87" s="87">
        <f>CD83*CD64/1000</f>
        <v>0</v>
      </c>
      <c r="CE87" s="862">
        <f>CF87+CG87</f>
        <v>0</v>
      </c>
      <c r="CF87" s="87">
        <f>CF83*CF64/1000</f>
        <v>0</v>
      </c>
      <c r="CG87" s="87">
        <f>CG83*CG64/1000</f>
        <v>0</v>
      </c>
      <c r="CH87" s="862">
        <f>CI87+CJ87</f>
        <v>0</v>
      </c>
      <c r="CI87" s="87">
        <f>CI83*CI64/1000</f>
        <v>0</v>
      </c>
      <c r="CJ87" s="87">
        <f>CJ83*CJ64/1000</f>
        <v>0</v>
      </c>
      <c r="CK87" s="862">
        <f>CL87+CM87</f>
        <v>0</v>
      </c>
      <c r="CL87" s="87">
        <f>CL83*CL64/1000</f>
        <v>0</v>
      </c>
      <c r="CM87" s="87">
        <f>CM83*CM64/1000</f>
        <v>0</v>
      </c>
      <c r="CN87" s="862">
        <f>CO87+CP87</f>
        <v>0</v>
      </c>
      <c r="CO87" s="87">
        <f>CO83*CO64/1000</f>
        <v>0</v>
      </c>
      <c r="CP87" s="87">
        <f>CP83*CP64/1000</f>
        <v>0</v>
      </c>
      <c r="CQ87" s="862">
        <f>CR87+CS87</f>
        <v>0</v>
      </c>
      <c r="CR87" s="87">
        <f>CR83*CR64/1000</f>
        <v>0</v>
      </c>
      <c r="CS87" s="87">
        <f>CS83*CS64/1000</f>
        <v>0</v>
      </c>
      <c r="CT87" s="73"/>
      <c r="CW87" s="1173" t="s">
        <v>826</v>
      </c>
      <c r="CX87" s="1178" t="s">
        <v>792</v>
      </c>
      <c r="CY87" s="1182" cm="1" t="str">
        <f t="array" ref="CY87:CY87">AE87</f>
        <v>0</v>
      </c>
      <c r="CZ87" s="1182" cm="1" t="str">
        <f t="array" ref="CZ87:CZ87">AF87</f>
        <v>0</v>
      </c>
    </row>
    <row customHeight="1" ht="15" hidden="1">
      <c r="E88" s="797">
        <v>0</v>
      </c>
      <c r="F88" s="922" cm="1" t="str">
        <f t="array" ref="F88:F88">OFFSET(G88,-1,-1)</f>
        <v>0</v>
      </c>
      <c r="L88" s="922" cm="1" t="str">
        <f t="array" ref="L88:L88">OFFSET(M88,-1,-1)</f>
        <v>false</v>
      </c>
      <c r="S88" s="159" cm="1" t="str">
        <f t="array" ref="S88:S88">OFFSET(T88,-1,-1)</f>
        <v>false</v>
      </c>
      <c r="U88" s="819">
        <f>AND(S88,IF(ISBLANK(T88),TRUE,T88))</f>
        <v>0</v>
      </c>
      <c r="X88" s="973" t="str">
        <f>"{                  
         funcDyn: 'msg1',
         blok: 'blok_2',
         wsCross: 'Топливо 4.4',
         linkFormula: 'AE-AE#AF-AF',
         levelDyn: "&amp;Y28&amp;"
}"</f>
        <v>{                  
         funcDyn: 'msg1',
         blok: 'blok_2',
         wsCross: 'Топливо 4.4',
         linkFormula: 'AE-AE#AF-AF',
         levelDyn: 0
}</v>
      </c>
      <c r="AB88" s="1828"/>
      <c r="AD88" s="1805"/>
      <c r="AE88" s="975" t="s">
        <v>236</v>
      </c>
      <c r="AF88" s="1807"/>
      <c r="AG88" s="1821"/>
      <c r="AH88" s="1810"/>
      <c r="AI88" s="1811"/>
      <c r="AJ88" s="1811"/>
      <c r="AK88" s="1811"/>
      <c r="AL88" s="1811"/>
      <c r="AM88" s="1811"/>
      <c r="AN88" s="1811"/>
      <c r="AO88" s="1811"/>
      <c r="AP88" s="1811"/>
      <c r="AQ88" s="1811"/>
      <c r="AR88" s="1811"/>
      <c r="AS88" s="1811"/>
      <c r="AT88" s="1811"/>
      <c r="AU88" s="1811"/>
      <c r="AV88" s="1811"/>
      <c r="AW88" s="1811"/>
      <c r="AX88" s="1811"/>
      <c r="AY88" s="1811"/>
      <c r="AZ88" s="1811"/>
      <c r="BA88" s="1811"/>
      <c r="BB88" s="1811"/>
      <c r="BC88" s="1811"/>
      <c r="BD88" s="1811"/>
      <c r="BE88" s="1811"/>
      <c r="BF88" s="1811"/>
      <c r="BG88" s="1811"/>
      <c r="BH88" s="1811"/>
      <c r="BI88" s="1811"/>
      <c r="BJ88" s="1811"/>
      <c r="BK88" s="1811"/>
      <c r="BL88" s="1811"/>
      <c r="BM88" s="1811"/>
      <c r="BN88" s="1811"/>
      <c r="BO88" s="1811"/>
      <c r="BP88" s="1811"/>
      <c r="BQ88" s="1811"/>
      <c r="BR88" s="1811"/>
      <c r="BS88" s="1811"/>
      <c r="BT88" s="1811"/>
      <c r="BU88" s="1811"/>
      <c r="BV88" s="1811"/>
      <c r="BW88" s="1811"/>
      <c r="BX88" s="1811"/>
      <c r="BY88" s="1811"/>
      <c r="BZ88" s="1811"/>
      <c r="CA88" s="1811"/>
      <c r="CB88" s="1811"/>
      <c r="CC88" s="1811"/>
      <c r="CD88" s="1811"/>
      <c r="CE88" s="1811"/>
      <c r="CF88" s="1811"/>
      <c r="CG88" s="1811"/>
      <c r="CH88" s="1811"/>
      <c r="CI88" s="1811"/>
      <c r="CJ88" s="1811"/>
      <c r="CK88" s="1811"/>
      <c r="CL88" s="1811"/>
      <c r="CM88" s="1811"/>
      <c r="CN88" s="1811"/>
      <c r="CO88" s="1811"/>
      <c r="CP88" s="1811"/>
      <c r="CQ88" s="1811"/>
      <c r="CR88" s="1811"/>
      <c r="CS88" s="1811"/>
      <c r="CT88" s="91"/>
      <c r="CW88" s="1173" t="str">
        <f>IF(AND(ISNUMBER(VALUE(TRIM(SUBSTITUTE(AD88,".","")))),TRIM(SUBSTITUTE(AD88,".",""))&lt;&gt;""),"P"&amp;SUBSTITUTE(AD88,".",""),"")</f>
        <v/>
      </c>
    </row>
    <row customHeight="1" ht="29.25" hidden="1">
      <c r="E89" s="797">
        <v>30</v>
      </c>
      <c r="F89" s="922" cm="1" t="str">
        <f t="array" ref="F89:F89">OFFSET(G89,-1,-1)</f>
        <v>0</v>
      </c>
      <c r="L89" s="922" cm="1" t="str">
        <f t="array" ref="L89:L89">OFFSET(M89,-1,-1)</f>
        <v>false</v>
      </c>
      <c r="R89" s="922" t="s">
        <v>730</v>
      </c>
      <c r="S89" s="159" cm="1" t="str">
        <f t="array" ref="S89:S89">OFFSET(T89,-1,-1)</f>
        <v>false</v>
      </c>
      <c r="T89" s="159" cm="1" t="str">
        <f t="array" ref="T89:T89">L89</f>
        <v>false</v>
      </c>
      <c r="U89" s="819">
        <f>AND(S89,IF(ISBLANK(T89),TRUE,T89))</f>
        <v>0</v>
      </c>
      <c r="AB89" s="1828"/>
      <c r="AD89" s="173">
        <v>29</v>
      </c>
      <c r="AE89" s="1832" t="s">
        <v>828</v>
      </c>
      <c r="AF89" s="1833"/>
      <c r="AG89" s="859" t="s">
        <v>810</v>
      </c>
      <c r="AH89" s="860">
        <f>SUM(AH90:AH91)</f>
        <v>0</v>
      </c>
      <c r="AI89" s="860">
        <f>SUM(AI90:AI91)</f>
        <v>0</v>
      </c>
      <c r="AJ89" s="860">
        <f>SUM(AJ90:AJ91)</f>
        <v>0</v>
      </c>
      <c r="AK89" s="860">
        <f>SUM(AK90:AK91)</f>
        <v>0</v>
      </c>
      <c r="AL89" s="860">
        <f>SUM(AL90:AL91)</f>
        <v>0</v>
      </c>
      <c r="AM89" s="860">
        <f>SUM(AM90:AM91)</f>
        <v>0</v>
      </c>
      <c r="AN89" s="860">
        <f>SUM(AN90:AN91)</f>
        <v>0</v>
      </c>
      <c r="AO89" s="860">
        <f>SUM(AO90:AO91)</f>
        <v>0</v>
      </c>
      <c r="AP89" s="860">
        <f>SUM(AP90:AP91)</f>
        <v>0</v>
      </c>
      <c r="AQ89" s="860">
        <f>SUM(AQ90:AQ91)</f>
        <v>0</v>
      </c>
      <c r="AR89" s="860">
        <f>SUM(AR90:AR91)</f>
        <v>0</v>
      </c>
      <c r="AS89" s="860">
        <f>SUM(AS90:AS91)</f>
        <v>0</v>
      </c>
      <c r="AT89" s="860">
        <f>SUM(AT90:AT91)</f>
        <v>0</v>
      </c>
      <c r="AU89" s="860">
        <f>SUM(AU90:AU91)</f>
        <v>0</v>
      </c>
      <c r="AV89" s="860">
        <f>SUM(AV90:AV91)</f>
        <v>0</v>
      </c>
      <c r="AW89" s="860">
        <f>SUM(AW90:AW91)</f>
        <v>0</v>
      </c>
      <c r="AX89" s="860">
        <f>SUM(AX90:AX91)</f>
        <v>0</v>
      </c>
      <c r="AY89" s="860">
        <f>SUM(AY90:AY91)</f>
        <v>0</v>
      </c>
      <c r="AZ89" s="860">
        <f>SUM(AZ90:AZ91)</f>
        <v>0</v>
      </c>
      <c r="BA89" s="860">
        <f>SUM(BA90:BA91)</f>
        <v>0</v>
      </c>
      <c r="BB89" s="860">
        <f>SUM(BB90:BB91)</f>
        <v>0</v>
      </c>
      <c r="BC89" s="860">
        <f>SUM(BC90:BC91)</f>
        <v>0</v>
      </c>
      <c r="BD89" s="860">
        <f>SUM(BD90:BD91)</f>
        <v>0</v>
      </c>
      <c r="BE89" s="860">
        <f>SUM(BE90:BE91)</f>
        <v>0</v>
      </c>
      <c r="BF89" s="860">
        <f>SUM(BF90:BF91)</f>
        <v>0</v>
      </c>
      <c r="BG89" s="860">
        <f>SUM(BG90:BG91)</f>
        <v>0</v>
      </c>
      <c r="BH89" s="860">
        <f>SUM(BH90:BH91)</f>
        <v>0</v>
      </c>
      <c r="BI89" s="860">
        <f>SUM(BI90:BI91)</f>
        <v>0</v>
      </c>
      <c r="BJ89" s="860">
        <f>SUM(BJ90:BJ91)</f>
        <v>0</v>
      </c>
      <c r="BK89" s="860">
        <f>SUM(BK90:BK91)</f>
        <v>0</v>
      </c>
      <c r="BL89" s="860">
        <f>SUM(BL90:BL91)</f>
        <v>0</v>
      </c>
      <c r="BM89" s="860">
        <f>SUM(BM90:BM91)</f>
        <v>0</v>
      </c>
      <c r="BN89" s="860">
        <f>SUM(BN90:BN91)</f>
        <v>0</v>
      </c>
      <c r="BO89" s="860">
        <f>SUM(BO90:BO91)</f>
        <v>0</v>
      </c>
      <c r="BP89" s="860">
        <f>SUM(BP90:BP91)</f>
        <v>0</v>
      </c>
      <c r="BQ89" s="860">
        <f>SUM(BQ90:BQ91)</f>
        <v>0</v>
      </c>
      <c r="BR89" s="860">
        <f>SUM(BR90:BR91)</f>
        <v>0</v>
      </c>
      <c r="BS89" s="860">
        <f>SUM(BS90:BS91)</f>
        <v>0</v>
      </c>
      <c r="BT89" s="860">
        <f>SUM(BT90:BT91)</f>
        <v>0</v>
      </c>
      <c r="BU89" s="860">
        <f>SUM(BU90:BU91)</f>
        <v>0</v>
      </c>
      <c r="BV89" s="860">
        <f>SUM(BV90:BV91)</f>
        <v>0</v>
      </c>
      <c r="BW89" s="860">
        <f>SUM(BW90:BW91)</f>
        <v>0</v>
      </c>
      <c r="BX89" s="860">
        <f>SUM(BX90:BX91)</f>
        <v>0</v>
      </c>
      <c r="BY89" s="860">
        <f>SUM(BY90:BY91)</f>
        <v>0</v>
      </c>
      <c r="BZ89" s="860">
        <f>SUM(BZ90:BZ91)</f>
        <v>0</v>
      </c>
      <c r="CA89" s="860">
        <f>SUM(CA90:CA91)</f>
        <v>0</v>
      </c>
      <c r="CB89" s="860">
        <f>SUM(CB90:CB91)</f>
        <v>0</v>
      </c>
      <c r="CC89" s="860">
        <f>SUM(CC90:CC91)</f>
        <v>0</v>
      </c>
      <c r="CD89" s="860">
        <f>SUM(CD90:CD91)</f>
        <v>0</v>
      </c>
      <c r="CE89" s="860">
        <f>SUM(CE90:CE91)</f>
        <v>0</v>
      </c>
      <c r="CF89" s="860">
        <f>SUM(CF90:CF91)</f>
        <v>0</v>
      </c>
      <c r="CG89" s="860">
        <f>SUM(CG90:CG91)</f>
        <v>0</v>
      </c>
      <c r="CH89" s="860">
        <f>SUM(CH90:CH91)</f>
        <v>0</v>
      </c>
      <c r="CI89" s="860">
        <f>SUM(CI90:CI91)</f>
        <v>0</v>
      </c>
      <c r="CJ89" s="860">
        <f>SUM(CJ90:CJ91)</f>
        <v>0</v>
      </c>
      <c r="CK89" s="860">
        <f>SUM(CK90:CK91)</f>
        <v>0</v>
      </c>
      <c r="CL89" s="860">
        <f>SUM(CL90:CL91)</f>
        <v>0</v>
      </c>
      <c r="CM89" s="860">
        <f>SUM(CM90:CM91)</f>
        <v>0</v>
      </c>
      <c r="CN89" s="860">
        <f>SUM(CN90:CN91)</f>
        <v>0</v>
      </c>
      <c r="CO89" s="860">
        <f>SUM(CO90:CO91)</f>
        <v>0</v>
      </c>
      <c r="CP89" s="860">
        <f>SUM(CP90:CP91)</f>
        <v>0</v>
      </c>
      <c r="CQ89" s="860">
        <f>SUM(CQ90:CQ91)</f>
        <v>0</v>
      </c>
      <c r="CR89" s="860">
        <f>SUM(CR90:CR91)</f>
        <v>0</v>
      </c>
      <c r="CS89" s="860">
        <f>SUM(CS90:CS91)</f>
        <v>0</v>
      </c>
      <c r="CT89" s="73"/>
      <c r="CW89" s="1173" t="s">
        <v>829</v>
      </c>
    </row>
    <row customHeight="1" ht="16.672500000000003" hidden="1">
      <c r="E90" s="797">
        <v>17.1</v>
      </c>
      <c r="F90" s="922" cm="1" t="str">
        <f t="array" ref="F90:F90">OFFSET(G90,-1,-1)</f>
        <v>0</v>
      </c>
      <c r="L90" s="922" cm="1" t="str">
        <f t="array" ref="L90:L90">OFFSET(M90,-1,-1)</f>
        <v>false</v>
      </c>
      <c r="R90" s="922" t="s">
        <v>730</v>
      </c>
      <c r="S90" s="159" cm="1" t="str">
        <f t="array" ref="S90:S90">OFFSET(T90,-1,-1)</f>
        <v>false</v>
      </c>
      <c r="T90" s="159">
        <f>AND(L90,AD90&lt;&gt;"29.0")</f>
        <v>0</v>
      </c>
      <c r="U90" s="819">
        <f>AND(S90,IF(ISBLANK(T90),TRUE,T90))</f>
        <v>0</v>
      </c>
      <c r="X90" s="159" t="s">
        <v>234</v>
      </c>
      <c r="AB90" s="1828"/>
      <c r="AD90" s="160" t="s">
        <v>830</v>
      </c>
      <c r="AE90" s="1802"/>
      <c r="AF90" s="1803"/>
      <c r="AG90" s="859" t="s">
        <v>810</v>
      </c>
      <c r="AH90" s="86">
        <f>AH$52*AH87</f>
        <v>0</v>
      </c>
      <c r="AI90" s="87">
        <f>AI$52*AI87</f>
        <v>0</v>
      </c>
      <c r="AJ90" s="87">
        <f>AJ$52*AJ87</f>
        <v>0</v>
      </c>
      <c r="AK90" s="87">
        <f>AK$52*AK87</f>
        <v>0</v>
      </c>
      <c r="AL90" s="862">
        <f>AM90+AN90</f>
        <v>0</v>
      </c>
      <c r="AM90" s="87">
        <f>AM$52*AM87</f>
        <v>0</v>
      </c>
      <c r="AN90" s="87">
        <f>AN$52*AN87</f>
        <v>0</v>
      </c>
      <c r="AO90" s="862">
        <f>AP90+AQ90</f>
        <v>0</v>
      </c>
      <c r="AP90" s="87">
        <f>AP$52*AP87</f>
        <v>0</v>
      </c>
      <c r="AQ90" s="87">
        <f>AQ$52*AQ87</f>
        <v>0</v>
      </c>
      <c r="AR90" s="862">
        <f>AS90+AT90</f>
        <v>0</v>
      </c>
      <c r="AS90" s="87">
        <f>AS$52*AS87</f>
        <v>0</v>
      </c>
      <c r="AT90" s="87">
        <f>AT$52*AT87</f>
        <v>0</v>
      </c>
      <c r="AU90" s="862">
        <f>AV90+AW90</f>
        <v>0</v>
      </c>
      <c r="AV90" s="87">
        <f>AV$52*AV87</f>
        <v>0</v>
      </c>
      <c r="AW90" s="87">
        <f>AW$52*AW87</f>
        <v>0</v>
      </c>
      <c r="AX90" s="862">
        <f>AY90+AZ90</f>
        <v>0</v>
      </c>
      <c r="AY90" s="87">
        <f>AY$52*AY87</f>
        <v>0</v>
      </c>
      <c r="AZ90" s="87">
        <f>AZ$52*AZ87</f>
        <v>0</v>
      </c>
      <c r="BA90" s="862">
        <f>BB90+BC90</f>
        <v>0</v>
      </c>
      <c r="BB90" s="87">
        <f>BB$52*BB87</f>
        <v>0</v>
      </c>
      <c r="BC90" s="87">
        <f>BC$52*BC87</f>
        <v>0</v>
      </c>
      <c r="BD90" s="862">
        <f>BE90+BF90</f>
        <v>0</v>
      </c>
      <c r="BE90" s="87">
        <f>BE$52*BE87</f>
        <v>0</v>
      </c>
      <c r="BF90" s="87">
        <f>BF$52*BF87</f>
        <v>0</v>
      </c>
      <c r="BG90" s="862">
        <f>BH90+BI90</f>
        <v>0</v>
      </c>
      <c r="BH90" s="87">
        <f>BH$52*BH87</f>
        <v>0</v>
      </c>
      <c r="BI90" s="87">
        <f>BI$52*BI87</f>
        <v>0</v>
      </c>
      <c r="BJ90" s="862">
        <f>BK90+BL90</f>
        <v>0</v>
      </c>
      <c r="BK90" s="87">
        <f>BK$52*BK87</f>
        <v>0</v>
      </c>
      <c r="BL90" s="87">
        <f>BL$52*BL87</f>
        <v>0</v>
      </c>
      <c r="BM90" s="862">
        <f>BN90+BO90</f>
        <v>0</v>
      </c>
      <c r="BN90" s="87">
        <f>BN$52*BN87</f>
        <v>0</v>
      </c>
      <c r="BO90" s="87">
        <f>BO$52*BO87</f>
        <v>0</v>
      </c>
      <c r="BP90" s="862">
        <f>BQ90+BR90</f>
        <v>0</v>
      </c>
      <c r="BQ90" s="1772">
        <f>BQ$52*BQ87</f>
        <v>0</v>
      </c>
      <c r="BR90" s="1772">
        <f>BR$52*BR87</f>
        <v>0</v>
      </c>
      <c r="BS90" s="862">
        <f>BT90+BU90</f>
        <v>0</v>
      </c>
      <c r="BT90" s="87">
        <f>BT$52*BT87</f>
        <v>0</v>
      </c>
      <c r="BU90" s="87">
        <f>BU$52*BU87</f>
        <v>0</v>
      </c>
      <c r="BV90" s="862">
        <f>BW90+BX90</f>
        <v>0</v>
      </c>
      <c r="BW90" s="87">
        <f>BW$52*BW87</f>
        <v>0</v>
      </c>
      <c r="BX90" s="87">
        <f>BX$52*BX87</f>
        <v>0</v>
      </c>
      <c r="BY90" s="862">
        <f>BZ90+CA90</f>
        <v>0</v>
      </c>
      <c r="BZ90" s="87">
        <f>BZ$52*BZ87</f>
        <v>0</v>
      </c>
      <c r="CA90" s="87">
        <f>CA$52*CA87</f>
        <v>0</v>
      </c>
      <c r="CB90" s="862">
        <f>CC90+CD90</f>
        <v>0</v>
      </c>
      <c r="CC90" s="87">
        <f>CC$52*CC87</f>
        <v>0</v>
      </c>
      <c r="CD90" s="87">
        <f>CD$52*CD87</f>
        <v>0</v>
      </c>
      <c r="CE90" s="862">
        <f>CF90+CG90</f>
        <v>0</v>
      </c>
      <c r="CF90" s="87">
        <f>CF$52*CF87</f>
        <v>0</v>
      </c>
      <c r="CG90" s="87">
        <f>CG$52*CG87</f>
        <v>0</v>
      </c>
      <c r="CH90" s="862">
        <f>CI90+CJ90</f>
        <v>0</v>
      </c>
      <c r="CI90" s="87">
        <f>CI$52*CI87</f>
        <v>0</v>
      </c>
      <c r="CJ90" s="87">
        <f>CJ$52*CJ87</f>
        <v>0</v>
      </c>
      <c r="CK90" s="862">
        <f>CL90+CM90</f>
        <v>0</v>
      </c>
      <c r="CL90" s="87">
        <f>CL$52*CL87</f>
        <v>0</v>
      </c>
      <c r="CM90" s="87">
        <f>CM$52*CM87</f>
        <v>0</v>
      </c>
      <c r="CN90" s="862">
        <f>CO90+CP90</f>
        <v>0</v>
      </c>
      <c r="CO90" s="87">
        <f>CO$52*CO87</f>
        <v>0</v>
      </c>
      <c r="CP90" s="87">
        <f>CP$52*CP87</f>
        <v>0</v>
      </c>
      <c r="CQ90" s="862">
        <f>CR90+CS90</f>
        <v>0</v>
      </c>
      <c r="CR90" s="87">
        <f>CR$52*CR87</f>
        <v>0</v>
      </c>
      <c r="CS90" s="87">
        <f>CS$52*CS87</f>
        <v>0</v>
      </c>
      <c r="CT90" s="73"/>
      <c r="CW90" s="1173" t="s">
        <v>829</v>
      </c>
      <c r="CX90" s="1178" t="s">
        <v>792</v>
      </c>
      <c r="CY90" s="1182" cm="1" t="str">
        <f t="array" ref="CY90:CY90">AE90</f>
        <v>0</v>
      </c>
      <c r="CZ90" s="1182" cm="1" t="str">
        <f t="array" ref="CZ90:CZ90">AF90</f>
        <v>0</v>
      </c>
    </row>
    <row customHeight="1" ht="15" hidden="1">
      <c r="E91" s="797">
        <v>0</v>
      </c>
      <c r="F91" s="922" cm="1" t="str">
        <f t="array" ref="F91:F91">OFFSET(G91,-1,-1)</f>
        <v>0</v>
      </c>
      <c r="L91" s="922" cm="1" t="str">
        <f t="array" ref="L91:L91">OFFSET(M91,-1,-1)</f>
        <v>false</v>
      </c>
      <c r="S91" s="159" cm="1" t="str">
        <f t="array" ref="S91:S91">OFFSET(T91,-1,-1)</f>
        <v>false</v>
      </c>
      <c r="U91" s="819">
        <f>AND(S91,IF(ISBLANK(T91),TRUE,T91))</f>
        <v>0</v>
      </c>
      <c r="X91" s="973" t="str">
        <f>"{                  
         funcDyn: 'msg1',
         blok: 'blok_2',
         wsCross: 'Топливо 4.4',
         linkFormula: 'AE-AE#AF-AF',
         levelDyn: "&amp;Y28&amp;"
}"</f>
        <v>{                  
         funcDyn: 'msg1',
         blok: 'blok_2',
         wsCross: 'Топливо 4.4',
         linkFormula: 'AE-AE#AF-AF',
         levelDyn: 0
}</v>
      </c>
      <c r="AB91" s="1834"/>
      <c r="AD91" s="1805"/>
      <c r="AE91" s="975" t="s">
        <v>236</v>
      </c>
      <c r="AF91" s="1807"/>
      <c r="AG91" s="1821"/>
      <c r="AH91" s="1810"/>
      <c r="AI91" s="1811"/>
      <c r="AJ91" s="1811"/>
      <c r="AK91" s="1811"/>
      <c r="AL91" s="1811"/>
      <c r="AM91" s="1811"/>
      <c r="AN91" s="1811"/>
      <c r="AO91" s="1811"/>
      <c r="AP91" s="1811"/>
      <c r="AQ91" s="1811"/>
      <c r="AR91" s="1811"/>
      <c r="AS91" s="1811"/>
      <c r="AT91" s="1811"/>
      <c r="AU91" s="1811"/>
      <c r="AV91" s="1811"/>
      <c r="AW91" s="1811"/>
      <c r="AX91" s="1811"/>
      <c r="AY91" s="1811"/>
      <c r="AZ91" s="1811"/>
      <c r="BA91" s="1811"/>
      <c r="BB91" s="1811"/>
      <c r="BC91" s="1811"/>
      <c r="BD91" s="1811"/>
      <c r="BE91" s="1811"/>
      <c r="BF91" s="1811"/>
      <c r="BG91" s="1811"/>
      <c r="BH91" s="1811"/>
      <c r="BI91" s="1811"/>
      <c r="BJ91" s="1811"/>
      <c r="BK91" s="1811"/>
      <c r="BL91" s="1811"/>
      <c r="BM91" s="1811"/>
      <c r="BN91" s="1811"/>
      <c r="BO91" s="1811"/>
      <c r="BP91" s="1811"/>
      <c r="BQ91" s="1811"/>
      <c r="BR91" s="1811"/>
      <c r="BS91" s="1811"/>
      <c r="BT91" s="1811"/>
      <c r="BU91" s="1811"/>
      <c r="BV91" s="1811"/>
      <c r="BW91" s="1811"/>
      <c r="BX91" s="1811"/>
      <c r="BY91" s="1811"/>
      <c r="BZ91" s="1811"/>
      <c r="CA91" s="1811"/>
      <c r="CB91" s="1811"/>
      <c r="CC91" s="1811"/>
      <c r="CD91" s="1811"/>
      <c r="CE91" s="1811"/>
      <c r="CF91" s="1811"/>
      <c r="CG91" s="1811"/>
      <c r="CH91" s="1811"/>
      <c r="CI91" s="1811"/>
      <c r="CJ91" s="1811"/>
      <c r="CK91" s="1811"/>
      <c r="CL91" s="1811"/>
      <c r="CM91" s="1811"/>
      <c r="CN91" s="1811"/>
      <c r="CO91" s="1811"/>
      <c r="CP91" s="1811"/>
      <c r="CQ91" s="1811"/>
      <c r="CR91" s="1811"/>
      <c r="CS91" s="1811"/>
      <c r="CT91" s="91"/>
      <c r="CW91" s="1173" t="str">
        <f>IF(AND(ISNUMBER(VALUE(TRIM(SUBSTITUTE(AD91,".","")))),TRIM(SUBSTITUTE(AD91,".",""))&lt;&gt;""),"P"&amp;SUBSTITUTE(AD91,".",""),"")</f>
        <v/>
      </c>
    </row>
    <row customHeight="1" ht="16.672500000000003" hidden="1">
      <c r="E92" s="797">
        <v>17.1</v>
      </c>
      <c r="F92" s="922" cm="1" t="str">
        <f t="array" ref="F92:F92">OFFSET(G92,-1,-1)</f>
        <v>0</v>
      </c>
      <c r="L92" s="922" cm="1" t="str">
        <f t="array" ref="L92:L92">OFFSET(M92,-1,-1)</f>
        <v>false</v>
      </c>
      <c r="S92" s="159" cm="1" t="str">
        <f t="array" ref="S92:S92">OFFSET(T92,-1,-1)</f>
        <v>false</v>
      </c>
      <c r="U92" s="819">
        <f>AND(S92,IF(ISBLANK(T92),TRUE,T92))</f>
        <v>0</v>
      </c>
      <c r="AB92" s="1835" t="s">
        <v>831</v>
      </c>
      <c r="AD92" s="173" t="s">
        <v>832</v>
      </c>
      <c r="AE92" s="1497" t="s">
        <v>833</v>
      </c>
      <c r="AF92" s="1826"/>
      <c r="AG92" s="1827"/>
      <c r="AH92" s="1810"/>
      <c r="AI92" s="1811"/>
      <c r="AJ92" s="1811"/>
      <c r="AK92" s="1811"/>
      <c r="AL92" s="1811"/>
      <c r="AM92" s="1811"/>
      <c r="AN92" s="1811"/>
      <c r="AO92" s="1811"/>
      <c r="AP92" s="1811"/>
      <c r="AQ92" s="1811"/>
      <c r="AR92" s="1811"/>
      <c r="AS92" s="1811"/>
      <c r="AT92" s="1811"/>
      <c r="AU92" s="1811"/>
      <c r="AV92" s="1811"/>
      <c r="AW92" s="1811"/>
      <c r="AX92" s="1811"/>
      <c r="AY92" s="1811"/>
      <c r="AZ92" s="1811"/>
      <c r="BA92" s="1811"/>
      <c r="BB92" s="1811"/>
      <c r="BC92" s="1811"/>
      <c r="BD92" s="1811"/>
      <c r="BE92" s="1811"/>
      <c r="BF92" s="1811"/>
      <c r="BG92" s="1811"/>
      <c r="BH92" s="1811"/>
      <c r="BI92" s="1811"/>
      <c r="BJ92" s="1811"/>
      <c r="BK92" s="1811"/>
      <c r="BL92" s="1811"/>
      <c r="BM92" s="1811"/>
      <c r="BN92" s="1811"/>
      <c r="BO92" s="1811"/>
      <c r="BP92" s="1811"/>
      <c r="BQ92" s="1811"/>
      <c r="BR92" s="1811"/>
      <c r="BS92" s="1811"/>
      <c r="BT92" s="1811"/>
      <c r="BU92" s="1811"/>
      <c r="BV92" s="1811"/>
      <c r="BW92" s="1811"/>
      <c r="BX92" s="1811"/>
      <c r="BY92" s="1811"/>
      <c r="BZ92" s="1811"/>
      <c r="CA92" s="1811"/>
      <c r="CB92" s="1811"/>
      <c r="CC92" s="1811"/>
      <c r="CD92" s="1811"/>
      <c r="CE92" s="1811"/>
      <c r="CF92" s="1811"/>
      <c r="CG92" s="1811"/>
      <c r="CH92" s="1811"/>
      <c r="CI92" s="1811"/>
      <c r="CJ92" s="1811"/>
      <c r="CK92" s="1811"/>
      <c r="CL92" s="1811"/>
      <c r="CM92" s="1811"/>
      <c r="CN92" s="1811"/>
      <c r="CO92" s="1811"/>
      <c r="CP92" s="1811"/>
      <c r="CQ92" s="1811"/>
      <c r="CR92" s="1811"/>
      <c r="CS92" s="1811"/>
      <c r="CT92" s="73"/>
      <c r="CW92" s="1173" t="s">
        <v>834</v>
      </c>
    </row>
    <row customHeight="1" ht="16.672500000000003" hidden="1">
      <c r="E93" s="797">
        <v>17.1</v>
      </c>
      <c r="F93" s="922" cm="1" t="str">
        <f t="array" ref="F93:F93">OFFSET(G93,-1,-1)</f>
        <v>0</v>
      </c>
      <c r="L93" s="922" cm="1" t="str">
        <f t="array" ref="L93:L93">OFFSET(M93,-1,-1)</f>
        <v>false</v>
      </c>
      <c r="S93" s="159" cm="1" t="str">
        <f t="array" ref="S93:S93">OFFSET(T93,-1,-1)</f>
        <v>false</v>
      </c>
      <c r="T93" s="159">
        <f>AD93&lt;&gt;"30.0"</f>
        <v>0</v>
      </c>
      <c r="U93" s="819">
        <f>AND(S93,IF(ISBLANK(T93),TRUE,T93))</f>
        <v>0</v>
      </c>
      <c r="X93" s="159" t="s">
        <v>234</v>
      </c>
      <c r="AB93" s="1836"/>
      <c r="AD93" s="160" t="s">
        <v>835</v>
      </c>
      <c r="AE93" s="1802"/>
      <c r="AF93" s="1803"/>
      <c r="AG93" s="859" t="s">
        <v>498</v>
      </c>
      <c r="AH93" s="90"/>
      <c r="AI93" s="94"/>
      <c r="AJ93" s="94"/>
      <c r="AK93" s="94"/>
      <c r="AL93" s="1811"/>
      <c r="AM93" s="94"/>
      <c r="AN93" s="94"/>
      <c r="AO93" s="1811"/>
      <c r="AP93" s="94"/>
      <c r="AQ93" s="94"/>
      <c r="AR93" s="1811"/>
      <c r="AS93" s="94"/>
      <c r="AT93" s="94"/>
      <c r="AU93" s="1811"/>
      <c r="AV93" s="94"/>
      <c r="AW93" s="94"/>
      <c r="AX93" s="1811"/>
      <c r="AY93" s="94"/>
      <c r="AZ93" s="94"/>
      <c r="BA93" s="1811"/>
      <c r="BB93" s="94"/>
      <c r="BC93" s="94"/>
      <c r="BD93" s="1811"/>
      <c r="BE93" s="94"/>
      <c r="BF93" s="94"/>
      <c r="BG93" s="1811"/>
      <c r="BH93" s="94"/>
      <c r="BI93" s="94"/>
      <c r="BJ93" s="1811"/>
      <c r="BK93" s="94"/>
      <c r="BL93" s="94"/>
      <c r="BM93" s="1811"/>
      <c r="BN93" s="94"/>
      <c r="BO93" s="94"/>
      <c r="BP93" s="1811"/>
      <c r="BQ93" s="1829"/>
      <c r="BR93" s="1829"/>
      <c r="BS93" s="1811"/>
      <c r="BT93" s="94"/>
      <c r="BU93" s="94"/>
      <c r="BV93" s="1811"/>
      <c r="BW93" s="94"/>
      <c r="BX93" s="94"/>
      <c r="BY93" s="1811"/>
      <c r="BZ93" s="94"/>
      <c r="CA93" s="94"/>
      <c r="CB93" s="1811"/>
      <c r="CC93" s="94"/>
      <c r="CD93" s="94"/>
      <c r="CE93" s="1811"/>
      <c r="CF93" s="94"/>
      <c r="CG93" s="94"/>
      <c r="CH93" s="1811"/>
      <c r="CI93" s="94"/>
      <c r="CJ93" s="94"/>
      <c r="CK93" s="1811"/>
      <c r="CL93" s="94"/>
      <c r="CM93" s="94"/>
      <c r="CN93" s="1811"/>
      <c r="CO93" s="94"/>
      <c r="CP93" s="94"/>
      <c r="CQ93" s="1811"/>
      <c r="CR93" s="94"/>
      <c r="CS93" s="94"/>
      <c r="CT93" s="73"/>
      <c r="CW93" s="1173" t="s">
        <v>834</v>
      </c>
      <c r="CX93" s="1178" t="s">
        <v>792</v>
      </c>
      <c r="CY93" s="1182" cm="1" t="str">
        <f t="array" ref="CY93:CY93">AE93</f>
        <v>0</v>
      </c>
      <c r="CZ93" s="1182" cm="1" t="str">
        <f t="array" ref="CZ93:CZ93">AF93</f>
        <v>0</v>
      </c>
    </row>
    <row customHeight="1" ht="15" hidden="1">
      <c r="E94" s="797">
        <v>0</v>
      </c>
      <c r="F94" s="922" cm="1" t="str">
        <f t="array" ref="F94:F94">OFFSET(G94,-1,-1)</f>
        <v>0</v>
      </c>
      <c r="L94" s="922" cm="1" t="str">
        <f t="array" ref="L94:L94">OFFSET(M94,-1,-1)</f>
        <v>false</v>
      </c>
      <c r="S94" s="159" cm="1" t="str">
        <f t="array" ref="S94:S94">OFFSET(T94,-1,-1)</f>
        <v>false</v>
      </c>
      <c r="U94" s="819">
        <f>AND(S94,IF(ISBLANK(T94),TRUE,T94))</f>
        <v>0</v>
      </c>
      <c r="X94" s="973" t="str">
        <f>"{                  
         funcDyn: 'msg1',
         blok: 'blok_2',
         wsCross: 'Топливо 4.4',
         linkFormula: 'AE-AE#AF-AF',
         levelDyn: "&amp;Y28&amp;"
}"</f>
        <v>{                  
         funcDyn: 'msg1',
         blok: 'blok_2',
         wsCross: 'Топливо 4.4',
         linkFormula: 'AE-AE#AF-AF',
         levelDyn: 0
}</v>
      </c>
      <c r="AB94" s="1836"/>
      <c r="AD94" s="1805"/>
      <c r="AE94" s="975" t="s">
        <v>236</v>
      </c>
      <c r="AF94" s="1807"/>
      <c r="AG94" s="1821"/>
      <c r="AH94" s="1808"/>
      <c r="AI94" s="95"/>
      <c r="AJ94" s="95"/>
      <c r="AK94" s="95"/>
      <c r="AL94" s="1811"/>
      <c r="AM94" s="95"/>
      <c r="AN94" s="95"/>
      <c r="AO94" s="1811"/>
      <c r="AP94" s="95"/>
      <c r="AQ94" s="95"/>
      <c r="AR94" s="1811"/>
      <c r="AS94" s="95"/>
      <c r="AT94" s="95"/>
      <c r="AU94" s="1811"/>
      <c r="AV94" s="95"/>
      <c r="AW94" s="95"/>
      <c r="AX94" s="1811"/>
      <c r="AY94" s="95"/>
      <c r="AZ94" s="95"/>
      <c r="BA94" s="1811"/>
      <c r="BB94" s="95"/>
      <c r="BC94" s="95"/>
      <c r="BD94" s="1811"/>
      <c r="BE94" s="95"/>
      <c r="BF94" s="95"/>
      <c r="BG94" s="1811"/>
      <c r="BH94" s="95"/>
      <c r="BI94" s="95"/>
      <c r="BJ94" s="1811"/>
      <c r="BK94" s="95"/>
      <c r="BL94" s="95"/>
      <c r="BM94" s="1811"/>
      <c r="BN94" s="95"/>
      <c r="BO94" s="95"/>
      <c r="BP94" s="1811"/>
      <c r="BQ94" s="95"/>
      <c r="BR94" s="95"/>
      <c r="BS94" s="1811"/>
      <c r="BT94" s="95"/>
      <c r="BU94" s="95"/>
      <c r="BV94" s="1811"/>
      <c r="BW94" s="95"/>
      <c r="BX94" s="95"/>
      <c r="BY94" s="1811"/>
      <c r="BZ94" s="95"/>
      <c r="CA94" s="95"/>
      <c r="CB94" s="1811"/>
      <c r="CC94" s="95"/>
      <c r="CD94" s="95"/>
      <c r="CE94" s="1811"/>
      <c r="CF94" s="95"/>
      <c r="CG94" s="95"/>
      <c r="CH94" s="1811"/>
      <c r="CI94" s="95"/>
      <c r="CJ94" s="95"/>
      <c r="CK94" s="1811"/>
      <c r="CL94" s="95"/>
      <c r="CM94" s="95"/>
      <c r="CN94" s="1811"/>
      <c r="CO94" s="95"/>
      <c r="CP94" s="95"/>
      <c r="CQ94" s="1811"/>
      <c r="CR94" s="95"/>
      <c r="CS94" s="95"/>
      <c r="CT94" s="91"/>
      <c r="CW94" s="1173" t="str">
        <f>IF(AND(ISNUMBER(VALUE(TRIM(SUBSTITUTE(AD94,".","")))),TRIM(SUBSTITUTE(AD94,".",""))&lt;&gt;""),"P"&amp;SUBSTITUTE(AD94,".",""),"")</f>
        <v/>
      </c>
    </row>
    <row customHeight="1" ht="16.672500000000003" hidden="1">
      <c r="E95" s="797">
        <v>17.1</v>
      </c>
      <c r="F95" s="922" cm="1" t="str">
        <f t="array" ref="F95:F95">OFFSET(G95,-1,-1)</f>
        <v>0</v>
      </c>
      <c r="L95" s="922" cm="1" t="str">
        <f t="array" ref="L95:L95">OFFSET(M95,-1,-1)</f>
        <v>false</v>
      </c>
      <c r="S95" s="159" cm="1" t="str">
        <f t="array" ref="S95:S95">OFFSET(T95,-1,-1)</f>
        <v>false</v>
      </c>
      <c r="U95" s="819">
        <f>AND(S95,IF(ISBLANK(T95),TRUE,T95))</f>
        <v>0</v>
      </c>
      <c r="AB95" s="1836"/>
      <c r="AD95" s="173" t="s">
        <v>836</v>
      </c>
      <c r="AE95" s="1497" t="s">
        <v>837</v>
      </c>
      <c r="AF95" s="1826"/>
      <c r="AG95" s="1827"/>
      <c r="AH95" s="1810"/>
      <c r="AI95" s="1811"/>
      <c r="AJ95" s="1811"/>
      <c r="AK95" s="1811"/>
      <c r="AL95" s="1811"/>
      <c r="AM95" s="1811"/>
      <c r="AN95" s="1811"/>
      <c r="AO95" s="1811"/>
      <c r="AP95" s="1811"/>
      <c r="AQ95" s="1811"/>
      <c r="AR95" s="1811"/>
      <c r="AS95" s="1811"/>
      <c r="AT95" s="1811"/>
      <c r="AU95" s="1811"/>
      <c r="AV95" s="1811"/>
      <c r="AW95" s="1811"/>
      <c r="AX95" s="1811"/>
      <c r="AY95" s="1811"/>
      <c r="AZ95" s="1811"/>
      <c r="BA95" s="1811"/>
      <c r="BB95" s="1811"/>
      <c r="BC95" s="1811"/>
      <c r="BD95" s="1811"/>
      <c r="BE95" s="1811"/>
      <c r="BF95" s="1811"/>
      <c r="BG95" s="1811"/>
      <c r="BH95" s="1811"/>
      <c r="BI95" s="1811"/>
      <c r="BJ95" s="1811"/>
      <c r="BK95" s="1811"/>
      <c r="BL95" s="1811"/>
      <c r="BM95" s="1811"/>
      <c r="BN95" s="1811"/>
      <c r="BO95" s="1811"/>
      <c r="BP95" s="1811"/>
      <c r="BQ95" s="1811"/>
      <c r="BR95" s="1811"/>
      <c r="BS95" s="1811"/>
      <c r="BT95" s="1811"/>
      <c r="BU95" s="1811"/>
      <c r="BV95" s="1811"/>
      <c r="BW95" s="1811"/>
      <c r="BX95" s="1811"/>
      <c r="BY95" s="1811"/>
      <c r="BZ95" s="1811"/>
      <c r="CA95" s="1811"/>
      <c r="CB95" s="1811"/>
      <c r="CC95" s="1811"/>
      <c r="CD95" s="1811"/>
      <c r="CE95" s="1811"/>
      <c r="CF95" s="1811"/>
      <c r="CG95" s="1811"/>
      <c r="CH95" s="1811"/>
      <c r="CI95" s="1811"/>
      <c r="CJ95" s="1811"/>
      <c r="CK95" s="1811"/>
      <c r="CL95" s="1811"/>
      <c r="CM95" s="1811"/>
      <c r="CN95" s="1811"/>
      <c r="CO95" s="1811"/>
      <c r="CP95" s="1811"/>
      <c r="CQ95" s="1811"/>
      <c r="CR95" s="1811"/>
      <c r="CS95" s="1811"/>
      <c r="CT95" s="73"/>
      <c r="CW95" s="1173" t="s">
        <v>838</v>
      </c>
    </row>
    <row customHeight="1" ht="16.672500000000003" hidden="1">
      <c r="E96" s="797">
        <v>17.1</v>
      </c>
      <c r="F96" s="922" cm="1" t="str">
        <f t="array" ref="F96:F96">OFFSET(G96,-1,-1)</f>
        <v>0</v>
      </c>
      <c r="L96" s="922" cm="1" t="str">
        <f t="array" ref="L96:L96">OFFSET(M96,-1,-1)</f>
        <v>false</v>
      </c>
      <c r="S96" s="159" cm="1" t="str">
        <f t="array" ref="S96:S96">OFFSET(T96,-1,-1)</f>
        <v>false</v>
      </c>
      <c r="T96" s="159">
        <f>AD96&lt;&gt;"31.0"</f>
        <v>0</v>
      </c>
      <c r="U96" s="819">
        <f>AND(S96,IF(ISBLANK(T96),TRUE,T96))</f>
        <v>0</v>
      </c>
      <c r="X96" s="159" t="s">
        <v>234</v>
      </c>
      <c r="AB96" s="1836"/>
      <c r="AD96" s="160" t="s">
        <v>839</v>
      </c>
      <c r="AE96" s="1802"/>
      <c r="AF96" s="1803"/>
      <c r="AG96" s="1815"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2">
        <f>_xlfn.IFERROR(AL100/AL64,0)*1000</f>
        <v>0</v>
      </c>
      <c r="AM96" s="87"/>
      <c r="AN96" s="87"/>
      <c r="AO96" s="862">
        <f>_xlfn.IFERROR(AO100/AO64,0)*1000</f>
        <v>0</v>
      </c>
      <c r="AP96" s="87"/>
      <c r="AQ96" s="87"/>
      <c r="AR96" s="862">
        <f>_xlfn.IFERROR(AR100/AR64,0)*1000</f>
        <v>0</v>
      </c>
      <c r="AS96" s="87"/>
      <c r="AT96" s="87"/>
      <c r="AU96" s="862">
        <f>_xlfn.IFERROR(AU100/AU64,0)*1000</f>
        <v>0</v>
      </c>
      <c r="AV96" s="87"/>
      <c r="AW96" s="87"/>
      <c r="AX96" s="862">
        <f>_xlfn.IFERROR(AX100/AX64,0)*1000</f>
        <v>0</v>
      </c>
      <c r="AY96" s="87"/>
      <c r="AZ96" s="87"/>
      <c r="BA96" s="862">
        <f>_xlfn.IFERROR(BA100/BA64,0)*1000</f>
        <v>0</v>
      </c>
      <c r="BB96" s="87"/>
      <c r="BC96" s="87"/>
      <c r="BD96" s="862">
        <f>_xlfn.IFERROR(BD100/BD64,0)*1000</f>
        <v>0</v>
      </c>
      <c r="BE96" s="87"/>
      <c r="BF96" s="87"/>
      <c r="BG96" s="862">
        <f>_xlfn.IFERROR(BG100/BG64,0)*1000</f>
        <v>0</v>
      </c>
      <c r="BH96" s="87"/>
      <c r="BI96" s="87"/>
      <c r="BJ96" s="862">
        <f>_xlfn.IFERROR(BJ100/BJ64,0)*1000</f>
        <v>0</v>
      </c>
      <c r="BK96" s="87"/>
      <c r="BL96" s="87"/>
      <c r="BM96" s="862">
        <f>_xlfn.IFERROR(BM100/BM64,0)*1000</f>
        <v>0</v>
      </c>
      <c r="BN96" s="87"/>
      <c r="BO96" s="87"/>
      <c r="BP96" s="862">
        <f>_xlfn.IFERROR(BP100/BP64,0)*1000</f>
        <v>0</v>
      </c>
      <c r="BQ96" s="1772"/>
      <c r="BR96" s="1772"/>
      <c r="BS96" s="862">
        <f>_xlfn.IFERROR(BS100/BS64,0)*1000</f>
        <v>0</v>
      </c>
      <c r="BT96" s="87"/>
      <c r="BU96" s="87"/>
      <c r="BV96" s="862">
        <f>_xlfn.IFERROR(BV100/BV64,0)*1000</f>
        <v>0</v>
      </c>
      <c r="BW96" s="87"/>
      <c r="BX96" s="87"/>
      <c r="BY96" s="862">
        <f>_xlfn.IFERROR(BY100/BY64,0)*1000</f>
        <v>0</v>
      </c>
      <c r="BZ96" s="87"/>
      <c r="CA96" s="87"/>
      <c r="CB96" s="862">
        <f>_xlfn.IFERROR(CB100/CB64,0)*1000</f>
        <v>0</v>
      </c>
      <c r="CC96" s="87"/>
      <c r="CD96" s="87"/>
      <c r="CE96" s="862">
        <f>_xlfn.IFERROR(CE100/CE64,0)*1000</f>
        <v>0</v>
      </c>
      <c r="CF96" s="87"/>
      <c r="CG96" s="87"/>
      <c r="CH96" s="862">
        <f>_xlfn.IFERROR(CH100/CH64,0)*1000</f>
        <v>0</v>
      </c>
      <c r="CI96" s="87"/>
      <c r="CJ96" s="87"/>
      <c r="CK96" s="862">
        <f>_xlfn.IFERROR(CK100/CK64,0)*1000</f>
        <v>0</v>
      </c>
      <c r="CL96" s="87"/>
      <c r="CM96" s="87"/>
      <c r="CN96" s="862">
        <f>_xlfn.IFERROR(CN100/CN64,0)*1000</f>
        <v>0</v>
      </c>
      <c r="CO96" s="87"/>
      <c r="CP96" s="87"/>
      <c r="CQ96" s="862">
        <f>_xlfn.IFERROR(CQ100/CQ64,0)*1000</f>
        <v>0</v>
      </c>
      <c r="CR96" s="87"/>
      <c r="CS96" s="87"/>
      <c r="CT96" s="73"/>
      <c r="CW96" s="1173" t="s">
        <v>838</v>
      </c>
      <c r="CX96" s="1178" t="s">
        <v>792</v>
      </c>
      <c r="CY96" s="1182" cm="1" t="str">
        <f t="array" ref="CY96:CY96">AE96</f>
        <v>0</v>
      </c>
      <c r="CZ96" s="1182" cm="1" t="str">
        <f t="array" ref="CZ96:CZ96">AF96</f>
        <v>0</v>
      </c>
    </row>
    <row customHeight="1" ht="15" hidden="1">
      <c r="E97" s="797">
        <v>0</v>
      </c>
      <c r="F97" s="922" cm="1" t="str">
        <f t="array" ref="F97:F97">OFFSET(G97,-1,-1)</f>
        <v>0</v>
      </c>
      <c r="L97" s="922" cm="1" t="str">
        <f t="array" ref="L97:L97">OFFSET(M97,-1,-1)</f>
        <v>false</v>
      </c>
      <c r="S97" s="159" cm="1" t="str">
        <f t="array" ref="S97:S97">OFFSET(T97,-1,-1)</f>
        <v>false</v>
      </c>
      <c r="U97" s="819">
        <f>AND(S97,IF(ISBLANK(T97),TRUE,T97))</f>
        <v>0</v>
      </c>
      <c r="X97" s="973" t="str">
        <f>"{                  
         funcDyn: 'msg1',
         blok: 'blok_2',
         wsCross: 'Топливо 4.4',
         linkFormula: 'AE-AE#AF-AF',
         levelDyn: "&amp;Y28&amp;"
}"</f>
        <v>{                  
         funcDyn: 'msg1',
         blok: 'blok_2',
         wsCross: 'Топливо 4.4',
         linkFormula: 'AE-AE#AF-AF',
         levelDyn: 0
}</v>
      </c>
      <c r="AB97" s="1836"/>
      <c r="AD97" s="1805"/>
      <c r="AE97" s="975" t="s">
        <v>236</v>
      </c>
      <c r="AF97" s="1807"/>
      <c r="AG97" s="1821"/>
      <c r="AH97" s="1811"/>
      <c r="AI97" s="1811"/>
      <c r="AJ97" s="1811"/>
      <c r="AK97" s="1811"/>
      <c r="AL97" s="1811"/>
      <c r="AM97" s="1811"/>
      <c r="AN97" s="1811"/>
      <c r="AO97" s="1811"/>
      <c r="AP97" s="1811"/>
      <c r="AQ97" s="1811"/>
      <c r="AR97" s="1811"/>
      <c r="AS97" s="1811"/>
      <c r="AT97" s="1811"/>
      <c r="AU97" s="1811"/>
      <c r="AV97" s="1811"/>
      <c r="AW97" s="1811"/>
      <c r="AX97" s="1811"/>
      <c r="AY97" s="1811"/>
      <c r="AZ97" s="1811"/>
      <c r="BA97" s="1811"/>
      <c r="BB97" s="1811"/>
      <c r="BC97" s="1811"/>
      <c r="BD97" s="1811"/>
      <c r="BE97" s="1811"/>
      <c r="BF97" s="1811"/>
      <c r="BG97" s="1811"/>
      <c r="BH97" s="1811"/>
      <c r="BI97" s="1811"/>
      <c r="BJ97" s="1811"/>
      <c r="BK97" s="1811"/>
      <c r="BL97" s="1811"/>
      <c r="BM97" s="1811"/>
      <c r="BN97" s="1811"/>
      <c r="BO97" s="1811"/>
      <c r="BP97" s="1811"/>
      <c r="BQ97" s="1811"/>
      <c r="BR97" s="1811"/>
      <c r="BS97" s="1811"/>
      <c r="BT97" s="1811"/>
      <c r="BU97" s="1811"/>
      <c r="BV97" s="1811"/>
      <c r="BW97" s="1811"/>
      <c r="BX97" s="1811"/>
      <c r="BY97" s="1811"/>
      <c r="BZ97" s="1811"/>
      <c r="CA97" s="1811"/>
      <c r="CB97" s="1811"/>
      <c r="CC97" s="1811"/>
      <c r="CD97" s="1811"/>
      <c r="CE97" s="1811"/>
      <c r="CF97" s="1811"/>
      <c r="CG97" s="1811"/>
      <c r="CH97" s="1811"/>
      <c r="CI97" s="1811"/>
      <c r="CJ97" s="1811"/>
      <c r="CK97" s="1811"/>
      <c r="CL97" s="1811"/>
      <c r="CM97" s="1811"/>
      <c r="CN97" s="1811"/>
      <c r="CO97" s="1811"/>
      <c r="CP97" s="1811"/>
      <c r="CQ97" s="1811"/>
      <c r="CR97" s="1811"/>
      <c r="CS97" s="1811"/>
      <c r="CT97" s="91"/>
      <c r="CW97" s="1173" t="str">
        <f>IF(AND(ISNUMBER(VALUE(TRIM(SUBSTITUTE(AD97,".","")))),TRIM(SUBSTITUTE(AD97,".",""))&lt;&gt;""),"P"&amp;SUBSTITUTE(AD97,".",""),"")</f>
        <v/>
      </c>
    </row>
    <row customHeight="1" ht="16.672500000000003" hidden="1">
      <c r="E98" s="797">
        <v>17.1</v>
      </c>
      <c r="F98" s="922" cm="1" t="str">
        <f t="array" ref="F98:F98">OFFSET(G98,-1,-1)</f>
        <v>0</v>
      </c>
      <c r="L98" s="922" cm="1" t="str">
        <f t="array" ref="L98:L98">OFFSET(M98,-1,-1)</f>
        <v>false</v>
      </c>
      <c r="S98" s="159" cm="1" t="str">
        <f t="array" ref="S98:S98">OFFSET(T98,-1,-1)</f>
        <v>false</v>
      </c>
      <c r="U98" s="819">
        <f>AND(S98,IF(ISBLANK(T98),TRUE,T98))</f>
        <v>0</v>
      </c>
      <c r="AB98" s="1836"/>
      <c r="AD98" s="173" t="s">
        <v>840</v>
      </c>
      <c r="AE98" s="1497" t="s">
        <v>841</v>
      </c>
      <c r="AF98" s="1826"/>
      <c r="AG98" s="859" t="s">
        <v>810</v>
      </c>
      <c r="AH98" s="860">
        <f>SUM(AH100:AH101)</f>
        <v>0</v>
      </c>
      <c r="AI98" s="860">
        <f>SUM(AI100:AI101)</f>
        <v>0</v>
      </c>
      <c r="AJ98" s="860">
        <f>SUM(AJ100:AJ101)</f>
        <v>0</v>
      </c>
      <c r="AK98" s="860">
        <f>SUM(AK100:AK101)</f>
        <v>0</v>
      </c>
      <c r="AL98" s="860">
        <f>SUM(AL100:AL101)</f>
        <v>0</v>
      </c>
      <c r="AM98" s="860">
        <f>SUM(AM100:AM101)</f>
        <v>0</v>
      </c>
      <c r="AN98" s="860">
        <f>SUM(AN100:AN101)</f>
        <v>0</v>
      </c>
      <c r="AO98" s="860">
        <f>SUM(AO100:AO101)</f>
        <v>0</v>
      </c>
      <c r="AP98" s="860">
        <f>SUM(AP100:AP101)</f>
        <v>0</v>
      </c>
      <c r="AQ98" s="860">
        <f>SUM(AQ100:AQ101)</f>
        <v>0</v>
      </c>
      <c r="AR98" s="860">
        <f>SUM(AR100:AR101)</f>
        <v>0</v>
      </c>
      <c r="AS98" s="860">
        <f>SUM(AS100:AS101)</f>
        <v>0</v>
      </c>
      <c r="AT98" s="860">
        <f>SUM(AT100:AT101)</f>
        <v>0</v>
      </c>
      <c r="AU98" s="860">
        <f>SUM(AU100:AU101)</f>
        <v>0</v>
      </c>
      <c r="AV98" s="860">
        <f>SUM(AV100:AV101)</f>
        <v>0</v>
      </c>
      <c r="AW98" s="860">
        <f>SUM(AW100:AW101)</f>
        <v>0</v>
      </c>
      <c r="AX98" s="860">
        <f>SUM(AX100:AX101)</f>
        <v>0</v>
      </c>
      <c r="AY98" s="860">
        <f>SUM(AY100:AY101)</f>
        <v>0</v>
      </c>
      <c r="AZ98" s="860">
        <f>SUM(AZ100:AZ101)</f>
        <v>0</v>
      </c>
      <c r="BA98" s="860">
        <f>SUM(BA100:BA101)</f>
        <v>0</v>
      </c>
      <c r="BB98" s="860">
        <f>SUM(BB100:BB101)</f>
        <v>0</v>
      </c>
      <c r="BC98" s="860">
        <f>SUM(BC100:BC101)</f>
        <v>0</v>
      </c>
      <c r="BD98" s="860">
        <f>SUM(BD100:BD101)</f>
        <v>0</v>
      </c>
      <c r="BE98" s="860">
        <f>SUM(BE100:BE101)</f>
        <v>0</v>
      </c>
      <c r="BF98" s="860">
        <f>SUM(BF100:BF101)</f>
        <v>0</v>
      </c>
      <c r="BG98" s="860">
        <f>SUM(BG100:BG101)</f>
        <v>0</v>
      </c>
      <c r="BH98" s="860">
        <f>SUM(BH100:BH101)</f>
        <v>0</v>
      </c>
      <c r="BI98" s="860">
        <f>SUM(BI100:BI101)</f>
        <v>0</v>
      </c>
      <c r="BJ98" s="860">
        <f>SUM(BJ100:BJ101)</f>
        <v>0</v>
      </c>
      <c r="BK98" s="860">
        <f>SUM(BK100:BK101)</f>
        <v>0</v>
      </c>
      <c r="BL98" s="860">
        <f>SUM(BL100:BL101)</f>
        <v>0</v>
      </c>
      <c r="BM98" s="860">
        <f>SUM(BM100:BM101)</f>
        <v>0</v>
      </c>
      <c r="BN98" s="860">
        <f>SUM(BN100:BN101)</f>
        <v>0</v>
      </c>
      <c r="BO98" s="860">
        <f>SUM(BO100:BO101)</f>
        <v>0</v>
      </c>
      <c r="BP98" s="860">
        <f>SUM(BP100:BP101)</f>
        <v>0</v>
      </c>
      <c r="BQ98" s="860">
        <f>SUM(BQ100:BQ101)</f>
        <v>0</v>
      </c>
      <c r="BR98" s="860">
        <f>SUM(BR100:BR101)</f>
        <v>0</v>
      </c>
      <c r="BS98" s="860">
        <f>SUM(BS100:BS101)</f>
        <v>0</v>
      </c>
      <c r="BT98" s="860">
        <f>SUM(BT100:BT101)</f>
        <v>0</v>
      </c>
      <c r="BU98" s="860">
        <f>SUM(BU100:BU101)</f>
        <v>0</v>
      </c>
      <c r="BV98" s="860">
        <f>SUM(BV100:BV101)</f>
        <v>0</v>
      </c>
      <c r="BW98" s="860">
        <f>SUM(BW100:BW101)</f>
        <v>0</v>
      </c>
      <c r="BX98" s="860">
        <f>SUM(BX100:BX101)</f>
        <v>0</v>
      </c>
      <c r="BY98" s="860">
        <f>SUM(BY100:BY101)</f>
        <v>0</v>
      </c>
      <c r="BZ98" s="860">
        <f>SUM(BZ100:BZ101)</f>
        <v>0</v>
      </c>
      <c r="CA98" s="860">
        <f>SUM(CA100:CA101)</f>
        <v>0</v>
      </c>
      <c r="CB98" s="860">
        <f>SUM(CB100:CB101)</f>
        <v>0</v>
      </c>
      <c r="CC98" s="860">
        <f>SUM(CC100:CC101)</f>
        <v>0</v>
      </c>
      <c r="CD98" s="860">
        <f>SUM(CD100:CD101)</f>
        <v>0</v>
      </c>
      <c r="CE98" s="860">
        <f>SUM(CE100:CE101)</f>
        <v>0</v>
      </c>
      <c r="CF98" s="860">
        <f>SUM(CF100:CF101)</f>
        <v>0</v>
      </c>
      <c r="CG98" s="860">
        <f>SUM(CG100:CG101)</f>
        <v>0</v>
      </c>
      <c r="CH98" s="860">
        <f>SUM(CH100:CH101)</f>
        <v>0</v>
      </c>
      <c r="CI98" s="860">
        <f>SUM(CI100:CI101)</f>
        <v>0</v>
      </c>
      <c r="CJ98" s="860">
        <f>SUM(CJ100:CJ101)</f>
        <v>0</v>
      </c>
      <c r="CK98" s="860">
        <f>SUM(CK100:CK101)</f>
        <v>0</v>
      </c>
      <c r="CL98" s="860">
        <f>SUM(CL100:CL101)</f>
        <v>0</v>
      </c>
      <c r="CM98" s="860">
        <f>SUM(CM100:CM101)</f>
        <v>0</v>
      </c>
      <c r="CN98" s="860">
        <f>SUM(CN100:CN101)</f>
        <v>0</v>
      </c>
      <c r="CO98" s="860">
        <f>SUM(CO100:CO101)</f>
        <v>0</v>
      </c>
      <c r="CP98" s="860">
        <f>SUM(CP100:CP101)</f>
        <v>0</v>
      </c>
      <c r="CQ98" s="860">
        <f>SUM(CQ100:CQ101)</f>
        <v>0</v>
      </c>
      <c r="CR98" s="860">
        <f>SUM(CR100:CR101)</f>
        <v>0</v>
      </c>
      <c r="CS98" s="860">
        <f>SUM(CS100:CS101)</f>
        <v>0</v>
      </c>
      <c r="CT98" s="73"/>
      <c r="CW98" s="1173" t="s">
        <v>842</v>
      </c>
    </row>
    <row customHeight="1" ht="16.672500000000003" hidden="1">
      <c r="E99" s="797">
        <v>17.1</v>
      </c>
      <c r="F99" s="922" cm="1" t="str">
        <f t="array" ref="F99:F99">OFFSET(G99,-1,-1)</f>
        <v>0</v>
      </c>
      <c r="L99" s="922" cm="1" t="str">
        <f t="array" ref="L99:L99">OFFSET(M99,-1,-1)</f>
        <v>false</v>
      </c>
      <c r="R99" s="922" t="s">
        <v>730</v>
      </c>
      <c r="S99" s="159" cm="1" t="str">
        <f t="array" ref="S99:S99">OFFSET(T99,-1,-1)</f>
        <v>false</v>
      </c>
      <c r="T99" s="922" t="b">
        <v>0</v>
      </c>
      <c r="U99" s="819">
        <f>AND(S99,IF(ISBLANK(T99),TRUE,T99))</f>
        <v>0</v>
      </c>
      <c r="AB99" s="1836"/>
      <c r="AD99" s="160" t="str">
        <f>AD98&amp;".0"</f>
        <v>32.0</v>
      </c>
      <c r="AE99" s="1349" t="s">
        <v>741</v>
      </c>
      <c r="AF99" s="1831"/>
      <c r="AG99" s="859" t="s">
        <v>810</v>
      </c>
      <c r="AH99" s="86">
        <f>AH52*AH98</f>
        <v>0</v>
      </c>
      <c r="AI99" s="87">
        <f>AI$52*AI98</f>
        <v>0</v>
      </c>
      <c r="AJ99" s="87">
        <f>AJ$52*AJ98</f>
        <v>0</v>
      </c>
      <c r="AK99" s="87">
        <f>AK$52*AK98</f>
        <v>0</v>
      </c>
      <c r="AL99" s="862">
        <f>AM99+AN99</f>
        <v>0</v>
      </c>
      <c r="AM99" s="87">
        <f>AM$52*AM98</f>
        <v>0</v>
      </c>
      <c r="AN99" s="87">
        <f>AN$52*AN98</f>
        <v>0</v>
      </c>
      <c r="AO99" s="862">
        <f>AP99+AQ99</f>
        <v>0</v>
      </c>
      <c r="AP99" s="87">
        <f>AP$52*AP98</f>
        <v>0</v>
      </c>
      <c r="AQ99" s="87">
        <f>AQ$52*AQ98</f>
        <v>0</v>
      </c>
      <c r="AR99" s="862">
        <f>AS99+AT99</f>
        <v>0</v>
      </c>
      <c r="AS99" s="87">
        <f>AS$52*AS98</f>
        <v>0</v>
      </c>
      <c r="AT99" s="87">
        <f>AT$52*AT98</f>
        <v>0</v>
      </c>
      <c r="AU99" s="862">
        <f>AV99+AW99</f>
        <v>0</v>
      </c>
      <c r="AV99" s="87">
        <f>AV$52*AV98</f>
        <v>0</v>
      </c>
      <c r="AW99" s="87">
        <f>AW$52*AW98</f>
        <v>0</v>
      </c>
      <c r="AX99" s="862">
        <f>AY99+AZ99</f>
        <v>0</v>
      </c>
      <c r="AY99" s="87">
        <f>AY$52*AY98</f>
        <v>0</v>
      </c>
      <c r="AZ99" s="87">
        <f>AZ$52*AZ98</f>
        <v>0</v>
      </c>
      <c r="BA99" s="862">
        <f>BB99+BC99</f>
        <v>0</v>
      </c>
      <c r="BB99" s="87">
        <f>BB$52*BB98</f>
        <v>0</v>
      </c>
      <c r="BC99" s="87">
        <f>BC$52*BC98</f>
        <v>0</v>
      </c>
      <c r="BD99" s="862">
        <f>BE99+BF99</f>
        <v>0</v>
      </c>
      <c r="BE99" s="87">
        <f>BE$52*BE98</f>
        <v>0</v>
      </c>
      <c r="BF99" s="87">
        <f>BF$52*BF98</f>
        <v>0</v>
      </c>
      <c r="BG99" s="862">
        <f>BH99+BI99</f>
        <v>0</v>
      </c>
      <c r="BH99" s="87">
        <f>BH$52*BH98</f>
        <v>0</v>
      </c>
      <c r="BI99" s="87">
        <f>BI$52*BI98</f>
        <v>0</v>
      </c>
      <c r="BJ99" s="862">
        <f>BK99+BL99</f>
        <v>0</v>
      </c>
      <c r="BK99" s="87">
        <f>BK$52*BK98</f>
        <v>0</v>
      </c>
      <c r="BL99" s="87">
        <f>BL$52*BL98</f>
        <v>0</v>
      </c>
      <c r="BM99" s="862">
        <f>BN99+BO99</f>
        <v>0</v>
      </c>
      <c r="BN99" s="87">
        <f>BN$52*BN98</f>
        <v>0</v>
      </c>
      <c r="BO99" s="87">
        <f>BO$52*BO98</f>
        <v>0</v>
      </c>
      <c r="BP99" s="862">
        <f>BQ99+BR99</f>
        <v>0</v>
      </c>
      <c r="BQ99" s="1772">
        <f>BQ$52*BQ98</f>
        <v>0</v>
      </c>
      <c r="BR99" s="1772">
        <f>BR$52*BR98</f>
        <v>0</v>
      </c>
      <c r="BS99" s="862">
        <f>BT99+BU99</f>
        <v>0</v>
      </c>
      <c r="BT99" s="87">
        <f>BT$52*BT98</f>
        <v>0</v>
      </c>
      <c r="BU99" s="87">
        <f>BU$52*BU98</f>
        <v>0</v>
      </c>
      <c r="BV99" s="862">
        <f>BW99+BX99</f>
        <v>0</v>
      </c>
      <c r="BW99" s="87">
        <f>BW$52*BW98</f>
        <v>0</v>
      </c>
      <c r="BX99" s="87">
        <f>BX$52*BX98</f>
        <v>0</v>
      </c>
      <c r="BY99" s="862">
        <f>BZ99+CA99</f>
        <v>0</v>
      </c>
      <c r="BZ99" s="87">
        <f>BZ$52*BZ98</f>
        <v>0</v>
      </c>
      <c r="CA99" s="87">
        <f>CA$52*CA98</f>
        <v>0</v>
      </c>
      <c r="CB99" s="862">
        <f>CC99+CD99</f>
        <v>0</v>
      </c>
      <c r="CC99" s="87">
        <f>CC$52*CC98</f>
        <v>0</v>
      </c>
      <c r="CD99" s="87">
        <f>CD$52*CD98</f>
        <v>0</v>
      </c>
      <c r="CE99" s="862">
        <f>CF99+CG99</f>
        <v>0</v>
      </c>
      <c r="CF99" s="87">
        <f>CF$52*CF98</f>
        <v>0</v>
      </c>
      <c r="CG99" s="87">
        <f>CG$52*CG98</f>
        <v>0</v>
      </c>
      <c r="CH99" s="862">
        <f>CI99+CJ99</f>
        <v>0</v>
      </c>
      <c r="CI99" s="87">
        <f>CI$52*CI98</f>
        <v>0</v>
      </c>
      <c r="CJ99" s="87">
        <f>CJ$52*CJ98</f>
        <v>0</v>
      </c>
      <c r="CK99" s="862">
        <f>CL99+CM99</f>
        <v>0</v>
      </c>
      <c r="CL99" s="87">
        <f>CL$52*CL98</f>
        <v>0</v>
      </c>
      <c r="CM99" s="87">
        <f>CM$52*CM98</f>
        <v>0</v>
      </c>
      <c r="CN99" s="862">
        <f>CO99+CP99</f>
        <v>0</v>
      </c>
      <c r="CO99" s="87">
        <f>CO$52*CO98</f>
        <v>0</v>
      </c>
      <c r="CP99" s="87">
        <f>CP$52*CP98</f>
        <v>0</v>
      </c>
      <c r="CQ99" s="862">
        <f>CR99+CS99</f>
        <v>0</v>
      </c>
      <c r="CR99" s="87">
        <f>CR$52*CR98</f>
        <v>0</v>
      </c>
      <c r="CS99" s="87">
        <f>CS$52*CS98</f>
        <v>0</v>
      </c>
      <c r="CT99" s="73"/>
      <c r="CW99" s="1173" t="s">
        <v>843</v>
      </c>
    </row>
    <row customHeight="1" ht="16.672500000000003" hidden="1">
      <c r="E100" s="797">
        <v>17.1</v>
      </c>
      <c r="F100" s="922" cm="1" t="str">
        <f t="array" ref="F100:F100">OFFSET(G100,-1,-1)</f>
        <v>0</v>
      </c>
      <c r="L100" s="922" cm="1" t="str">
        <f t="array" ref="L100:L100">OFFSET(M100,-1,-1)</f>
        <v>false</v>
      </c>
      <c r="S100" s="159" cm="1" t="str">
        <f t="array" ref="S100:S100">OFFSET(T100,-1,-1)</f>
        <v>false</v>
      </c>
      <c r="T100" s="159">
        <f>AD100&lt;&gt;"32.0"</f>
        <v>0</v>
      </c>
      <c r="U100" s="819">
        <f>AND(S100,IF(ISBLANK(T100),TRUE,T100))</f>
        <v>0</v>
      </c>
      <c r="X100" s="159" t="s">
        <v>234</v>
      </c>
      <c r="AB100" s="1836"/>
      <c r="AD100" s="160" t="s">
        <v>844</v>
      </c>
      <c r="AE100" s="1802"/>
      <c r="AF100" s="1803"/>
      <c r="AG100" s="859" t="s">
        <v>810</v>
      </c>
      <c r="AH100" s="86"/>
      <c r="AI100" s="87"/>
      <c r="AJ100" s="87"/>
      <c r="AK100" s="87"/>
      <c r="AL100" s="862">
        <f>AM100+AN100</f>
        <v>0</v>
      </c>
      <c r="AM100" s="87">
        <f>AM96*AM64/1000</f>
        <v>0</v>
      </c>
      <c r="AN100" s="87">
        <f>AN96*AN64/1000</f>
        <v>0</v>
      </c>
      <c r="AO100" s="862">
        <f>AP100+AQ100</f>
        <v>0</v>
      </c>
      <c r="AP100" s="87">
        <f>AP96*AP64/1000</f>
        <v>0</v>
      </c>
      <c r="AQ100" s="87">
        <f>AQ96*AQ64/1000</f>
        <v>0</v>
      </c>
      <c r="AR100" s="862">
        <f>AS100+AT100</f>
        <v>0</v>
      </c>
      <c r="AS100" s="87">
        <f>AS96*AS64/1000</f>
        <v>0</v>
      </c>
      <c r="AT100" s="87">
        <f>AT96*AT64/1000</f>
        <v>0</v>
      </c>
      <c r="AU100" s="862">
        <f>AV100+AW100</f>
        <v>0</v>
      </c>
      <c r="AV100" s="87">
        <f>AV96*AV64/1000</f>
        <v>0</v>
      </c>
      <c r="AW100" s="87">
        <f>AW96*AW64/1000</f>
        <v>0</v>
      </c>
      <c r="AX100" s="862">
        <f>AY100+AZ100</f>
        <v>0</v>
      </c>
      <c r="AY100" s="87">
        <f>AY96*AY64/1000</f>
        <v>0</v>
      </c>
      <c r="AZ100" s="87">
        <f>AZ96*AZ64/1000</f>
        <v>0</v>
      </c>
      <c r="BA100" s="862">
        <f>BB100+BC100</f>
        <v>0</v>
      </c>
      <c r="BB100" s="87">
        <f>BB96*BB64/1000</f>
        <v>0</v>
      </c>
      <c r="BC100" s="87">
        <f>BC96*BC64/1000</f>
        <v>0</v>
      </c>
      <c r="BD100" s="862">
        <f>BE100+BF100</f>
        <v>0</v>
      </c>
      <c r="BE100" s="87">
        <f>BE96*BE64/1000</f>
        <v>0</v>
      </c>
      <c r="BF100" s="87">
        <f>BF96*BF64/1000</f>
        <v>0</v>
      </c>
      <c r="BG100" s="862">
        <f>BH100+BI100</f>
        <v>0</v>
      </c>
      <c r="BH100" s="87">
        <f>BH96*BH64/1000</f>
        <v>0</v>
      </c>
      <c r="BI100" s="87">
        <f>BI96*BI64/1000</f>
        <v>0</v>
      </c>
      <c r="BJ100" s="862">
        <f>BK100+BL100</f>
        <v>0</v>
      </c>
      <c r="BK100" s="87">
        <f>BK96*BK64/1000</f>
        <v>0</v>
      </c>
      <c r="BL100" s="87">
        <f>BL96*BL64/1000</f>
        <v>0</v>
      </c>
      <c r="BM100" s="862">
        <f>BN100+BO100</f>
        <v>0</v>
      </c>
      <c r="BN100" s="87">
        <f>BN96*BN64/1000</f>
        <v>0</v>
      </c>
      <c r="BO100" s="87">
        <f>BO96*BO64/1000</f>
        <v>0</v>
      </c>
      <c r="BP100" s="862">
        <f>BQ100+BR100</f>
        <v>0</v>
      </c>
      <c r="BQ100" s="1772">
        <f>BQ96*BQ64/1000</f>
        <v>0</v>
      </c>
      <c r="BR100" s="1772">
        <f>BR96*BR64/1000</f>
        <v>0</v>
      </c>
      <c r="BS100" s="862">
        <f>BT100+BU100</f>
        <v>0</v>
      </c>
      <c r="BT100" s="87">
        <f>BT96*BT64/1000</f>
        <v>0</v>
      </c>
      <c r="BU100" s="87">
        <f>BU96*BU64/1000</f>
        <v>0</v>
      </c>
      <c r="BV100" s="862">
        <f>BW100+BX100</f>
        <v>0</v>
      </c>
      <c r="BW100" s="87">
        <f>BW96*BW64/1000</f>
        <v>0</v>
      </c>
      <c r="BX100" s="87">
        <f>BX96*BX64/1000</f>
        <v>0</v>
      </c>
      <c r="BY100" s="862">
        <f>BZ100+CA100</f>
        <v>0</v>
      </c>
      <c r="BZ100" s="87">
        <f>BZ96*BZ64/1000</f>
        <v>0</v>
      </c>
      <c r="CA100" s="87">
        <f>CA96*CA64/1000</f>
        <v>0</v>
      </c>
      <c r="CB100" s="862">
        <f>CC100+CD100</f>
        <v>0</v>
      </c>
      <c r="CC100" s="87">
        <f>CC96*CC64/1000</f>
        <v>0</v>
      </c>
      <c r="CD100" s="87">
        <f>CD96*CD64/1000</f>
        <v>0</v>
      </c>
      <c r="CE100" s="862">
        <f>CF100+CG100</f>
        <v>0</v>
      </c>
      <c r="CF100" s="87">
        <f>CF96*CF64/1000</f>
        <v>0</v>
      </c>
      <c r="CG100" s="87">
        <f>CG96*CG64/1000</f>
        <v>0</v>
      </c>
      <c r="CH100" s="862">
        <f>CI100+CJ100</f>
        <v>0</v>
      </c>
      <c r="CI100" s="87">
        <f>CI96*CI64/1000</f>
        <v>0</v>
      </c>
      <c r="CJ100" s="87">
        <f>CJ96*CJ64/1000</f>
        <v>0</v>
      </c>
      <c r="CK100" s="862">
        <f>CL100+CM100</f>
        <v>0</v>
      </c>
      <c r="CL100" s="87">
        <f>CL96*CL64/1000</f>
        <v>0</v>
      </c>
      <c r="CM100" s="87">
        <f>CM96*CM64/1000</f>
        <v>0</v>
      </c>
      <c r="CN100" s="862">
        <f>CO100+CP100</f>
        <v>0</v>
      </c>
      <c r="CO100" s="87">
        <f>CO96*CO64/1000</f>
        <v>0</v>
      </c>
      <c r="CP100" s="87">
        <f>CP96*CP64/1000</f>
        <v>0</v>
      </c>
      <c r="CQ100" s="862">
        <f>CR100+CS100</f>
        <v>0</v>
      </c>
      <c r="CR100" s="87">
        <f>CR96*CR64/1000</f>
        <v>0</v>
      </c>
      <c r="CS100" s="87">
        <f>CS96*CS64/1000</f>
        <v>0</v>
      </c>
      <c r="CT100" s="73"/>
      <c r="CW100" s="1173" t="s">
        <v>843</v>
      </c>
      <c r="CX100" s="1178" t="s">
        <v>792</v>
      </c>
      <c r="CY100" s="1182" cm="1" t="str">
        <f t="array" ref="CY100:CY100">AE100</f>
        <v>0</v>
      </c>
      <c r="CZ100" s="1182" cm="1" t="str">
        <f t="array" ref="CZ100:CZ100">AF100</f>
        <v>0</v>
      </c>
    </row>
    <row customHeight="1" ht="15" hidden="1">
      <c r="E101" s="797">
        <v>0</v>
      </c>
      <c r="F101" s="922" cm="1" t="str">
        <f t="array" ref="F101:F101">OFFSET(G101,-1,-1)</f>
        <v>0</v>
      </c>
      <c r="L101" s="922" cm="1" t="str">
        <f t="array" ref="L101:L101">OFFSET(M101,-1,-1)</f>
        <v>false</v>
      </c>
      <c r="S101" s="159" cm="1" t="str">
        <f t="array" ref="S101:S101">OFFSET(T101,-1,-1)</f>
        <v>false</v>
      </c>
      <c r="U101" s="819">
        <f>AND(S101,IF(ISBLANK(T101),TRUE,T101))</f>
        <v>0</v>
      </c>
      <c r="X101" s="973" t="str">
        <f>"{                  
         funcDyn: 'msg1',
         blok: 'blok_2',
         wsCross: 'Топливо 4.4',
         linkFormula: 'AE-AE#AF-AF',
         levelDyn: "&amp;Y28&amp;"
}"</f>
        <v>{                  
         funcDyn: 'msg1',
         blok: 'blok_2',
         wsCross: 'Топливо 4.4',
         linkFormula: 'AE-AE#AF-AF',
         levelDyn: 0
}</v>
      </c>
      <c r="AB101" s="1836"/>
      <c r="AD101" s="1805"/>
      <c r="AE101" s="975" t="s">
        <v>236</v>
      </c>
      <c r="AF101" s="1807"/>
      <c r="AG101" s="1821"/>
      <c r="AH101" s="1810"/>
      <c r="AI101" s="1811"/>
      <c r="AJ101" s="1811"/>
      <c r="AK101" s="1811"/>
      <c r="AL101" s="1811"/>
      <c r="AM101" s="1811"/>
      <c r="AN101" s="1811"/>
      <c r="AO101" s="1811"/>
      <c r="AP101" s="1811"/>
      <c r="AQ101" s="1811"/>
      <c r="AR101" s="1811"/>
      <c r="AS101" s="1811"/>
      <c r="AT101" s="1811"/>
      <c r="AU101" s="1811"/>
      <c r="AV101" s="1811"/>
      <c r="AW101" s="1811"/>
      <c r="AX101" s="1811"/>
      <c r="AY101" s="1811"/>
      <c r="AZ101" s="1811"/>
      <c r="BA101" s="1811"/>
      <c r="BB101" s="1811"/>
      <c r="BC101" s="1811"/>
      <c r="BD101" s="1811"/>
      <c r="BE101" s="1811"/>
      <c r="BF101" s="1811"/>
      <c r="BG101" s="1811"/>
      <c r="BH101" s="1811"/>
      <c r="BI101" s="1811"/>
      <c r="BJ101" s="1811"/>
      <c r="BK101" s="1811"/>
      <c r="BL101" s="1811"/>
      <c r="BM101" s="1811"/>
      <c r="BN101" s="1811"/>
      <c r="BO101" s="1811"/>
      <c r="BP101" s="1811"/>
      <c r="BQ101" s="1811"/>
      <c r="BR101" s="1811"/>
      <c r="BS101" s="1811"/>
      <c r="BT101" s="1811"/>
      <c r="BU101" s="1811"/>
      <c r="BV101" s="1811"/>
      <c r="BW101" s="1811"/>
      <c r="BX101" s="1811"/>
      <c r="BY101" s="1811"/>
      <c r="BZ101" s="1811"/>
      <c r="CA101" s="1811"/>
      <c r="CB101" s="1811"/>
      <c r="CC101" s="1811"/>
      <c r="CD101" s="1811"/>
      <c r="CE101" s="1811"/>
      <c r="CF101" s="1811"/>
      <c r="CG101" s="1811"/>
      <c r="CH101" s="1811"/>
      <c r="CI101" s="1811"/>
      <c r="CJ101" s="1811"/>
      <c r="CK101" s="1811"/>
      <c r="CL101" s="1811"/>
      <c r="CM101" s="1811"/>
      <c r="CN101" s="1811"/>
      <c r="CO101" s="1811"/>
      <c r="CP101" s="1811"/>
      <c r="CQ101" s="1811"/>
      <c r="CR101" s="1811"/>
      <c r="CS101" s="1811"/>
      <c r="CT101" s="91"/>
      <c r="CW101" s="1173" t="str">
        <f>IF(AND(ISNUMBER(VALUE(TRIM(SUBSTITUTE(AD101,".","")))),TRIM(SUBSTITUTE(AD101,".",""))&lt;&gt;""),"P"&amp;SUBSTITUTE(AD101,".",""),"")</f>
        <v/>
      </c>
    </row>
    <row customHeight="1" ht="29.25" hidden="1">
      <c r="E102" s="797">
        <v>30</v>
      </c>
      <c r="F102" s="922" cm="1" t="str">
        <f t="array" ref="F102:F102">OFFSET(G102,-1,-1)</f>
        <v>0</v>
      </c>
      <c r="L102" s="922" cm="1" t="str">
        <f t="array" ref="L102:L102">OFFSET(M102,-1,-1)</f>
        <v>false</v>
      </c>
      <c r="R102" s="922" t="s">
        <v>730</v>
      </c>
      <c r="S102" s="159" cm="1" t="str">
        <f t="array" ref="S102:S102">OFFSET(T102,-1,-1)</f>
        <v>false</v>
      </c>
      <c r="T102" s="159" cm="1" t="str">
        <f t="array" ref="T102:T102">L102</f>
        <v>false</v>
      </c>
      <c r="U102" s="819">
        <f>AND(S102,IF(ISBLANK(T102),TRUE,T102))</f>
        <v>0</v>
      </c>
      <c r="AB102" s="1836"/>
      <c r="AD102" s="173" t="s">
        <v>845</v>
      </c>
      <c r="AE102" s="1502" t="s">
        <v>846</v>
      </c>
      <c r="AF102" s="1833"/>
      <c r="AG102" s="859" t="s">
        <v>810</v>
      </c>
      <c r="AH102" s="860">
        <f>SUM(AH103:AH104)</f>
        <v>0</v>
      </c>
      <c r="AI102" s="860">
        <f>SUM(AI103:AI104)</f>
        <v>0</v>
      </c>
      <c r="AJ102" s="860">
        <f>SUM(AJ103:AJ104)</f>
        <v>0</v>
      </c>
      <c r="AK102" s="860">
        <f>SUM(AK103:AK104)</f>
        <v>0</v>
      </c>
      <c r="AL102" s="860">
        <f>SUM(AL103:AL104)</f>
        <v>0</v>
      </c>
      <c r="AM102" s="860">
        <f>SUM(AM103:AM104)</f>
        <v>0</v>
      </c>
      <c r="AN102" s="860">
        <f>SUM(AN103:AN104)</f>
        <v>0</v>
      </c>
      <c r="AO102" s="860">
        <f>SUM(AO103:AO104)</f>
        <v>0</v>
      </c>
      <c r="AP102" s="860">
        <f>SUM(AP103:AP104)</f>
        <v>0</v>
      </c>
      <c r="AQ102" s="860">
        <f>SUM(AQ103:AQ104)</f>
        <v>0</v>
      </c>
      <c r="AR102" s="860">
        <f>SUM(AR103:AR104)</f>
        <v>0</v>
      </c>
      <c r="AS102" s="860">
        <f>SUM(AS103:AS104)</f>
        <v>0</v>
      </c>
      <c r="AT102" s="860">
        <f>SUM(AT103:AT104)</f>
        <v>0</v>
      </c>
      <c r="AU102" s="860">
        <f>SUM(AU103:AU104)</f>
        <v>0</v>
      </c>
      <c r="AV102" s="860">
        <f>SUM(AV103:AV104)</f>
        <v>0</v>
      </c>
      <c r="AW102" s="860">
        <f>SUM(AW103:AW104)</f>
        <v>0</v>
      </c>
      <c r="AX102" s="860">
        <f>SUM(AX103:AX104)</f>
        <v>0</v>
      </c>
      <c r="AY102" s="860">
        <f>SUM(AY103:AY104)</f>
        <v>0</v>
      </c>
      <c r="AZ102" s="860">
        <f>SUM(AZ103:AZ104)</f>
        <v>0</v>
      </c>
      <c r="BA102" s="860">
        <f>SUM(BA103:BA104)</f>
        <v>0</v>
      </c>
      <c r="BB102" s="860">
        <f>SUM(BB103:BB104)</f>
        <v>0</v>
      </c>
      <c r="BC102" s="860">
        <f>SUM(BC103:BC104)</f>
        <v>0</v>
      </c>
      <c r="BD102" s="860">
        <f>SUM(BD103:BD104)</f>
        <v>0</v>
      </c>
      <c r="BE102" s="860">
        <f>SUM(BE103:BE104)</f>
        <v>0</v>
      </c>
      <c r="BF102" s="860">
        <f>SUM(BF103:BF104)</f>
        <v>0</v>
      </c>
      <c r="BG102" s="860">
        <f>SUM(BG103:BG104)</f>
        <v>0</v>
      </c>
      <c r="BH102" s="860">
        <f>SUM(BH103:BH104)</f>
        <v>0</v>
      </c>
      <c r="BI102" s="860">
        <f>SUM(BI103:BI104)</f>
        <v>0</v>
      </c>
      <c r="BJ102" s="860">
        <f>SUM(BJ103:BJ104)</f>
        <v>0</v>
      </c>
      <c r="BK102" s="860">
        <f>SUM(BK103:BK104)</f>
        <v>0</v>
      </c>
      <c r="BL102" s="860">
        <f>SUM(BL103:BL104)</f>
        <v>0</v>
      </c>
      <c r="BM102" s="860">
        <f>SUM(BM103:BM104)</f>
        <v>0</v>
      </c>
      <c r="BN102" s="860">
        <f>SUM(BN103:BN104)</f>
        <v>0</v>
      </c>
      <c r="BO102" s="860">
        <f>SUM(BO103:BO104)</f>
        <v>0</v>
      </c>
      <c r="BP102" s="860">
        <f>SUM(BP103:BP104)</f>
        <v>0</v>
      </c>
      <c r="BQ102" s="860">
        <f>SUM(BQ103:BQ104)</f>
        <v>0</v>
      </c>
      <c r="BR102" s="860">
        <f>SUM(BR103:BR104)</f>
        <v>0</v>
      </c>
      <c r="BS102" s="860">
        <f>SUM(BS103:BS104)</f>
        <v>0</v>
      </c>
      <c r="BT102" s="860">
        <f>SUM(BT103:BT104)</f>
        <v>0</v>
      </c>
      <c r="BU102" s="860">
        <f>SUM(BU103:BU104)</f>
        <v>0</v>
      </c>
      <c r="BV102" s="860">
        <f>SUM(BV103:BV104)</f>
        <v>0</v>
      </c>
      <c r="BW102" s="860">
        <f>SUM(BW103:BW104)</f>
        <v>0</v>
      </c>
      <c r="BX102" s="860">
        <f>SUM(BX103:BX104)</f>
        <v>0</v>
      </c>
      <c r="BY102" s="860">
        <f>SUM(BY103:BY104)</f>
        <v>0</v>
      </c>
      <c r="BZ102" s="860">
        <f>SUM(BZ103:BZ104)</f>
        <v>0</v>
      </c>
      <c r="CA102" s="860">
        <f>SUM(CA103:CA104)</f>
        <v>0</v>
      </c>
      <c r="CB102" s="860">
        <f>SUM(CB103:CB104)</f>
        <v>0</v>
      </c>
      <c r="CC102" s="860">
        <f>SUM(CC103:CC104)</f>
        <v>0</v>
      </c>
      <c r="CD102" s="860">
        <f>SUM(CD103:CD104)</f>
        <v>0</v>
      </c>
      <c r="CE102" s="860">
        <f>SUM(CE103:CE104)</f>
        <v>0</v>
      </c>
      <c r="CF102" s="860">
        <f>SUM(CF103:CF104)</f>
        <v>0</v>
      </c>
      <c r="CG102" s="860">
        <f>SUM(CG103:CG104)</f>
        <v>0</v>
      </c>
      <c r="CH102" s="860">
        <f>SUM(CH103:CH104)</f>
        <v>0</v>
      </c>
      <c r="CI102" s="860">
        <f>SUM(CI103:CI104)</f>
        <v>0</v>
      </c>
      <c r="CJ102" s="860">
        <f>SUM(CJ103:CJ104)</f>
        <v>0</v>
      </c>
      <c r="CK102" s="860">
        <f>SUM(CK103:CK104)</f>
        <v>0</v>
      </c>
      <c r="CL102" s="860">
        <f>SUM(CL103:CL104)</f>
        <v>0</v>
      </c>
      <c r="CM102" s="860">
        <f>SUM(CM103:CM104)</f>
        <v>0</v>
      </c>
      <c r="CN102" s="860">
        <f>SUM(CN103:CN104)</f>
        <v>0</v>
      </c>
      <c r="CO102" s="860">
        <f>SUM(CO103:CO104)</f>
        <v>0</v>
      </c>
      <c r="CP102" s="860">
        <f>SUM(CP103:CP104)</f>
        <v>0</v>
      </c>
      <c r="CQ102" s="860">
        <f>SUM(CQ103:CQ104)</f>
        <v>0</v>
      </c>
      <c r="CR102" s="860">
        <f>SUM(CR103:CR104)</f>
        <v>0</v>
      </c>
      <c r="CS102" s="860">
        <f>SUM(CS103:CS104)</f>
        <v>0</v>
      </c>
      <c r="CT102" s="73"/>
      <c r="CW102" s="1173" t="s">
        <v>847</v>
      </c>
    </row>
    <row customHeight="1" ht="16.672500000000003" hidden="1">
      <c r="E103" s="797">
        <v>17.1</v>
      </c>
      <c r="F103" s="922" cm="1" t="str">
        <f t="array" ref="F103:F103">OFFSET(G103,-1,-1)</f>
        <v>0</v>
      </c>
      <c r="L103" s="922" cm="1" t="str">
        <f t="array" ref="L103:L103">OFFSET(M103,-1,-1)</f>
        <v>false</v>
      </c>
      <c r="R103" s="922" t="s">
        <v>730</v>
      </c>
      <c r="S103" s="159" cm="1" t="str">
        <f t="array" ref="S103:S103">OFFSET(T103,-1,-1)</f>
        <v>false</v>
      </c>
      <c r="T103" s="159">
        <f>AND(L103,AD103&lt;&gt;"33.0")</f>
        <v>0</v>
      </c>
      <c r="U103" s="819">
        <f>AND(S103,IF(ISBLANK(T103),TRUE,T103))</f>
        <v>0</v>
      </c>
      <c r="X103" s="159" t="s">
        <v>234</v>
      </c>
      <c r="AB103" s="1836"/>
      <c r="AD103" s="160" t="s">
        <v>848</v>
      </c>
      <c r="AE103" s="1802"/>
      <c r="AF103" s="1803"/>
      <c r="AG103" s="859" t="s">
        <v>810</v>
      </c>
      <c r="AH103" s="86">
        <f>AH$52*AH100</f>
        <v>0</v>
      </c>
      <c r="AI103" s="87">
        <f>AI$52*AI100</f>
        <v>0</v>
      </c>
      <c r="AJ103" s="87">
        <f>AJ$52*AJ100</f>
        <v>0</v>
      </c>
      <c r="AK103" s="87">
        <f>AK$52*AK100</f>
        <v>0</v>
      </c>
      <c r="AL103" s="862">
        <f>AM103+AN103</f>
        <v>0</v>
      </c>
      <c r="AM103" s="87">
        <f>AM$52*AM100</f>
        <v>0</v>
      </c>
      <c r="AN103" s="87">
        <f>AN$52*AN100</f>
        <v>0</v>
      </c>
      <c r="AO103" s="862">
        <f>AP103+AQ103</f>
        <v>0</v>
      </c>
      <c r="AP103" s="87">
        <f>AP$52*AP100</f>
        <v>0</v>
      </c>
      <c r="AQ103" s="87">
        <f>AQ$52*AQ100</f>
        <v>0</v>
      </c>
      <c r="AR103" s="862">
        <f>AS103+AT103</f>
        <v>0</v>
      </c>
      <c r="AS103" s="87">
        <f>AS$52*AS100</f>
        <v>0</v>
      </c>
      <c r="AT103" s="87">
        <f>AT$52*AT100</f>
        <v>0</v>
      </c>
      <c r="AU103" s="862">
        <f>AV103+AW103</f>
        <v>0</v>
      </c>
      <c r="AV103" s="87">
        <f>AV$52*AV100</f>
        <v>0</v>
      </c>
      <c r="AW103" s="87">
        <f>AW$52*AW100</f>
        <v>0</v>
      </c>
      <c r="AX103" s="862">
        <f>AY103+AZ103</f>
        <v>0</v>
      </c>
      <c r="AY103" s="87">
        <f>AY$52*AY100</f>
        <v>0</v>
      </c>
      <c r="AZ103" s="87">
        <f>AZ$52*AZ100</f>
        <v>0</v>
      </c>
      <c r="BA103" s="862">
        <f>BB103+BC103</f>
        <v>0</v>
      </c>
      <c r="BB103" s="87">
        <f>BB$52*BB100</f>
        <v>0</v>
      </c>
      <c r="BC103" s="87">
        <f>BC$52*BC100</f>
        <v>0</v>
      </c>
      <c r="BD103" s="862">
        <f>BE103+BF103</f>
        <v>0</v>
      </c>
      <c r="BE103" s="87">
        <f>BE$52*BE100</f>
        <v>0</v>
      </c>
      <c r="BF103" s="87">
        <f>BF$52*BF100</f>
        <v>0</v>
      </c>
      <c r="BG103" s="862">
        <f>BH103+BI103</f>
        <v>0</v>
      </c>
      <c r="BH103" s="87">
        <f>BH$52*BH100</f>
        <v>0</v>
      </c>
      <c r="BI103" s="87">
        <f>BI$52*BI100</f>
        <v>0</v>
      </c>
      <c r="BJ103" s="862">
        <f>BK103+BL103</f>
        <v>0</v>
      </c>
      <c r="BK103" s="87">
        <f>BK$52*BK100</f>
        <v>0</v>
      </c>
      <c r="BL103" s="87">
        <f>BL$52*BL100</f>
        <v>0</v>
      </c>
      <c r="BM103" s="862">
        <f>BN103+BO103</f>
        <v>0</v>
      </c>
      <c r="BN103" s="87">
        <f>BN$52*BN100</f>
        <v>0</v>
      </c>
      <c r="BO103" s="87">
        <f>BO$52*BO100</f>
        <v>0</v>
      </c>
      <c r="BP103" s="862">
        <f>BQ103+BR103</f>
        <v>0</v>
      </c>
      <c r="BQ103" s="1772">
        <f>BQ$52*BQ100</f>
        <v>0</v>
      </c>
      <c r="BR103" s="1772">
        <f>BR$52*BR100</f>
        <v>0</v>
      </c>
      <c r="BS103" s="862">
        <f>BT103+BU103</f>
        <v>0</v>
      </c>
      <c r="BT103" s="87">
        <f>BT$52*BT100</f>
        <v>0</v>
      </c>
      <c r="BU103" s="87">
        <f>BU$52*BU100</f>
        <v>0</v>
      </c>
      <c r="BV103" s="862">
        <f>BW103+BX103</f>
        <v>0</v>
      </c>
      <c r="BW103" s="87">
        <f>BW$52*BW100</f>
        <v>0</v>
      </c>
      <c r="BX103" s="87">
        <f>BX$52*BX100</f>
        <v>0</v>
      </c>
      <c r="BY103" s="862">
        <f>BZ103+CA103</f>
        <v>0</v>
      </c>
      <c r="BZ103" s="87">
        <f>BZ$52*BZ100</f>
        <v>0</v>
      </c>
      <c r="CA103" s="87">
        <f>CA$52*CA100</f>
        <v>0</v>
      </c>
      <c r="CB103" s="862">
        <f>CC103+CD103</f>
        <v>0</v>
      </c>
      <c r="CC103" s="87">
        <f>CC$52*CC100</f>
        <v>0</v>
      </c>
      <c r="CD103" s="87">
        <f>CD$52*CD100</f>
        <v>0</v>
      </c>
      <c r="CE103" s="862">
        <f>CF103+CG103</f>
        <v>0</v>
      </c>
      <c r="CF103" s="87">
        <f>CF$52*CF100</f>
        <v>0</v>
      </c>
      <c r="CG103" s="87">
        <f>CG$52*CG100</f>
        <v>0</v>
      </c>
      <c r="CH103" s="862">
        <f>CI103+CJ103</f>
        <v>0</v>
      </c>
      <c r="CI103" s="87">
        <f>CI$52*CI100</f>
        <v>0</v>
      </c>
      <c r="CJ103" s="87">
        <f>CJ$52*CJ100</f>
        <v>0</v>
      </c>
      <c r="CK103" s="862">
        <f>CL103+CM103</f>
        <v>0</v>
      </c>
      <c r="CL103" s="87">
        <f>CL$52*CL100</f>
        <v>0</v>
      </c>
      <c r="CM103" s="87">
        <f>CM$52*CM100</f>
        <v>0</v>
      </c>
      <c r="CN103" s="862">
        <f>CO103+CP103</f>
        <v>0</v>
      </c>
      <c r="CO103" s="87">
        <f>CO$52*CO100</f>
        <v>0</v>
      </c>
      <c r="CP103" s="87">
        <f>CP$52*CP100</f>
        <v>0</v>
      </c>
      <c r="CQ103" s="862">
        <f>CR103+CS103</f>
        <v>0</v>
      </c>
      <c r="CR103" s="87">
        <f>CR$52*CR100</f>
        <v>0</v>
      </c>
      <c r="CS103" s="87">
        <f>CS$52*CS100</f>
        <v>0</v>
      </c>
      <c r="CT103" s="73"/>
      <c r="CW103" s="1173" t="s">
        <v>847</v>
      </c>
      <c r="CX103" s="1178" t="s">
        <v>792</v>
      </c>
      <c r="CY103" s="1182" cm="1" t="str">
        <f t="array" ref="CY103:CY103">AE103</f>
        <v>0</v>
      </c>
      <c r="CZ103" s="1182" cm="1" t="str">
        <f t="array" ref="CZ103:CZ103">AF103</f>
        <v>0</v>
      </c>
    </row>
    <row customHeight="1" ht="15" hidden="1">
      <c r="E104" s="797">
        <v>0</v>
      </c>
      <c r="F104" s="922" cm="1" t="str">
        <f t="array" ref="F104:F104">OFFSET(G104,-1,-1)</f>
        <v>0</v>
      </c>
      <c r="L104" s="922" cm="1" t="str">
        <f t="array" ref="L104:L104">OFFSET(M104,-1,-1)</f>
        <v>false</v>
      </c>
      <c r="S104" s="159" cm="1" t="str">
        <f t="array" ref="S104:S104">OFFSET(T104,-1,-1)</f>
        <v>false</v>
      </c>
      <c r="U104" s="819">
        <f>AND(S104,IF(ISBLANK(T104),TRUE,T104))</f>
        <v>0</v>
      </c>
      <c r="X104" s="973" t="str">
        <f>"{                  
         funcDyn: 'msg1',
         blok: 'blok_2',
         wsCross: 'Топливо 4.4',
         linkFormula: 'AE-AE#AF-AF',
         levelDyn: "&amp;Y28&amp;"
}"</f>
        <v>{                  
         funcDyn: 'msg1',
         blok: 'blok_2',
         wsCross: 'Топливо 4.4',
         linkFormula: 'AE-AE#AF-AF',
         levelDyn: 0
}</v>
      </c>
      <c r="AB104" s="1837"/>
      <c r="AD104" s="1805"/>
      <c r="AE104" s="975" t="s">
        <v>236</v>
      </c>
      <c r="AF104" s="1807"/>
      <c r="AG104" s="1821"/>
      <c r="AH104" s="1810"/>
      <c r="AI104" s="1811"/>
      <c r="AJ104" s="1811"/>
      <c r="AK104" s="1811"/>
      <c r="AL104" s="1811"/>
      <c r="AM104" s="1811"/>
      <c r="AN104" s="1811"/>
      <c r="AO104" s="1811"/>
      <c r="AP104" s="1811"/>
      <c r="AQ104" s="1811"/>
      <c r="AR104" s="1811"/>
      <c r="AS104" s="1811"/>
      <c r="AT104" s="1811"/>
      <c r="AU104" s="1811"/>
      <c r="AV104" s="1811"/>
      <c r="AW104" s="1811"/>
      <c r="AX104" s="1811"/>
      <c r="AY104" s="1811"/>
      <c r="AZ104" s="1811"/>
      <c r="BA104" s="1811"/>
      <c r="BB104" s="1811"/>
      <c r="BC104" s="1811"/>
      <c r="BD104" s="1811"/>
      <c r="BE104" s="1811"/>
      <c r="BF104" s="1811"/>
      <c r="BG104" s="1811"/>
      <c r="BH104" s="1811"/>
      <c r="BI104" s="1811"/>
      <c r="BJ104" s="1811"/>
      <c r="BK104" s="1811"/>
      <c r="BL104" s="1811"/>
      <c r="BM104" s="1811"/>
      <c r="BN104" s="1811"/>
      <c r="BO104" s="1811"/>
      <c r="BP104" s="1811"/>
      <c r="BQ104" s="1811"/>
      <c r="BR104" s="1811"/>
      <c r="BS104" s="1811"/>
      <c r="BT104" s="1811"/>
      <c r="BU104" s="1811"/>
      <c r="BV104" s="1811"/>
      <c r="BW104" s="1811"/>
      <c r="BX104" s="1811"/>
      <c r="BY104" s="1811"/>
      <c r="BZ104" s="1811"/>
      <c r="CA104" s="1811"/>
      <c r="CB104" s="1811"/>
      <c r="CC104" s="1811"/>
      <c r="CD104" s="1811"/>
      <c r="CE104" s="1811"/>
      <c r="CF104" s="1811"/>
      <c r="CG104" s="1811"/>
      <c r="CH104" s="1811"/>
      <c r="CI104" s="1811"/>
      <c r="CJ104" s="1811"/>
      <c r="CK104" s="1811"/>
      <c r="CL104" s="1811"/>
      <c r="CM104" s="1811"/>
      <c r="CN104" s="1811"/>
      <c r="CO104" s="1811"/>
      <c r="CP104" s="1811"/>
      <c r="CQ104" s="1811"/>
      <c r="CR104" s="1811"/>
      <c r="CS104" s="1811"/>
      <c r="CT104" s="91"/>
      <c r="CW104" s="1173" t="str">
        <f>IF(AND(ISNUMBER(VALUE(TRIM(SUBSTITUTE(AD104,".","")))),TRIM(SUBSTITUTE(AD104,".",""))&lt;&gt;""),"P"&amp;SUBSTITUTE(AD104,".",""),"")</f>
        <v/>
      </c>
    </row>
    <row customHeight="1" ht="16.672500000000003" hidden="1">
      <c r="E105" s="797">
        <v>17.1</v>
      </c>
      <c r="F105" s="922" cm="1" t="str">
        <f t="array" ref="F105:F105">OFFSET(G105,-1,-1)</f>
        <v>0</v>
      </c>
      <c r="L105" s="922" cm="1" t="str">
        <f t="array" ref="L105:L105">OFFSET(M105,-1,-1)</f>
        <v>false</v>
      </c>
      <c r="S105" s="159" cm="1" t="str">
        <f t="array" ref="S105:S105">OFFSET(T105,-1,-1)</f>
        <v>false</v>
      </c>
      <c r="U105" s="819">
        <f>AND(S105,IF(ISBLANK(T105),TRUE,T105))</f>
        <v>0</v>
      </c>
      <c r="AB105" s="1485" t="s">
        <v>849</v>
      </c>
      <c r="AD105" s="173" t="s">
        <v>850</v>
      </c>
      <c r="AE105" s="1497" t="s">
        <v>851</v>
      </c>
      <c r="AF105" s="1826"/>
      <c r="AG105" s="1827"/>
      <c r="AH105" s="1810"/>
      <c r="AI105" s="1811"/>
      <c r="AJ105" s="1811"/>
      <c r="AK105" s="1811"/>
      <c r="AL105" s="1811"/>
      <c r="AM105" s="1811"/>
      <c r="AN105" s="1811"/>
      <c r="AO105" s="1811"/>
      <c r="AP105" s="1811"/>
      <c r="AQ105" s="1811"/>
      <c r="AR105" s="1811"/>
      <c r="AS105" s="1811"/>
      <c r="AT105" s="1811"/>
      <c r="AU105" s="1811"/>
      <c r="AV105" s="1811"/>
      <c r="AW105" s="1811"/>
      <c r="AX105" s="1811"/>
      <c r="AY105" s="1811"/>
      <c r="AZ105" s="1811"/>
      <c r="BA105" s="1811"/>
      <c r="BB105" s="1811"/>
      <c r="BC105" s="1811"/>
      <c r="BD105" s="1811"/>
      <c r="BE105" s="1811"/>
      <c r="BF105" s="1811"/>
      <c r="BG105" s="1811"/>
      <c r="BH105" s="1811"/>
      <c r="BI105" s="1811"/>
      <c r="BJ105" s="1811"/>
      <c r="BK105" s="1811"/>
      <c r="BL105" s="1811"/>
      <c r="BM105" s="1811"/>
      <c r="BN105" s="1811"/>
      <c r="BO105" s="1811"/>
      <c r="BP105" s="1811"/>
      <c r="BQ105" s="1811"/>
      <c r="BR105" s="1811"/>
      <c r="BS105" s="1811"/>
      <c r="BT105" s="1811"/>
      <c r="BU105" s="1811"/>
      <c r="BV105" s="1811"/>
      <c r="BW105" s="1811"/>
      <c r="BX105" s="1811"/>
      <c r="BY105" s="1811"/>
      <c r="BZ105" s="1811"/>
      <c r="CA105" s="1811"/>
      <c r="CB105" s="1811"/>
      <c r="CC105" s="1811"/>
      <c r="CD105" s="1811"/>
      <c r="CE105" s="1811"/>
      <c r="CF105" s="1811"/>
      <c r="CG105" s="1811"/>
      <c r="CH105" s="1811"/>
      <c r="CI105" s="1811"/>
      <c r="CJ105" s="1811"/>
      <c r="CK105" s="1811"/>
      <c r="CL105" s="1811"/>
      <c r="CM105" s="1811"/>
      <c r="CN105" s="1811"/>
      <c r="CO105" s="1811"/>
      <c r="CP105" s="1811"/>
      <c r="CQ105" s="1811"/>
      <c r="CR105" s="1811"/>
      <c r="CS105" s="1811"/>
      <c r="CT105" s="73"/>
      <c r="CW105" s="1173" t="s">
        <v>852</v>
      </c>
    </row>
    <row customHeight="1" ht="16.672500000000003" hidden="1">
      <c r="E106" s="797">
        <v>17.1</v>
      </c>
      <c r="F106" s="922" cm="1" t="str">
        <f t="array" ref="F106:F106">OFFSET(G106,-1,-1)</f>
        <v>0</v>
      </c>
      <c r="L106" s="922" cm="1" t="str">
        <f t="array" ref="L106:L106">OFFSET(M106,-1,-1)</f>
        <v>false</v>
      </c>
      <c r="S106" s="159" cm="1" t="str">
        <f t="array" ref="S106:S106">OFFSET(T106,-1,-1)</f>
        <v>false</v>
      </c>
      <c r="T106" s="159">
        <f>AD106&lt;&gt;"34.0"</f>
        <v>0</v>
      </c>
      <c r="U106" s="819">
        <f>AND(S106,IF(ISBLANK(T106),TRUE,T106))</f>
        <v>0</v>
      </c>
      <c r="X106" s="159" t="s">
        <v>234</v>
      </c>
      <c r="AB106" s="1818"/>
      <c r="AD106" s="160" t="s">
        <v>853</v>
      </c>
      <c r="AE106" s="1802"/>
      <c r="AF106" s="1803"/>
      <c r="AG106" s="859" t="s">
        <v>498</v>
      </c>
      <c r="AH106" s="90"/>
      <c r="AI106" s="94"/>
      <c r="AJ106" s="94"/>
      <c r="AK106" s="94"/>
      <c r="AL106" s="1811"/>
      <c r="AM106" s="94"/>
      <c r="AN106" s="94"/>
      <c r="AO106" s="1811"/>
      <c r="AP106" s="94"/>
      <c r="AQ106" s="94"/>
      <c r="AR106" s="1811"/>
      <c r="AS106" s="94"/>
      <c r="AT106" s="94"/>
      <c r="AU106" s="1811"/>
      <c r="AV106" s="94"/>
      <c r="AW106" s="94"/>
      <c r="AX106" s="1811"/>
      <c r="AY106" s="94"/>
      <c r="AZ106" s="94"/>
      <c r="BA106" s="1811"/>
      <c r="BB106" s="94"/>
      <c r="BC106" s="94"/>
      <c r="BD106" s="1811"/>
      <c r="BE106" s="94"/>
      <c r="BF106" s="94"/>
      <c r="BG106" s="1811"/>
      <c r="BH106" s="94"/>
      <c r="BI106" s="94"/>
      <c r="BJ106" s="1811"/>
      <c r="BK106" s="94"/>
      <c r="BL106" s="94"/>
      <c r="BM106" s="1811"/>
      <c r="BN106" s="94"/>
      <c r="BO106" s="94"/>
      <c r="BP106" s="1811"/>
      <c r="BQ106" s="1829"/>
      <c r="BR106" s="1829"/>
      <c r="BS106" s="1811"/>
      <c r="BT106" s="94"/>
      <c r="BU106" s="94"/>
      <c r="BV106" s="1811"/>
      <c r="BW106" s="94"/>
      <c r="BX106" s="94"/>
      <c r="BY106" s="1811"/>
      <c r="BZ106" s="94"/>
      <c r="CA106" s="94"/>
      <c r="CB106" s="1811"/>
      <c r="CC106" s="94"/>
      <c r="CD106" s="94"/>
      <c r="CE106" s="1811"/>
      <c r="CF106" s="94"/>
      <c r="CG106" s="94"/>
      <c r="CH106" s="1811"/>
      <c r="CI106" s="94"/>
      <c r="CJ106" s="94"/>
      <c r="CK106" s="1811"/>
      <c r="CL106" s="94"/>
      <c r="CM106" s="94"/>
      <c r="CN106" s="1811"/>
      <c r="CO106" s="94"/>
      <c r="CP106" s="94"/>
      <c r="CQ106" s="1811"/>
      <c r="CR106" s="94"/>
      <c r="CS106" s="94"/>
      <c r="CT106" s="73"/>
      <c r="CW106" s="1173" t="s">
        <v>852</v>
      </c>
      <c r="CX106" s="1178" t="s">
        <v>792</v>
      </c>
      <c r="CY106" s="1182" cm="1" t="str">
        <f t="array" ref="CY106:CY106">AE106</f>
        <v>0</v>
      </c>
      <c r="CZ106" s="1182" cm="1" t="str">
        <f t="array" ref="CZ106:CZ106">AF106</f>
        <v>0</v>
      </c>
    </row>
    <row customHeight="1" ht="15" hidden="1">
      <c r="E107" s="797">
        <v>0</v>
      </c>
      <c r="F107" s="922" cm="1" t="str">
        <f t="array" ref="F107:F107">OFFSET(G107,-1,-1)</f>
        <v>0</v>
      </c>
      <c r="L107" s="922" cm="1" t="str">
        <f t="array" ref="L107:L107">OFFSET(M107,-1,-1)</f>
        <v>false</v>
      </c>
      <c r="S107" s="159" cm="1" t="str">
        <f t="array" ref="S107:S107">OFFSET(T107,-1,-1)</f>
        <v>false</v>
      </c>
      <c r="U107" s="819">
        <f>AND(S107,IF(ISBLANK(T107),TRUE,T107))</f>
        <v>0</v>
      </c>
      <c r="X107" s="973" t="str">
        <f>"{                  
         funcDyn: 'msg1',
         blok: 'blok_2',
         wsCross: 'Топливо 4.4',
         linkFormula: 'AE-AE#AF-AF',
         levelDyn: "&amp;Y28&amp;"
}"</f>
        <v>{                  
         funcDyn: 'msg1',
         blok: 'blok_2',
         wsCross: 'Топливо 4.4',
         linkFormula: 'AE-AE#AF-AF',
         levelDyn: 0
}</v>
      </c>
      <c r="AB107" s="1818"/>
      <c r="AD107" s="1805"/>
      <c r="AE107" s="975" t="s">
        <v>236</v>
      </c>
      <c r="AF107" s="1807"/>
      <c r="AG107" s="1821"/>
      <c r="AH107" s="1808"/>
      <c r="AI107" s="95"/>
      <c r="AJ107" s="95"/>
      <c r="AK107" s="95"/>
      <c r="AL107" s="1811"/>
      <c r="AM107" s="95"/>
      <c r="AN107" s="95"/>
      <c r="AO107" s="1811"/>
      <c r="AP107" s="95"/>
      <c r="AQ107" s="95"/>
      <c r="AR107" s="1811"/>
      <c r="AS107" s="95"/>
      <c r="AT107" s="95"/>
      <c r="AU107" s="1811"/>
      <c r="AV107" s="95"/>
      <c r="AW107" s="95"/>
      <c r="AX107" s="1811"/>
      <c r="AY107" s="95"/>
      <c r="AZ107" s="95"/>
      <c r="BA107" s="1811"/>
      <c r="BB107" s="95"/>
      <c r="BC107" s="95"/>
      <c r="BD107" s="1811"/>
      <c r="BE107" s="95"/>
      <c r="BF107" s="95"/>
      <c r="BG107" s="1811"/>
      <c r="BH107" s="95"/>
      <c r="BI107" s="95"/>
      <c r="BJ107" s="1811"/>
      <c r="BK107" s="95"/>
      <c r="BL107" s="95"/>
      <c r="BM107" s="1811"/>
      <c r="BN107" s="95"/>
      <c r="BO107" s="95"/>
      <c r="BP107" s="1811"/>
      <c r="BQ107" s="95"/>
      <c r="BR107" s="95"/>
      <c r="BS107" s="1811"/>
      <c r="BT107" s="95"/>
      <c r="BU107" s="95"/>
      <c r="BV107" s="1811"/>
      <c r="BW107" s="95"/>
      <c r="BX107" s="95"/>
      <c r="BY107" s="1811"/>
      <c r="BZ107" s="95"/>
      <c r="CA107" s="95"/>
      <c r="CB107" s="1811"/>
      <c r="CC107" s="95"/>
      <c r="CD107" s="95"/>
      <c r="CE107" s="1811"/>
      <c r="CF107" s="95"/>
      <c r="CG107" s="95"/>
      <c r="CH107" s="1811"/>
      <c r="CI107" s="95"/>
      <c r="CJ107" s="95"/>
      <c r="CK107" s="1811"/>
      <c r="CL107" s="95"/>
      <c r="CM107" s="95"/>
      <c r="CN107" s="1811"/>
      <c r="CO107" s="95"/>
      <c r="CP107" s="95"/>
      <c r="CQ107" s="1811"/>
      <c r="CR107" s="95"/>
      <c r="CS107" s="95"/>
      <c r="CT107" s="91"/>
      <c r="CW107" s="1173" t="str">
        <f>IF(AND(ISNUMBER(VALUE(TRIM(SUBSTITUTE(AD107,".","")))),TRIM(SUBSTITUTE(AD107,".",""))&lt;&gt;""),"P"&amp;SUBSTITUTE(AD107,".",""),"")</f>
        <v/>
      </c>
    </row>
    <row customHeight="1" ht="16.672500000000003" hidden="1">
      <c r="E108" s="797">
        <v>17.1</v>
      </c>
      <c r="F108" s="922" cm="1" t="str">
        <f t="array" ref="F108:F108">OFFSET(G108,-1,-1)</f>
        <v>0</v>
      </c>
      <c r="L108" s="922" cm="1" t="str">
        <f t="array" ref="L108:L108">OFFSET(M108,-1,-1)</f>
        <v>false</v>
      </c>
      <c r="S108" s="159" cm="1" t="str">
        <f t="array" ref="S108:S108">OFFSET(T108,-1,-1)</f>
        <v>false</v>
      </c>
      <c r="U108" s="819">
        <f>AND(S108,IF(ISBLANK(T108),TRUE,T108))</f>
        <v>0</v>
      </c>
      <c r="AB108" s="1818"/>
      <c r="AD108" s="173" t="s">
        <v>854</v>
      </c>
      <c r="AE108" s="1497" t="s">
        <v>855</v>
      </c>
      <c r="AF108" s="1826"/>
      <c r="AG108" s="1827"/>
      <c r="AH108" s="1810"/>
      <c r="AI108" s="1811"/>
      <c r="AJ108" s="1811"/>
      <c r="AK108" s="1811"/>
      <c r="AL108" s="1811"/>
      <c r="AM108" s="1811"/>
      <c r="AN108" s="1811"/>
      <c r="AO108" s="1811"/>
      <c r="AP108" s="1811"/>
      <c r="AQ108" s="1811"/>
      <c r="AR108" s="1811"/>
      <c r="AS108" s="1811"/>
      <c r="AT108" s="1811"/>
      <c r="AU108" s="1811"/>
      <c r="AV108" s="1811"/>
      <c r="AW108" s="1811"/>
      <c r="AX108" s="1811"/>
      <c r="AY108" s="1811"/>
      <c r="AZ108" s="1811"/>
      <c r="BA108" s="1811"/>
      <c r="BB108" s="1811"/>
      <c r="BC108" s="1811"/>
      <c r="BD108" s="1811"/>
      <c r="BE108" s="1811"/>
      <c r="BF108" s="1811"/>
      <c r="BG108" s="1811"/>
      <c r="BH108" s="1811"/>
      <c r="BI108" s="1811"/>
      <c r="BJ108" s="1811"/>
      <c r="BK108" s="1811"/>
      <c r="BL108" s="1811"/>
      <c r="BM108" s="1811"/>
      <c r="BN108" s="1811"/>
      <c r="BO108" s="1811"/>
      <c r="BP108" s="1811"/>
      <c r="BQ108" s="1811"/>
      <c r="BR108" s="1811"/>
      <c r="BS108" s="1811"/>
      <c r="BT108" s="1811"/>
      <c r="BU108" s="1811"/>
      <c r="BV108" s="1811"/>
      <c r="BW108" s="1811"/>
      <c r="BX108" s="1811"/>
      <c r="BY108" s="1811"/>
      <c r="BZ108" s="1811"/>
      <c r="CA108" s="1811"/>
      <c r="CB108" s="1811"/>
      <c r="CC108" s="1811"/>
      <c r="CD108" s="1811"/>
      <c r="CE108" s="1811"/>
      <c r="CF108" s="1811"/>
      <c r="CG108" s="1811"/>
      <c r="CH108" s="1811"/>
      <c r="CI108" s="1811"/>
      <c r="CJ108" s="1811"/>
      <c r="CK108" s="1811"/>
      <c r="CL108" s="1811"/>
      <c r="CM108" s="1811"/>
      <c r="CN108" s="1811"/>
      <c r="CO108" s="1811"/>
      <c r="CP108" s="1811"/>
      <c r="CQ108" s="1811"/>
      <c r="CR108" s="1811"/>
      <c r="CS108" s="1811"/>
      <c r="CT108" s="73"/>
      <c r="CW108" s="1173" t="s">
        <v>856</v>
      </c>
    </row>
    <row customHeight="1" ht="16.672500000000003" hidden="1">
      <c r="E109" s="797">
        <v>17.1</v>
      </c>
      <c r="F109" s="922" cm="1" t="str">
        <f t="array" ref="F109:F109">OFFSET(G109,-1,-1)</f>
        <v>0</v>
      </c>
      <c r="L109" s="922" cm="1" t="str">
        <f t="array" ref="L109:L109">OFFSET(M109,-1,-1)</f>
        <v>false</v>
      </c>
      <c r="S109" s="159" cm="1" t="str">
        <f t="array" ref="S109:S109">OFFSET(T109,-1,-1)</f>
        <v>false</v>
      </c>
      <c r="T109" s="159">
        <f>AD109&lt;&gt;"35.0"</f>
        <v>0</v>
      </c>
      <c r="U109" s="819">
        <f>AND(S109,IF(ISBLANK(T109),TRUE,T109))</f>
        <v>0</v>
      </c>
      <c r="X109" s="159" t="s">
        <v>234</v>
      </c>
      <c r="AB109" s="1818"/>
      <c r="AD109" s="160" t="s">
        <v>857</v>
      </c>
      <c r="AE109" s="1802"/>
      <c r="AF109" s="1803"/>
      <c r="AG109" s="1815"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2">
        <f>_xlfn.IFERROR(AL113/AL64,0)*1000</f>
        <v>0</v>
      </c>
      <c r="AM109" s="87"/>
      <c r="AN109" s="87"/>
      <c r="AO109" s="862">
        <f>_xlfn.IFERROR(AO113/AO64,0)*1000</f>
        <v>0</v>
      </c>
      <c r="AP109" s="87"/>
      <c r="AQ109" s="87"/>
      <c r="AR109" s="862">
        <f>_xlfn.IFERROR(AR113/AR64,0)*1000</f>
        <v>0</v>
      </c>
      <c r="AS109" s="87"/>
      <c r="AT109" s="87"/>
      <c r="AU109" s="862">
        <f>_xlfn.IFERROR(AU113/AU64,0)*1000</f>
        <v>0</v>
      </c>
      <c r="AV109" s="87"/>
      <c r="AW109" s="87"/>
      <c r="AX109" s="862">
        <f>_xlfn.IFERROR(AX113/AX64,0)*1000</f>
        <v>0</v>
      </c>
      <c r="AY109" s="87"/>
      <c r="AZ109" s="87"/>
      <c r="BA109" s="862">
        <f>_xlfn.IFERROR(BA113/BA64,0)*1000</f>
        <v>0</v>
      </c>
      <c r="BB109" s="87"/>
      <c r="BC109" s="87"/>
      <c r="BD109" s="862">
        <f>_xlfn.IFERROR(BD113/BD64,0)*1000</f>
        <v>0</v>
      </c>
      <c r="BE109" s="87"/>
      <c r="BF109" s="87"/>
      <c r="BG109" s="862">
        <f>_xlfn.IFERROR(BG113/BG64,0)*1000</f>
        <v>0</v>
      </c>
      <c r="BH109" s="87"/>
      <c r="BI109" s="87"/>
      <c r="BJ109" s="862">
        <f>_xlfn.IFERROR(BJ113/BJ64,0)*1000</f>
        <v>0</v>
      </c>
      <c r="BK109" s="87"/>
      <c r="BL109" s="87"/>
      <c r="BM109" s="862">
        <f>_xlfn.IFERROR(BM113/BM64,0)*1000</f>
        <v>0</v>
      </c>
      <c r="BN109" s="87"/>
      <c r="BO109" s="87"/>
      <c r="BP109" s="862">
        <f>_xlfn.IFERROR(BP113/BP64,0)*1000</f>
        <v>0</v>
      </c>
      <c r="BQ109" s="1772"/>
      <c r="BR109" s="1772"/>
      <c r="BS109" s="862">
        <f>_xlfn.IFERROR(BS113/BS64,0)*1000</f>
        <v>0</v>
      </c>
      <c r="BT109" s="87"/>
      <c r="BU109" s="87"/>
      <c r="BV109" s="862">
        <f>_xlfn.IFERROR(BV113/BV64,0)*1000</f>
        <v>0</v>
      </c>
      <c r="BW109" s="87"/>
      <c r="BX109" s="87"/>
      <c r="BY109" s="862">
        <f>_xlfn.IFERROR(BY113/BY64,0)*1000</f>
        <v>0</v>
      </c>
      <c r="BZ109" s="87"/>
      <c r="CA109" s="87"/>
      <c r="CB109" s="862">
        <f>_xlfn.IFERROR(CB113/CB64,0)*1000</f>
        <v>0</v>
      </c>
      <c r="CC109" s="87"/>
      <c r="CD109" s="87"/>
      <c r="CE109" s="862">
        <f>_xlfn.IFERROR(CE113/CE64,0)*1000</f>
        <v>0</v>
      </c>
      <c r="CF109" s="87"/>
      <c r="CG109" s="87"/>
      <c r="CH109" s="862">
        <f>_xlfn.IFERROR(CH113/CH64,0)*1000</f>
        <v>0</v>
      </c>
      <c r="CI109" s="87"/>
      <c r="CJ109" s="87"/>
      <c r="CK109" s="862">
        <f>_xlfn.IFERROR(CK113/CK64,0)*1000</f>
        <v>0</v>
      </c>
      <c r="CL109" s="87"/>
      <c r="CM109" s="87"/>
      <c r="CN109" s="862">
        <f>_xlfn.IFERROR(CN113/CN64,0)*1000</f>
        <v>0</v>
      </c>
      <c r="CO109" s="87"/>
      <c r="CP109" s="87"/>
      <c r="CQ109" s="862">
        <f>_xlfn.IFERROR(CQ113/CQ64,0)*1000</f>
        <v>0</v>
      </c>
      <c r="CR109" s="87"/>
      <c r="CS109" s="87"/>
      <c r="CT109" s="73"/>
      <c r="CW109" s="1173" t="s">
        <v>856</v>
      </c>
      <c r="CX109" s="1178" t="s">
        <v>792</v>
      </c>
      <c r="CY109" s="1182" cm="1" t="str">
        <f t="array" ref="CY109:CY109">AE109</f>
        <v>0</v>
      </c>
      <c r="CZ109" s="1182" cm="1" t="str">
        <f t="array" ref="CZ109:CZ109">AF109</f>
        <v>0</v>
      </c>
    </row>
    <row customHeight="1" ht="15" hidden="1">
      <c r="E110" s="797">
        <v>0</v>
      </c>
      <c r="F110" s="922" cm="1" t="str">
        <f t="array" ref="F110:F110">OFFSET(G110,-1,-1)</f>
        <v>0</v>
      </c>
      <c r="L110" s="922" cm="1" t="str">
        <f t="array" ref="L110:L110">OFFSET(M110,-1,-1)</f>
        <v>false</v>
      </c>
      <c r="S110" s="159" cm="1" t="str">
        <f t="array" ref="S110:S110">OFFSET(T110,-1,-1)</f>
        <v>false</v>
      </c>
      <c r="U110" s="819">
        <f>AND(S110,IF(ISBLANK(T110),TRUE,T110))</f>
        <v>0</v>
      </c>
      <c r="X110" s="973" t="str">
        <f>"{                  
         funcDyn: 'msg1',
         blok: 'blok_2',
         wsCross: 'Топливо 4.4',
         linkFormula: 'AE-AE#AF-AF',
         levelDyn: "&amp;Y28&amp;"
}"</f>
        <v>{                  
         funcDyn: 'msg1',
         blok: 'blok_2',
         wsCross: 'Топливо 4.4',
         linkFormula: 'AE-AE#AF-AF',
         levelDyn: 0
}</v>
      </c>
      <c r="AB110" s="1818"/>
      <c r="AD110" s="1805"/>
      <c r="AE110" s="975" t="s">
        <v>236</v>
      </c>
      <c r="AF110" s="1807"/>
      <c r="AG110" s="1821"/>
      <c r="AH110" s="1810"/>
      <c r="AI110" s="1811"/>
      <c r="AJ110" s="1811"/>
      <c r="AK110" s="1811"/>
      <c r="AL110" s="1811"/>
      <c r="AM110" s="1811"/>
      <c r="AN110" s="1811"/>
      <c r="AO110" s="1811"/>
      <c r="AP110" s="1811"/>
      <c r="AQ110" s="1811"/>
      <c r="AR110" s="1811"/>
      <c r="AS110" s="1811"/>
      <c r="AT110" s="1811"/>
      <c r="AU110" s="1811"/>
      <c r="AV110" s="1811"/>
      <c r="AW110" s="1811"/>
      <c r="AX110" s="1811"/>
      <c r="AY110" s="1811"/>
      <c r="AZ110" s="1811"/>
      <c r="BA110" s="1811"/>
      <c r="BB110" s="1811"/>
      <c r="BC110" s="1811"/>
      <c r="BD110" s="1811"/>
      <c r="BE110" s="1811"/>
      <c r="BF110" s="1811"/>
      <c r="BG110" s="1811"/>
      <c r="BH110" s="1811"/>
      <c r="BI110" s="1811"/>
      <c r="BJ110" s="1811"/>
      <c r="BK110" s="1811"/>
      <c r="BL110" s="1811"/>
      <c r="BM110" s="1811"/>
      <c r="BN110" s="1811"/>
      <c r="BO110" s="1811"/>
      <c r="BP110" s="1811"/>
      <c r="BQ110" s="1811"/>
      <c r="BR110" s="1811"/>
      <c r="BS110" s="1811"/>
      <c r="BT110" s="1811"/>
      <c r="BU110" s="1811"/>
      <c r="BV110" s="1811"/>
      <c r="BW110" s="1811"/>
      <c r="BX110" s="1811"/>
      <c r="BY110" s="1811"/>
      <c r="BZ110" s="1811"/>
      <c r="CA110" s="1811"/>
      <c r="CB110" s="1811"/>
      <c r="CC110" s="1811"/>
      <c r="CD110" s="1811"/>
      <c r="CE110" s="1811"/>
      <c r="CF110" s="1811"/>
      <c r="CG110" s="1811"/>
      <c r="CH110" s="1811"/>
      <c r="CI110" s="1811"/>
      <c r="CJ110" s="1811"/>
      <c r="CK110" s="1811"/>
      <c r="CL110" s="1811"/>
      <c r="CM110" s="1811"/>
      <c r="CN110" s="1811"/>
      <c r="CO110" s="1811"/>
      <c r="CP110" s="1811"/>
      <c r="CQ110" s="1811"/>
      <c r="CR110" s="1811"/>
      <c r="CS110" s="1811"/>
      <c r="CT110" s="91"/>
      <c r="CW110" s="1173" t="str">
        <f>IF(AND(ISNUMBER(VALUE(TRIM(SUBSTITUTE(AD110,".","")))),TRIM(SUBSTITUTE(AD110,".",""))&lt;&gt;""),"P"&amp;SUBSTITUTE(AD110,".",""),"")</f>
        <v/>
      </c>
    </row>
    <row customHeight="1" ht="16.672500000000003" hidden="1">
      <c r="E111" s="797">
        <v>17.1</v>
      </c>
      <c r="F111" s="922" cm="1" t="str">
        <f t="array" ref="F111:F111">OFFSET(G111,-1,-1)</f>
        <v>0</v>
      </c>
      <c r="L111" s="922" cm="1" t="str">
        <f t="array" ref="L111:L111">OFFSET(M111,-1,-1)</f>
        <v>false</v>
      </c>
      <c r="S111" s="159" cm="1" t="str">
        <f t="array" ref="S111:S111">OFFSET(T111,-1,-1)</f>
        <v>false</v>
      </c>
      <c r="U111" s="819">
        <f>AND(S111,IF(ISBLANK(T111),TRUE,T111))</f>
        <v>0</v>
      </c>
      <c r="AB111" s="1818"/>
      <c r="AD111" s="173" t="s">
        <v>858</v>
      </c>
      <c r="AE111" s="1497" t="s">
        <v>859</v>
      </c>
      <c r="AF111" s="1826"/>
      <c r="AG111" s="859" t="s">
        <v>810</v>
      </c>
      <c r="AH111" s="860">
        <f>SUM(AH113:AH114)</f>
        <v>0</v>
      </c>
      <c r="AI111" s="860">
        <f>SUM(AI113:AI114)</f>
        <v>0</v>
      </c>
      <c r="AJ111" s="860">
        <f>SUM(AJ113:AJ114)</f>
        <v>0</v>
      </c>
      <c r="AK111" s="860">
        <f>SUM(AK113:AK114)</f>
        <v>0</v>
      </c>
      <c r="AL111" s="860">
        <f>SUM(AL113:AL114)</f>
        <v>0</v>
      </c>
      <c r="AM111" s="860">
        <f>SUM(AM113:AM114)</f>
        <v>0</v>
      </c>
      <c r="AN111" s="860">
        <f>SUM(AN113:AN114)</f>
        <v>0</v>
      </c>
      <c r="AO111" s="860">
        <f>SUM(AO113:AO114)</f>
        <v>0</v>
      </c>
      <c r="AP111" s="860">
        <f>SUM(AP113:AP114)</f>
        <v>0</v>
      </c>
      <c r="AQ111" s="860">
        <f>SUM(AQ113:AQ114)</f>
        <v>0</v>
      </c>
      <c r="AR111" s="860">
        <f>SUM(AR113:AR114)</f>
        <v>0</v>
      </c>
      <c r="AS111" s="860">
        <f>SUM(AS113:AS114)</f>
        <v>0</v>
      </c>
      <c r="AT111" s="860">
        <f>SUM(AT113:AT114)</f>
        <v>0</v>
      </c>
      <c r="AU111" s="860">
        <f>SUM(AU113:AU114)</f>
        <v>0</v>
      </c>
      <c r="AV111" s="860">
        <f>SUM(AV113:AV114)</f>
        <v>0</v>
      </c>
      <c r="AW111" s="860">
        <f>SUM(AW113:AW114)</f>
        <v>0</v>
      </c>
      <c r="AX111" s="860">
        <f>SUM(AX113:AX114)</f>
        <v>0</v>
      </c>
      <c r="AY111" s="860">
        <f>SUM(AY113:AY114)</f>
        <v>0</v>
      </c>
      <c r="AZ111" s="860">
        <f>SUM(AZ113:AZ114)</f>
        <v>0</v>
      </c>
      <c r="BA111" s="860">
        <f>SUM(BA113:BA114)</f>
        <v>0</v>
      </c>
      <c r="BB111" s="860">
        <f>SUM(BB113:BB114)</f>
        <v>0</v>
      </c>
      <c r="BC111" s="860">
        <f>SUM(BC113:BC114)</f>
        <v>0</v>
      </c>
      <c r="BD111" s="860">
        <f>SUM(BD113:BD114)</f>
        <v>0</v>
      </c>
      <c r="BE111" s="860">
        <f>SUM(BE113:BE114)</f>
        <v>0</v>
      </c>
      <c r="BF111" s="860">
        <f>SUM(BF113:BF114)</f>
        <v>0</v>
      </c>
      <c r="BG111" s="860">
        <f>SUM(BG113:BG114)</f>
        <v>0</v>
      </c>
      <c r="BH111" s="860">
        <f>SUM(BH113:BH114)</f>
        <v>0</v>
      </c>
      <c r="BI111" s="860">
        <f>SUM(BI113:BI114)</f>
        <v>0</v>
      </c>
      <c r="BJ111" s="860">
        <f>SUM(BJ113:BJ114)</f>
        <v>0</v>
      </c>
      <c r="BK111" s="860">
        <f>SUM(BK113:BK114)</f>
        <v>0</v>
      </c>
      <c r="BL111" s="860">
        <f>SUM(BL113:BL114)</f>
        <v>0</v>
      </c>
      <c r="BM111" s="860">
        <f>SUM(BM113:BM114)</f>
        <v>0</v>
      </c>
      <c r="BN111" s="860">
        <f>SUM(BN113:BN114)</f>
        <v>0</v>
      </c>
      <c r="BO111" s="860">
        <f>SUM(BO113:BO114)</f>
        <v>0</v>
      </c>
      <c r="BP111" s="860">
        <f>SUM(BP113:BP114)</f>
        <v>0</v>
      </c>
      <c r="BQ111" s="860">
        <f>SUM(BQ113:BQ114)</f>
        <v>0</v>
      </c>
      <c r="BR111" s="860">
        <f>SUM(BR113:BR114)</f>
        <v>0</v>
      </c>
      <c r="BS111" s="860">
        <f>SUM(BS113:BS114)</f>
        <v>0</v>
      </c>
      <c r="BT111" s="860">
        <f>SUM(BT113:BT114)</f>
        <v>0</v>
      </c>
      <c r="BU111" s="860">
        <f>SUM(BU113:BU114)</f>
        <v>0</v>
      </c>
      <c r="BV111" s="860">
        <f>SUM(BV113:BV114)</f>
        <v>0</v>
      </c>
      <c r="BW111" s="860">
        <f>SUM(BW113:BW114)</f>
        <v>0</v>
      </c>
      <c r="BX111" s="860">
        <f>SUM(BX113:BX114)</f>
        <v>0</v>
      </c>
      <c r="BY111" s="860">
        <f>SUM(BY113:BY114)</f>
        <v>0</v>
      </c>
      <c r="BZ111" s="860">
        <f>SUM(BZ113:BZ114)</f>
        <v>0</v>
      </c>
      <c r="CA111" s="860">
        <f>SUM(CA113:CA114)</f>
        <v>0</v>
      </c>
      <c r="CB111" s="860">
        <f>SUM(CB113:CB114)</f>
        <v>0</v>
      </c>
      <c r="CC111" s="860">
        <f>SUM(CC113:CC114)</f>
        <v>0</v>
      </c>
      <c r="CD111" s="860">
        <f>SUM(CD113:CD114)</f>
        <v>0</v>
      </c>
      <c r="CE111" s="860">
        <f>SUM(CE113:CE114)</f>
        <v>0</v>
      </c>
      <c r="CF111" s="860">
        <f>SUM(CF113:CF114)</f>
        <v>0</v>
      </c>
      <c r="CG111" s="860">
        <f>SUM(CG113:CG114)</f>
        <v>0</v>
      </c>
      <c r="CH111" s="860">
        <f>SUM(CH113:CH114)</f>
        <v>0</v>
      </c>
      <c r="CI111" s="860">
        <f>SUM(CI113:CI114)</f>
        <v>0</v>
      </c>
      <c r="CJ111" s="860">
        <f>SUM(CJ113:CJ114)</f>
        <v>0</v>
      </c>
      <c r="CK111" s="860">
        <f>SUM(CK113:CK114)</f>
        <v>0</v>
      </c>
      <c r="CL111" s="860">
        <f>SUM(CL113:CL114)</f>
        <v>0</v>
      </c>
      <c r="CM111" s="860">
        <f>SUM(CM113:CM114)</f>
        <v>0</v>
      </c>
      <c r="CN111" s="860">
        <f>SUM(CN113:CN114)</f>
        <v>0</v>
      </c>
      <c r="CO111" s="860">
        <f>SUM(CO113:CO114)</f>
        <v>0</v>
      </c>
      <c r="CP111" s="860">
        <f>SUM(CP113:CP114)</f>
        <v>0</v>
      </c>
      <c r="CQ111" s="860">
        <f>SUM(CQ113:CQ114)</f>
        <v>0</v>
      </c>
      <c r="CR111" s="860">
        <f>SUM(CR113:CR114)</f>
        <v>0</v>
      </c>
      <c r="CS111" s="860">
        <f>SUM(CS113:CS114)</f>
        <v>0</v>
      </c>
      <c r="CT111" s="73"/>
      <c r="CW111" s="1173" t="s">
        <v>860</v>
      </c>
    </row>
    <row customHeight="1" ht="16.672500000000003" hidden="1">
      <c r="E112" s="797">
        <v>17.1</v>
      </c>
      <c r="F112" s="922" cm="1" t="str">
        <f t="array" ref="F112:F112">OFFSET(G112,-1,-1)</f>
        <v>0</v>
      </c>
      <c r="L112" s="922" cm="1" t="str">
        <f t="array" ref="L112:L112">OFFSET(M112,-1,-1)</f>
        <v>false</v>
      </c>
      <c r="R112" s="922" t="s">
        <v>730</v>
      </c>
      <c r="S112" s="159" cm="1" t="str">
        <f t="array" ref="S112:S112">OFFSET(T112,-1,-1)</f>
        <v>false</v>
      </c>
      <c r="T112" s="922" t="b">
        <v>0</v>
      </c>
      <c r="U112" s="819">
        <f>AND(S112,IF(ISBLANK(T112),TRUE,T112))</f>
        <v>0</v>
      </c>
      <c r="AB112" s="1818"/>
      <c r="AD112" s="160" t="str">
        <f>AD111&amp;".0"</f>
        <v>36.0</v>
      </c>
      <c r="AE112" s="1349" t="s">
        <v>741</v>
      </c>
      <c r="AF112" s="1831"/>
      <c r="AG112" s="859" t="s">
        <v>810</v>
      </c>
      <c r="AH112" s="86">
        <f>AH$52*AH111</f>
        <v>0</v>
      </c>
      <c r="AI112" s="87">
        <f>AI$52*AI111</f>
        <v>0</v>
      </c>
      <c r="AJ112" s="87">
        <f>AJ$52*AJ111</f>
        <v>0</v>
      </c>
      <c r="AK112" s="87">
        <f>AK$52*AK111</f>
        <v>0</v>
      </c>
      <c r="AL112" s="862">
        <f>AM112+AN112</f>
        <v>0</v>
      </c>
      <c r="AM112" s="87">
        <f>AM$52*AM111</f>
        <v>0</v>
      </c>
      <c r="AN112" s="87">
        <f>AN$52*AN111</f>
        <v>0</v>
      </c>
      <c r="AO112" s="862">
        <f>AP112+AQ112</f>
        <v>0</v>
      </c>
      <c r="AP112" s="87">
        <f>AP$52*AP111</f>
        <v>0</v>
      </c>
      <c r="AQ112" s="87">
        <f>AQ$52*AQ111</f>
        <v>0</v>
      </c>
      <c r="AR112" s="862">
        <f>AS112+AT112</f>
        <v>0</v>
      </c>
      <c r="AS112" s="87">
        <f>AS$52*AS111</f>
        <v>0</v>
      </c>
      <c r="AT112" s="87">
        <f>AT$52*AT111</f>
        <v>0</v>
      </c>
      <c r="AU112" s="862">
        <f>AV112+AW112</f>
        <v>0</v>
      </c>
      <c r="AV112" s="87">
        <f>AV$52*AV111</f>
        <v>0</v>
      </c>
      <c r="AW112" s="87">
        <f>AW$52*AW111</f>
        <v>0</v>
      </c>
      <c r="AX112" s="862">
        <f>AY112+AZ112</f>
        <v>0</v>
      </c>
      <c r="AY112" s="87">
        <f>AY$52*AY111</f>
        <v>0</v>
      </c>
      <c r="AZ112" s="87">
        <f>AZ$52*AZ111</f>
        <v>0</v>
      </c>
      <c r="BA112" s="862">
        <f>BB112+BC112</f>
        <v>0</v>
      </c>
      <c r="BB112" s="87">
        <f>BB$52*BB111</f>
        <v>0</v>
      </c>
      <c r="BC112" s="87">
        <f>BC$52*BC111</f>
        <v>0</v>
      </c>
      <c r="BD112" s="862">
        <f>BE112+BF112</f>
        <v>0</v>
      </c>
      <c r="BE112" s="87">
        <f>BE$52*BE111</f>
        <v>0</v>
      </c>
      <c r="BF112" s="87">
        <f>BF$52*BF111</f>
        <v>0</v>
      </c>
      <c r="BG112" s="862">
        <f>BH112+BI112</f>
        <v>0</v>
      </c>
      <c r="BH112" s="87">
        <f>BH$52*BH111</f>
        <v>0</v>
      </c>
      <c r="BI112" s="87">
        <f>BI$52*BI111</f>
        <v>0</v>
      </c>
      <c r="BJ112" s="862">
        <f>BK112+BL112</f>
        <v>0</v>
      </c>
      <c r="BK112" s="87">
        <f>BK$52*BK111</f>
        <v>0</v>
      </c>
      <c r="BL112" s="87">
        <f>BL$52*BL111</f>
        <v>0</v>
      </c>
      <c r="BM112" s="862">
        <f>BN112+BO112</f>
        <v>0</v>
      </c>
      <c r="BN112" s="87">
        <f>BN$52*BN111</f>
        <v>0</v>
      </c>
      <c r="BO112" s="87">
        <f>BO$52*BO111</f>
        <v>0</v>
      </c>
      <c r="BP112" s="862">
        <f>BQ112+BR112</f>
        <v>0</v>
      </c>
      <c r="BQ112" s="1772">
        <f>BQ$52*BQ111</f>
        <v>0</v>
      </c>
      <c r="BR112" s="1772">
        <f>BR$52*BR111</f>
        <v>0</v>
      </c>
      <c r="BS112" s="862">
        <f>BT112+BU112</f>
        <v>0</v>
      </c>
      <c r="BT112" s="87">
        <f>BT$52*BT111</f>
        <v>0</v>
      </c>
      <c r="BU112" s="87">
        <f>BU$52*BU111</f>
        <v>0</v>
      </c>
      <c r="BV112" s="862">
        <f>BW112+BX112</f>
        <v>0</v>
      </c>
      <c r="BW112" s="87">
        <f>BW$52*BW111</f>
        <v>0</v>
      </c>
      <c r="BX112" s="87">
        <f>BX$52*BX111</f>
        <v>0</v>
      </c>
      <c r="BY112" s="862">
        <f>BZ112+CA112</f>
        <v>0</v>
      </c>
      <c r="BZ112" s="87">
        <f>BZ$52*BZ111</f>
        <v>0</v>
      </c>
      <c r="CA112" s="87">
        <f>CA$52*CA111</f>
        <v>0</v>
      </c>
      <c r="CB112" s="862">
        <f>CC112+CD112</f>
        <v>0</v>
      </c>
      <c r="CC112" s="87">
        <f>CC$52*CC111</f>
        <v>0</v>
      </c>
      <c r="CD112" s="87">
        <f>CD$52*CD111</f>
        <v>0</v>
      </c>
      <c r="CE112" s="862">
        <f>CF112+CG112</f>
        <v>0</v>
      </c>
      <c r="CF112" s="87">
        <f>CF$52*CF111</f>
        <v>0</v>
      </c>
      <c r="CG112" s="87">
        <f>CG$52*CG111</f>
        <v>0</v>
      </c>
      <c r="CH112" s="862">
        <f>CI112+CJ112</f>
        <v>0</v>
      </c>
      <c r="CI112" s="87">
        <f>CI$52*CI111</f>
        <v>0</v>
      </c>
      <c r="CJ112" s="87">
        <f>CJ$52*CJ111</f>
        <v>0</v>
      </c>
      <c r="CK112" s="862">
        <f>CL112+CM112</f>
        <v>0</v>
      </c>
      <c r="CL112" s="87">
        <f>CL$52*CL111</f>
        <v>0</v>
      </c>
      <c r="CM112" s="87">
        <f>CM$52*CM111</f>
        <v>0</v>
      </c>
      <c r="CN112" s="862">
        <f>CO112+CP112</f>
        <v>0</v>
      </c>
      <c r="CO112" s="87">
        <f>CO$52*CO111</f>
        <v>0</v>
      </c>
      <c r="CP112" s="87">
        <f>CP$52*CP111</f>
        <v>0</v>
      </c>
      <c r="CQ112" s="862">
        <f>CR112+CS112</f>
        <v>0</v>
      </c>
      <c r="CR112" s="87">
        <f>CR$52*CR111</f>
        <v>0</v>
      </c>
      <c r="CS112" s="87">
        <f>CS$52*CS111</f>
        <v>0</v>
      </c>
      <c r="CT112" s="73"/>
      <c r="CW112" s="1173" t="s">
        <v>861</v>
      </c>
    </row>
    <row customHeight="1" ht="16.672500000000003" hidden="1">
      <c r="E113" s="797">
        <v>17.1</v>
      </c>
      <c r="F113" s="922" cm="1" t="str">
        <f t="array" ref="F113:F113">OFFSET(G113,-1,-1)</f>
        <v>0</v>
      </c>
      <c r="L113" s="922" cm="1" t="str">
        <f t="array" ref="L113:L113">OFFSET(M113,-1,-1)</f>
        <v>false</v>
      </c>
      <c r="S113" s="159" cm="1" t="str">
        <f t="array" ref="S113:S113">OFFSET(T113,-1,-1)</f>
        <v>false</v>
      </c>
      <c r="T113" s="159">
        <f>AD113&lt;&gt;"36.0"</f>
        <v>0</v>
      </c>
      <c r="U113" s="819">
        <f>AND(S113,IF(ISBLANK(T113),TRUE,T113))</f>
        <v>0</v>
      </c>
      <c r="X113" s="159" t="s">
        <v>234</v>
      </c>
      <c r="AB113" s="1818"/>
      <c r="AD113" s="160" t="s">
        <v>862</v>
      </c>
      <c r="AE113" s="1802"/>
      <c r="AF113" s="1803"/>
      <c r="AG113" s="859" t="s">
        <v>810</v>
      </c>
      <c r="AH113" s="86"/>
      <c r="AI113" s="87"/>
      <c r="AJ113" s="87"/>
      <c r="AK113" s="87"/>
      <c r="AL113" s="862">
        <f>AM113+AN113</f>
        <v>0</v>
      </c>
      <c r="AM113" s="87">
        <f>AM109*AM64/1000</f>
        <v>0</v>
      </c>
      <c r="AN113" s="87">
        <f>AN109*AN64/1000</f>
        <v>0</v>
      </c>
      <c r="AO113" s="862">
        <f>AP113+AQ113</f>
        <v>0</v>
      </c>
      <c r="AP113" s="87">
        <f>AP109*AP64/1000</f>
        <v>0</v>
      </c>
      <c r="AQ113" s="87">
        <f>AQ109*AQ64/1000</f>
        <v>0</v>
      </c>
      <c r="AR113" s="862">
        <f>AS113+AT113</f>
        <v>0</v>
      </c>
      <c r="AS113" s="87">
        <f>AS109*AS64/1000</f>
        <v>0</v>
      </c>
      <c r="AT113" s="87">
        <f>AT109*AT64/1000</f>
        <v>0</v>
      </c>
      <c r="AU113" s="862">
        <f>AV113+AW113</f>
        <v>0</v>
      </c>
      <c r="AV113" s="87">
        <f>AV109*AV64/1000</f>
        <v>0</v>
      </c>
      <c r="AW113" s="87">
        <f>AW109*AW64/1000</f>
        <v>0</v>
      </c>
      <c r="AX113" s="862">
        <f>AY113+AZ113</f>
        <v>0</v>
      </c>
      <c r="AY113" s="87">
        <f>AY109*AY64/1000</f>
        <v>0</v>
      </c>
      <c r="AZ113" s="87">
        <f>AZ109*AZ64/1000</f>
        <v>0</v>
      </c>
      <c r="BA113" s="862">
        <f>BB113+BC113</f>
        <v>0</v>
      </c>
      <c r="BB113" s="87">
        <f>BB109*BB64/1000</f>
        <v>0</v>
      </c>
      <c r="BC113" s="87">
        <f>BC109*BC64/1000</f>
        <v>0</v>
      </c>
      <c r="BD113" s="862">
        <f>BE113+BF113</f>
        <v>0</v>
      </c>
      <c r="BE113" s="87">
        <f>BE109*BE64/1000</f>
        <v>0</v>
      </c>
      <c r="BF113" s="87">
        <f>BF109*BF64/1000</f>
        <v>0</v>
      </c>
      <c r="BG113" s="862">
        <f>BH113+BI113</f>
        <v>0</v>
      </c>
      <c r="BH113" s="87">
        <f>BH109*BH64/1000</f>
        <v>0</v>
      </c>
      <c r="BI113" s="87">
        <f>BI109*BI64/1000</f>
        <v>0</v>
      </c>
      <c r="BJ113" s="862">
        <f>BK113+BL113</f>
        <v>0</v>
      </c>
      <c r="BK113" s="87">
        <f>BK109*BK64/1000</f>
        <v>0</v>
      </c>
      <c r="BL113" s="87">
        <f>BL109*BL64/1000</f>
        <v>0</v>
      </c>
      <c r="BM113" s="862">
        <f>BN113+BO113</f>
        <v>0</v>
      </c>
      <c r="BN113" s="87">
        <f>BN109*BN64/1000</f>
        <v>0</v>
      </c>
      <c r="BO113" s="87">
        <f>BO109*BO64/1000</f>
        <v>0</v>
      </c>
      <c r="BP113" s="862">
        <f>BQ113+BR113</f>
        <v>0</v>
      </c>
      <c r="BQ113" s="1772">
        <f>BQ109*BQ64/1000</f>
        <v>0</v>
      </c>
      <c r="BR113" s="1772">
        <f>BR109*BR64/1000</f>
        <v>0</v>
      </c>
      <c r="BS113" s="862">
        <f>BT113+BU113</f>
        <v>0</v>
      </c>
      <c r="BT113" s="87">
        <f>BT109*BT64/1000</f>
        <v>0</v>
      </c>
      <c r="BU113" s="87">
        <f>BU109*BU64/1000</f>
        <v>0</v>
      </c>
      <c r="BV113" s="862">
        <f>BW113+BX113</f>
        <v>0</v>
      </c>
      <c r="BW113" s="87">
        <f>BW109*BW64/1000</f>
        <v>0</v>
      </c>
      <c r="BX113" s="87">
        <f>BX109*BX64/1000</f>
        <v>0</v>
      </c>
      <c r="BY113" s="862">
        <f>BZ113+CA113</f>
        <v>0</v>
      </c>
      <c r="BZ113" s="87">
        <f>BZ109*BZ64/1000</f>
        <v>0</v>
      </c>
      <c r="CA113" s="87">
        <f>CA109*CA64/1000</f>
        <v>0</v>
      </c>
      <c r="CB113" s="862">
        <f>CC113+CD113</f>
        <v>0</v>
      </c>
      <c r="CC113" s="87">
        <f>CC109*CC64/1000</f>
        <v>0</v>
      </c>
      <c r="CD113" s="87">
        <f>CD109*CD64/1000</f>
        <v>0</v>
      </c>
      <c r="CE113" s="862">
        <f>CF113+CG113</f>
        <v>0</v>
      </c>
      <c r="CF113" s="87">
        <f>CF109*CF64/1000</f>
        <v>0</v>
      </c>
      <c r="CG113" s="87">
        <f>CG109*CG64/1000</f>
        <v>0</v>
      </c>
      <c r="CH113" s="862">
        <f>CI113+CJ113</f>
        <v>0</v>
      </c>
      <c r="CI113" s="87">
        <f>CI109*CI64/1000</f>
        <v>0</v>
      </c>
      <c r="CJ113" s="87">
        <f>CJ109*CJ64/1000</f>
        <v>0</v>
      </c>
      <c r="CK113" s="862">
        <f>CL113+CM113</f>
        <v>0</v>
      </c>
      <c r="CL113" s="87">
        <f>CL109*CL64/1000</f>
        <v>0</v>
      </c>
      <c r="CM113" s="87">
        <f>CM109*CM64/1000</f>
        <v>0</v>
      </c>
      <c r="CN113" s="862">
        <f>CO113+CP113</f>
        <v>0</v>
      </c>
      <c r="CO113" s="87">
        <f>CO109*CO64/1000</f>
        <v>0</v>
      </c>
      <c r="CP113" s="87">
        <f>CP109*CP64/1000</f>
        <v>0</v>
      </c>
      <c r="CQ113" s="862">
        <f>CR113+CS113</f>
        <v>0</v>
      </c>
      <c r="CR113" s="87">
        <f>CR109*CR64/1000</f>
        <v>0</v>
      </c>
      <c r="CS113" s="87">
        <f>CS109*CS64/1000</f>
        <v>0</v>
      </c>
      <c r="CT113" s="73"/>
      <c r="CW113" s="1173" t="s">
        <v>861</v>
      </c>
      <c r="CX113" s="1178" t="s">
        <v>792</v>
      </c>
      <c r="CY113" s="1182" cm="1" t="str">
        <f t="array" ref="CY113:CY113">AE113</f>
        <v>0</v>
      </c>
      <c r="CZ113" s="1182" cm="1" t="str">
        <f t="array" ref="CZ113:CZ113">AF113</f>
        <v>0</v>
      </c>
    </row>
    <row customHeight="1" ht="15" hidden="1">
      <c r="E114" s="797">
        <v>0</v>
      </c>
      <c r="F114" s="922" cm="1" t="str">
        <f t="array" ref="F114:F114">OFFSET(G114,-1,-1)</f>
        <v>0</v>
      </c>
      <c r="L114" s="922" cm="1" t="str">
        <f t="array" ref="L114:L114">OFFSET(M114,-1,-1)</f>
        <v>false</v>
      </c>
      <c r="S114" s="159" cm="1" t="str">
        <f t="array" ref="S114:S114">OFFSET(T114,-1,-1)</f>
        <v>false</v>
      </c>
      <c r="U114" s="819">
        <f>AND(S114,IF(ISBLANK(T114),TRUE,T114))</f>
        <v>0</v>
      </c>
      <c r="X114" s="973" t="str">
        <f>"{                  
         funcDyn: 'msg1',
         blok: 'blok_2',
         wsCross: 'Топливо 4.4',
         linkFormula: 'AE-AE#AF-AF',
         levelDyn: "&amp;Y28&amp;"
}"</f>
        <v>{                  
         funcDyn: 'msg1',
         blok: 'blok_2',
         wsCross: 'Топливо 4.4',
         linkFormula: 'AE-AE#AF-AF',
         levelDyn: 0
}</v>
      </c>
      <c r="AB114" s="1818"/>
      <c r="AD114" s="1805"/>
      <c r="AE114" s="975" t="s">
        <v>236</v>
      </c>
      <c r="AF114" s="1807"/>
      <c r="AG114" s="1821"/>
      <c r="AH114" s="1810"/>
      <c r="AI114" s="1811"/>
      <c r="AJ114" s="1811"/>
      <c r="AK114" s="1811"/>
      <c r="AL114" s="1811"/>
      <c r="AM114" s="1811"/>
      <c r="AN114" s="1811"/>
      <c r="AO114" s="1811"/>
      <c r="AP114" s="1811"/>
      <c r="AQ114" s="1811"/>
      <c r="AR114" s="1811"/>
      <c r="AS114" s="1811"/>
      <c r="AT114" s="1811"/>
      <c r="AU114" s="1811"/>
      <c r="AV114" s="1811"/>
      <c r="AW114" s="1811"/>
      <c r="AX114" s="1811"/>
      <c r="AY114" s="1811"/>
      <c r="AZ114" s="1811"/>
      <c r="BA114" s="1811"/>
      <c r="BB114" s="1811"/>
      <c r="BC114" s="1811"/>
      <c r="BD114" s="1811"/>
      <c r="BE114" s="1811"/>
      <c r="BF114" s="1811"/>
      <c r="BG114" s="1811"/>
      <c r="BH114" s="1811"/>
      <c r="BI114" s="1811"/>
      <c r="BJ114" s="1811"/>
      <c r="BK114" s="1811"/>
      <c r="BL114" s="1811"/>
      <c r="BM114" s="1811"/>
      <c r="BN114" s="1811"/>
      <c r="BO114" s="1811"/>
      <c r="BP114" s="1811"/>
      <c r="BQ114" s="1811"/>
      <c r="BR114" s="1811"/>
      <c r="BS114" s="1811"/>
      <c r="BT114" s="1811"/>
      <c r="BU114" s="1811"/>
      <c r="BV114" s="1811"/>
      <c r="BW114" s="1811"/>
      <c r="BX114" s="1811"/>
      <c r="BY114" s="1811"/>
      <c r="BZ114" s="1811"/>
      <c r="CA114" s="1811"/>
      <c r="CB114" s="1811"/>
      <c r="CC114" s="1811"/>
      <c r="CD114" s="1811"/>
      <c r="CE114" s="1811"/>
      <c r="CF114" s="1811"/>
      <c r="CG114" s="1811"/>
      <c r="CH114" s="1811"/>
      <c r="CI114" s="1811"/>
      <c r="CJ114" s="1811"/>
      <c r="CK114" s="1811"/>
      <c r="CL114" s="1811"/>
      <c r="CM114" s="1811"/>
      <c r="CN114" s="1811"/>
      <c r="CO114" s="1811"/>
      <c r="CP114" s="1811"/>
      <c r="CQ114" s="1811"/>
      <c r="CR114" s="1811"/>
      <c r="CS114" s="1811"/>
      <c r="CT114" s="91"/>
      <c r="CW114" s="1173" t="str">
        <f>IF(AND(ISNUMBER(VALUE(TRIM(SUBSTITUTE(AD114,".","")))),TRIM(SUBSTITUTE(AD114,".",""))&lt;&gt;""),"P"&amp;SUBSTITUTE(AD114,".",""),"")</f>
        <v/>
      </c>
    </row>
    <row customHeight="1" ht="29.25" hidden="1">
      <c r="E115" s="797">
        <v>30</v>
      </c>
      <c r="F115" s="922" cm="1" t="str">
        <f t="array" ref="F115:F115">OFFSET(G115,-1,-1)</f>
        <v>0</v>
      </c>
      <c r="L115" s="922" cm="1" t="str">
        <f t="array" ref="L115:L115">OFFSET(M115,-1,-1)</f>
        <v>false</v>
      </c>
      <c r="R115" s="922" t="s">
        <v>730</v>
      </c>
      <c r="S115" s="159" cm="1" t="str">
        <f t="array" ref="S115:S115">OFFSET(T115,-1,-1)</f>
        <v>false</v>
      </c>
      <c r="T115" s="159" cm="1" t="str">
        <f t="array" ref="T115:T115">L115</f>
        <v>false</v>
      </c>
      <c r="U115" s="819">
        <f>AND(S115,IF(ISBLANK(T115),TRUE,T115))</f>
        <v>0</v>
      </c>
      <c r="AB115" s="1818"/>
      <c r="AD115" s="173" t="s">
        <v>863</v>
      </c>
      <c r="AE115" s="1502" t="s">
        <v>864</v>
      </c>
      <c r="AF115" s="1833"/>
      <c r="AG115" s="859" t="s">
        <v>810</v>
      </c>
      <c r="AH115" s="860">
        <f>SUM(AH116:AH117)</f>
        <v>0</v>
      </c>
      <c r="AI115" s="860">
        <f>SUM(AI116:AI117)</f>
        <v>0</v>
      </c>
      <c r="AJ115" s="860">
        <f>SUM(AJ116:AJ117)</f>
        <v>0</v>
      </c>
      <c r="AK115" s="860">
        <f>SUM(AK116:AK117)</f>
        <v>0</v>
      </c>
      <c r="AL115" s="860">
        <f>SUM(AL116:AL117)</f>
        <v>0</v>
      </c>
      <c r="AM115" s="860">
        <f>SUM(AM116:AM117)</f>
        <v>0</v>
      </c>
      <c r="AN115" s="860">
        <f>SUM(AN116:AN117)</f>
        <v>0</v>
      </c>
      <c r="AO115" s="860">
        <f>SUM(AO116:AO117)</f>
        <v>0</v>
      </c>
      <c r="AP115" s="860">
        <f>SUM(AP116:AP117)</f>
        <v>0</v>
      </c>
      <c r="AQ115" s="860">
        <f>SUM(AQ116:AQ117)</f>
        <v>0</v>
      </c>
      <c r="AR115" s="860">
        <f>SUM(AR116:AR117)</f>
        <v>0</v>
      </c>
      <c r="AS115" s="860">
        <f>SUM(AS116:AS117)</f>
        <v>0</v>
      </c>
      <c r="AT115" s="860">
        <f>SUM(AT116:AT117)</f>
        <v>0</v>
      </c>
      <c r="AU115" s="860">
        <f>SUM(AU116:AU117)</f>
        <v>0</v>
      </c>
      <c r="AV115" s="860">
        <f>SUM(AV116:AV117)</f>
        <v>0</v>
      </c>
      <c r="AW115" s="860">
        <f>SUM(AW116:AW117)</f>
        <v>0</v>
      </c>
      <c r="AX115" s="860">
        <f>SUM(AX116:AX117)</f>
        <v>0</v>
      </c>
      <c r="AY115" s="860">
        <f>SUM(AY116:AY117)</f>
        <v>0</v>
      </c>
      <c r="AZ115" s="860">
        <f>SUM(AZ116:AZ117)</f>
        <v>0</v>
      </c>
      <c r="BA115" s="860">
        <f>SUM(BA116:BA117)</f>
        <v>0</v>
      </c>
      <c r="BB115" s="860">
        <f>SUM(BB116:BB117)</f>
        <v>0</v>
      </c>
      <c r="BC115" s="860">
        <f>SUM(BC116:BC117)</f>
        <v>0</v>
      </c>
      <c r="BD115" s="860">
        <f>SUM(BD116:BD117)</f>
        <v>0</v>
      </c>
      <c r="BE115" s="860">
        <f>SUM(BE116:BE117)</f>
        <v>0</v>
      </c>
      <c r="BF115" s="860">
        <f>SUM(BF116:BF117)</f>
        <v>0</v>
      </c>
      <c r="BG115" s="860">
        <f>SUM(BG116:BG117)</f>
        <v>0</v>
      </c>
      <c r="BH115" s="860">
        <f>SUM(BH116:BH117)</f>
        <v>0</v>
      </c>
      <c r="BI115" s="860">
        <f>SUM(BI116:BI117)</f>
        <v>0</v>
      </c>
      <c r="BJ115" s="860">
        <f>SUM(BJ116:BJ117)</f>
        <v>0</v>
      </c>
      <c r="BK115" s="860">
        <f>SUM(BK116:BK117)</f>
        <v>0</v>
      </c>
      <c r="BL115" s="860">
        <f>SUM(BL116:BL117)</f>
        <v>0</v>
      </c>
      <c r="BM115" s="860">
        <f>SUM(BM116:BM117)</f>
        <v>0</v>
      </c>
      <c r="BN115" s="860">
        <f>SUM(BN116:BN117)</f>
        <v>0</v>
      </c>
      <c r="BO115" s="860">
        <f>SUM(BO116:BO117)</f>
        <v>0</v>
      </c>
      <c r="BP115" s="860">
        <f>SUM(BP116:BP117)</f>
        <v>0</v>
      </c>
      <c r="BQ115" s="860">
        <f>SUM(BQ116:BQ117)</f>
        <v>0</v>
      </c>
      <c r="BR115" s="860">
        <f>SUM(BR116:BR117)</f>
        <v>0</v>
      </c>
      <c r="BS115" s="860">
        <f>SUM(BS116:BS117)</f>
        <v>0</v>
      </c>
      <c r="BT115" s="860">
        <f>SUM(BT116:BT117)</f>
        <v>0</v>
      </c>
      <c r="BU115" s="860">
        <f>SUM(BU116:BU117)</f>
        <v>0</v>
      </c>
      <c r="BV115" s="860">
        <f>SUM(BV116:BV117)</f>
        <v>0</v>
      </c>
      <c r="BW115" s="860">
        <f>SUM(BW116:BW117)</f>
        <v>0</v>
      </c>
      <c r="BX115" s="860">
        <f>SUM(BX116:BX117)</f>
        <v>0</v>
      </c>
      <c r="BY115" s="860">
        <f>SUM(BY116:BY117)</f>
        <v>0</v>
      </c>
      <c r="BZ115" s="860">
        <f>SUM(BZ116:BZ117)</f>
        <v>0</v>
      </c>
      <c r="CA115" s="860">
        <f>SUM(CA116:CA117)</f>
        <v>0</v>
      </c>
      <c r="CB115" s="860">
        <f>SUM(CB116:CB117)</f>
        <v>0</v>
      </c>
      <c r="CC115" s="860">
        <f>SUM(CC116:CC117)</f>
        <v>0</v>
      </c>
      <c r="CD115" s="860">
        <f>SUM(CD116:CD117)</f>
        <v>0</v>
      </c>
      <c r="CE115" s="860">
        <f>SUM(CE116:CE117)</f>
        <v>0</v>
      </c>
      <c r="CF115" s="860">
        <f>SUM(CF116:CF117)</f>
        <v>0</v>
      </c>
      <c r="CG115" s="860">
        <f>SUM(CG116:CG117)</f>
        <v>0</v>
      </c>
      <c r="CH115" s="860">
        <f>SUM(CH116:CH117)</f>
        <v>0</v>
      </c>
      <c r="CI115" s="860">
        <f>SUM(CI116:CI117)</f>
        <v>0</v>
      </c>
      <c r="CJ115" s="860">
        <f>SUM(CJ116:CJ117)</f>
        <v>0</v>
      </c>
      <c r="CK115" s="860">
        <f>SUM(CK116:CK117)</f>
        <v>0</v>
      </c>
      <c r="CL115" s="860">
        <f>SUM(CL116:CL117)</f>
        <v>0</v>
      </c>
      <c r="CM115" s="860">
        <f>SUM(CM116:CM117)</f>
        <v>0</v>
      </c>
      <c r="CN115" s="860">
        <f>SUM(CN116:CN117)</f>
        <v>0</v>
      </c>
      <c r="CO115" s="860">
        <f>SUM(CO116:CO117)</f>
        <v>0</v>
      </c>
      <c r="CP115" s="860">
        <f>SUM(CP116:CP117)</f>
        <v>0</v>
      </c>
      <c r="CQ115" s="860">
        <f>SUM(CQ116:CQ117)</f>
        <v>0</v>
      </c>
      <c r="CR115" s="860">
        <f>SUM(CR116:CR117)</f>
        <v>0</v>
      </c>
      <c r="CS115" s="860">
        <f>SUM(CS116:CS117)</f>
        <v>0</v>
      </c>
      <c r="CT115" s="73"/>
      <c r="CW115" s="1173" t="s">
        <v>865</v>
      </c>
    </row>
    <row customHeight="1" ht="16.672500000000003" hidden="1">
      <c r="E116" s="797">
        <v>17.1</v>
      </c>
      <c r="F116" s="922" cm="1" t="str">
        <f t="array" ref="F116:F116">OFFSET(G116,-1,-1)</f>
        <v>0</v>
      </c>
      <c r="L116" s="922" cm="1" t="str">
        <f t="array" ref="L116:L116">OFFSET(M116,-1,-1)</f>
        <v>false</v>
      </c>
      <c r="R116" s="922" t="s">
        <v>730</v>
      </c>
      <c r="S116" s="159" cm="1" t="str">
        <f t="array" ref="S116:S116">OFFSET(T116,-1,-1)</f>
        <v>false</v>
      </c>
      <c r="T116" s="159">
        <f>AND(L116,AD116&lt;&gt;"37.0")</f>
        <v>0</v>
      </c>
      <c r="U116" s="819">
        <f>AND(S116,IF(ISBLANK(T116),TRUE,T116))</f>
        <v>0</v>
      </c>
      <c r="X116" s="159" t="s">
        <v>234</v>
      </c>
      <c r="AB116" s="1818"/>
      <c r="AD116" s="160" t="s">
        <v>866</v>
      </c>
      <c r="AE116" s="1802"/>
      <c r="AF116" s="1803"/>
      <c r="AG116" s="859" t="s">
        <v>810</v>
      </c>
      <c r="AH116" s="86">
        <f>AH$52*AH113</f>
        <v>0</v>
      </c>
      <c r="AI116" s="87">
        <f>AI$52*AI113</f>
        <v>0</v>
      </c>
      <c r="AJ116" s="87">
        <f>AJ$52*AJ113</f>
        <v>0</v>
      </c>
      <c r="AK116" s="87">
        <f>AK$52*AK113</f>
        <v>0</v>
      </c>
      <c r="AL116" s="862">
        <f>AM116+AN116</f>
        <v>0</v>
      </c>
      <c r="AM116" s="87">
        <f>AM$52*AM113</f>
        <v>0</v>
      </c>
      <c r="AN116" s="87">
        <f>AN$52*AN113</f>
        <v>0</v>
      </c>
      <c r="AO116" s="862">
        <f>AP116+AQ116</f>
        <v>0</v>
      </c>
      <c r="AP116" s="87">
        <f>AP$52*AP113</f>
        <v>0</v>
      </c>
      <c r="AQ116" s="87">
        <f>AQ$52*AQ113</f>
        <v>0</v>
      </c>
      <c r="AR116" s="862">
        <f>AS116+AT116</f>
        <v>0</v>
      </c>
      <c r="AS116" s="87">
        <f>AS$52*AS113</f>
        <v>0</v>
      </c>
      <c r="AT116" s="87">
        <f>AT$52*AT113</f>
        <v>0</v>
      </c>
      <c r="AU116" s="862">
        <f>AV116+AW116</f>
        <v>0</v>
      </c>
      <c r="AV116" s="87">
        <f>AV$52*AV113</f>
        <v>0</v>
      </c>
      <c r="AW116" s="87">
        <f>AW$52*AW113</f>
        <v>0</v>
      </c>
      <c r="AX116" s="862">
        <f>AY116+AZ116</f>
        <v>0</v>
      </c>
      <c r="AY116" s="87">
        <f>AY$52*AY113</f>
        <v>0</v>
      </c>
      <c r="AZ116" s="87">
        <f>AZ$52*AZ113</f>
        <v>0</v>
      </c>
      <c r="BA116" s="862">
        <f>BB116+BC116</f>
        <v>0</v>
      </c>
      <c r="BB116" s="87">
        <f>BB$52*BB113</f>
        <v>0</v>
      </c>
      <c r="BC116" s="87">
        <f>BC$52*BC113</f>
        <v>0</v>
      </c>
      <c r="BD116" s="862">
        <f>BE116+BF116</f>
        <v>0</v>
      </c>
      <c r="BE116" s="87">
        <f>BE$52*BE113</f>
        <v>0</v>
      </c>
      <c r="BF116" s="87">
        <f>BF$52*BF113</f>
        <v>0</v>
      </c>
      <c r="BG116" s="862">
        <f>BH116+BI116</f>
        <v>0</v>
      </c>
      <c r="BH116" s="87">
        <f>BH$52*BH113</f>
        <v>0</v>
      </c>
      <c r="BI116" s="87">
        <f>BI$52*BI113</f>
        <v>0</v>
      </c>
      <c r="BJ116" s="862">
        <f>BK116+BL116</f>
        <v>0</v>
      </c>
      <c r="BK116" s="87">
        <f>BK$52*BK113</f>
        <v>0</v>
      </c>
      <c r="BL116" s="87">
        <f>BL$52*BL113</f>
        <v>0</v>
      </c>
      <c r="BM116" s="862">
        <f>BN116+BO116</f>
        <v>0</v>
      </c>
      <c r="BN116" s="87">
        <f>BN$52*BN113</f>
        <v>0</v>
      </c>
      <c r="BO116" s="87">
        <f>BO$52*BO113</f>
        <v>0</v>
      </c>
      <c r="BP116" s="862">
        <f>BQ116+BR116</f>
        <v>0</v>
      </c>
      <c r="BQ116" s="1772">
        <f>BQ$52*BQ113</f>
        <v>0</v>
      </c>
      <c r="BR116" s="1772">
        <f>BR$52*BR113</f>
        <v>0</v>
      </c>
      <c r="BS116" s="862">
        <f>BT116+BU116</f>
        <v>0</v>
      </c>
      <c r="BT116" s="87">
        <f>BT$52*BT113</f>
        <v>0</v>
      </c>
      <c r="BU116" s="87">
        <f>BU$52*BU113</f>
        <v>0</v>
      </c>
      <c r="BV116" s="862">
        <f>BW116+BX116</f>
        <v>0</v>
      </c>
      <c r="BW116" s="87">
        <f>BW$52*BW113</f>
        <v>0</v>
      </c>
      <c r="BX116" s="87">
        <f>BX$52*BX113</f>
        <v>0</v>
      </c>
      <c r="BY116" s="862">
        <f>BZ116+CA116</f>
        <v>0</v>
      </c>
      <c r="BZ116" s="87">
        <f>BZ$52*BZ113</f>
        <v>0</v>
      </c>
      <c r="CA116" s="87">
        <f>CA$52*CA113</f>
        <v>0</v>
      </c>
      <c r="CB116" s="862">
        <f>CC116+CD116</f>
        <v>0</v>
      </c>
      <c r="CC116" s="87">
        <f>CC$52*CC113</f>
        <v>0</v>
      </c>
      <c r="CD116" s="87">
        <f>CD$52*CD113</f>
        <v>0</v>
      </c>
      <c r="CE116" s="862">
        <f>CF116+CG116</f>
        <v>0</v>
      </c>
      <c r="CF116" s="87">
        <f>CF$52*CF113</f>
        <v>0</v>
      </c>
      <c r="CG116" s="87">
        <f>CG$52*CG113</f>
        <v>0</v>
      </c>
      <c r="CH116" s="862">
        <f>CI116+CJ116</f>
        <v>0</v>
      </c>
      <c r="CI116" s="87">
        <f>CI$52*CI113</f>
        <v>0</v>
      </c>
      <c r="CJ116" s="87">
        <f>CJ$52*CJ113</f>
        <v>0</v>
      </c>
      <c r="CK116" s="862">
        <f>CL116+CM116</f>
        <v>0</v>
      </c>
      <c r="CL116" s="87">
        <f>CL$52*CL113</f>
        <v>0</v>
      </c>
      <c r="CM116" s="87">
        <f>CM$52*CM113</f>
        <v>0</v>
      </c>
      <c r="CN116" s="862">
        <f>CO116+CP116</f>
        <v>0</v>
      </c>
      <c r="CO116" s="87">
        <f>CO$52*CO113</f>
        <v>0</v>
      </c>
      <c r="CP116" s="87">
        <f>CP$52*CP113</f>
        <v>0</v>
      </c>
      <c r="CQ116" s="862">
        <f>CR116+CS116</f>
        <v>0</v>
      </c>
      <c r="CR116" s="87">
        <f>CR$52*CR113</f>
        <v>0</v>
      </c>
      <c r="CS116" s="87">
        <f>CS$52*CS113</f>
        <v>0</v>
      </c>
      <c r="CT116" s="73"/>
      <c r="CW116" s="1173" t="s">
        <v>865</v>
      </c>
      <c r="CX116" s="1178" t="s">
        <v>792</v>
      </c>
      <c r="CY116" s="1182" cm="1" t="str">
        <f t="array" ref="CY116:CY116">AE116</f>
        <v>0</v>
      </c>
      <c r="CZ116" s="1182" cm="1" t="str">
        <f t="array" ref="CZ116:CZ116">AF116</f>
        <v>0</v>
      </c>
    </row>
    <row customHeight="1" ht="15" hidden="1">
      <c r="E117" s="797">
        <v>0</v>
      </c>
      <c r="F117" s="922" cm="1" t="str">
        <f t="array" ref="F117:F117">OFFSET(G117,-1,-1)</f>
        <v>0</v>
      </c>
      <c r="L117" s="922" cm="1" t="str">
        <f t="array" ref="L117:L117">OFFSET(M117,-1,-1)</f>
        <v>false</v>
      </c>
      <c r="S117" s="159" cm="1" t="str">
        <f t="array" ref="S117:S117">OFFSET(T117,-1,-1)</f>
        <v>false</v>
      </c>
      <c r="U117" s="819">
        <f>AND(S117,IF(ISBLANK(T117),TRUE,T117))</f>
        <v>0</v>
      </c>
      <c r="X117" s="973" t="str">
        <f>"{                  
         funcDyn: 'msg1',
         blok: 'blok_2',
         wsCross: 'Топливо 4.4',
         linkFormula: 'AE-AE#AF-AF',
         levelDyn: "&amp;Y28&amp;"
}"</f>
        <v>{                  
         funcDyn: 'msg1',
         blok: 'blok_2',
         wsCross: 'Топливо 4.4',
         linkFormula: 'AE-AE#AF-AF',
         levelDyn: 0
}</v>
      </c>
      <c r="AB117" s="1822"/>
      <c r="AD117" s="1805"/>
      <c r="AE117" s="975" t="s">
        <v>236</v>
      </c>
      <c r="AF117" s="1807"/>
      <c r="AG117" s="1821"/>
      <c r="AH117" s="1810"/>
      <c r="AI117" s="1811"/>
      <c r="AJ117" s="1811"/>
      <c r="AK117" s="1811"/>
      <c r="AL117" s="1811"/>
      <c r="AM117" s="1811"/>
      <c r="AN117" s="1811"/>
      <c r="AO117" s="1811"/>
      <c r="AP117" s="1811"/>
      <c r="AQ117" s="1811"/>
      <c r="AR117" s="1811"/>
      <c r="AS117" s="1811"/>
      <c r="AT117" s="1811"/>
      <c r="AU117" s="1811"/>
      <c r="AV117" s="1811"/>
      <c r="AW117" s="1811"/>
      <c r="AX117" s="1811"/>
      <c r="AY117" s="1811"/>
      <c r="AZ117" s="1811"/>
      <c r="BA117" s="1811"/>
      <c r="BB117" s="1811"/>
      <c r="BC117" s="1811"/>
      <c r="BD117" s="1811"/>
      <c r="BE117" s="1811"/>
      <c r="BF117" s="1811"/>
      <c r="BG117" s="1811"/>
      <c r="BH117" s="1811"/>
      <c r="BI117" s="1811"/>
      <c r="BJ117" s="1811"/>
      <c r="BK117" s="1811"/>
      <c r="BL117" s="1811"/>
      <c r="BM117" s="1811"/>
      <c r="BN117" s="1811"/>
      <c r="BO117" s="1811"/>
      <c r="BP117" s="1811"/>
      <c r="BQ117" s="1811"/>
      <c r="BR117" s="1811"/>
      <c r="BS117" s="1811"/>
      <c r="BT117" s="1811"/>
      <c r="BU117" s="1811"/>
      <c r="BV117" s="1811"/>
      <c r="BW117" s="1811"/>
      <c r="BX117" s="1811"/>
      <c r="BY117" s="1811"/>
      <c r="BZ117" s="1811"/>
      <c r="CA117" s="1811"/>
      <c r="CB117" s="1811"/>
      <c r="CC117" s="1811"/>
      <c r="CD117" s="1811"/>
      <c r="CE117" s="1811"/>
      <c r="CF117" s="1811"/>
      <c r="CG117" s="1811"/>
      <c r="CH117" s="1811"/>
      <c r="CI117" s="1811"/>
      <c r="CJ117" s="1811"/>
      <c r="CK117" s="1811"/>
      <c r="CL117" s="1811"/>
      <c r="CM117" s="1811"/>
      <c r="CN117" s="1811"/>
      <c r="CO117" s="1811"/>
      <c r="CP117" s="1811"/>
      <c r="CQ117" s="1811"/>
      <c r="CR117" s="1811"/>
      <c r="CS117" s="1811"/>
      <c r="CT117" s="91"/>
      <c r="CW117" s="1173" t="str">
        <f>IF(AND(ISNUMBER(VALUE(TRIM(SUBSTITUTE(AD117,".","")))),TRIM(SUBSTITUTE(AD117,".",""))&lt;&gt;""),"P"&amp;SUBSTITUTE(AD117,".",""),"")</f>
        <v/>
      </c>
    </row>
    <row customHeight="1" ht="16.672500000000003" hidden="1">
      <c r="E118" s="797">
        <v>17.1</v>
      </c>
      <c r="F118" s="922" cm="1" t="str">
        <f t="array" ref="F118:F118">OFFSET(G118,-1,-1)</f>
        <v>0</v>
      </c>
      <c r="L118" s="922" cm="1" t="str">
        <f t="array" ref="L118:L118">OFFSET(M118,-1,-1)</f>
        <v>false</v>
      </c>
      <c r="S118" s="159" cm="1" t="str">
        <f t="array" ref="S118:S118">OFFSET(T118,-1,-1)</f>
        <v>false</v>
      </c>
      <c r="U118" s="819">
        <f>AND(S118,IF(ISBLANK(T118),TRUE,T118))</f>
        <v>0</v>
      </c>
      <c r="AB118" s="1485" t="s">
        <v>867</v>
      </c>
      <c r="AD118" s="173" t="s">
        <v>868</v>
      </c>
      <c r="AE118" s="1497" t="s">
        <v>869</v>
      </c>
      <c r="AF118" s="1826"/>
      <c r="AG118" s="859" t="s">
        <v>810</v>
      </c>
      <c r="AH118" s="860">
        <f>SUM(AH120:AH121)</f>
        <v>0</v>
      </c>
      <c r="AI118" s="860">
        <f>SUM(AI120:AI121)</f>
        <v>0</v>
      </c>
      <c r="AJ118" s="860">
        <f>SUM(AJ120:AJ121)</f>
        <v>0</v>
      </c>
      <c r="AK118" s="860">
        <f>SUM(AK120:AK121)</f>
        <v>0</v>
      </c>
      <c r="AL118" s="860">
        <f>SUM(AL120:AL121)</f>
        <v>0</v>
      </c>
      <c r="AM118" s="860">
        <f>SUM(AM120:AM121)</f>
        <v>0</v>
      </c>
      <c r="AN118" s="860">
        <f>SUM(AN120:AN121)</f>
        <v>0</v>
      </c>
      <c r="AO118" s="860">
        <f>SUM(AO120:AO121)</f>
        <v>0</v>
      </c>
      <c r="AP118" s="860">
        <f>SUM(AP120:AP121)</f>
        <v>0</v>
      </c>
      <c r="AQ118" s="860">
        <f>SUM(AQ120:AQ121)</f>
        <v>0</v>
      </c>
      <c r="AR118" s="860">
        <f>SUM(AR120:AR121)</f>
        <v>0</v>
      </c>
      <c r="AS118" s="860">
        <f>SUM(AS120:AS121)</f>
        <v>0</v>
      </c>
      <c r="AT118" s="860">
        <f>SUM(AT120:AT121)</f>
        <v>0</v>
      </c>
      <c r="AU118" s="860">
        <f>SUM(AU120:AU121)</f>
        <v>0</v>
      </c>
      <c r="AV118" s="860">
        <f>SUM(AV120:AV121)</f>
        <v>0</v>
      </c>
      <c r="AW118" s="860">
        <f>SUM(AW120:AW121)</f>
        <v>0</v>
      </c>
      <c r="AX118" s="860">
        <f>SUM(AX120:AX121)</f>
        <v>0</v>
      </c>
      <c r="AY118" s="860">
        <f>SUM(AY120:AY121)</f>
        <v>0</v>
      </c>
      <c r="AZ118" s="860">
        <f>SUM(AZ120:AZ121)</f>
        <v>0</v>
      </c>
      <c r="BA118" s="860">
        <f>SUM(BA120:BA121)</f>
        <v>0</v>
      </c>
      <c r="BB118" s="860">
        <f>SUM(BB120:BB121)</f>
        <v>0</v>
      </c>
      <c r="BC118" s="860">
        <f>SUM(BC120:BC121)</f>
        <v>0</v>
      </c>
      <c r="BD118" s="860">
        <f>SUM(BD120:BD121)</f>
        <v>0</v>
      </c>
      <c r="BE118" s="860">
        <f>SUM(BE120:BE121)</f>
        <v>0</v>
      </c>
      <c r="BF118" s="860">
        <f>SUM(BF120:BF121)</f>
        <v>0</v>
      </c>
      <c r="BG118" s="860">
        <f>SUM(BG120:BG121)</f>
        <v>0</v>
      </c>
      <c r="BH118" s="860">
        <f>SUM(BH120:BH121)</f>
        <v>0</v>
      </c>
      <c r="BI118" s="860">
        <f>SUM(BI120:BI121)</f>
        <v>0</v>
      </c>
      <c r="BJ118" s="860">
        <f>SUM(BJ120:BJ121)</f>
        <v>0</v>
      </c>
      <c r="BK118" s="860">
        <f>SUM(BK120:BK121)</f>
        <v>0</v>
      </c>
      <c r="BL118" s="860">
        <f>SUM(BL120:BL121)</f>
        <v>0</v>
      </c>
      <c r="BM118" s="860">
        <f>SUM(BM120:BM121)</f>
        <v>0</v>
      </c>
      <c r="BN118" s="860">
        <f>SUM(BN120:BN121)</f>
        <v>0</v>
      </c>
      <c r="BO118" s="860">
        <f>SUM(BO120:BO121)</f>
        <v>0</v>
      </c>
      <c r="BP118" s="860">
        <f>SUM(BP120:BP121)</f>
        <v>0</v>
      </c>
      <c r="BQ118" s="860">
        <f>SUM(BQ120:BQ121)</f>
        <v>0</v>
      </c>
      <c r="BR118" s="860">
        <f>SUM(BR120:BR121)</f>
        <v>0</v>
      </c>
      <c r="BS118" s="860">
        <f>SUM(BS120:BS121)</f>
        <v>0</v>
      </c>
      <c r="BT118" s="860">
        <f>SUM(BT120:BT121)</f>
        <v>0</v>
      </c>
      <c r="BU118" s="860">
        <f>SUM(BU120:BU121)</f>
        <v>0</v>
      </c>
      <c r="BV118" s="860">
        <f>SUM(BV120:BV121)</f>
        <v>0</v>
      </c>
      <c r="BW118" s="860">
        <f>SUM(BW120:BW121)</f>
        <v>0</v>
      </c>
      <c r="BX118" s="860">
        <f>SUM(BX120:BX121)</f>
        <v>0</v>
      </c>
      <c r="BY118" s="860">
        <f>SUM(BY120:BY121)</f>
        <v>0</v>
      </c>
      <c r="BZ118" s="860">
        <f>SUM(BZ120:BZ121)</f>
        <v>0</v>
      </c>
      <c r="CA118" s="860">
        <f>SUM(CA120:CA121)</f>
        <v>0</v>
      </c>
      <c r="CB118" s="860">
        <f>SUM(CB120:CB121)</f>
        <v>0</v>
      </c>
      <c r="CC118" s="860">
        <f>SUM(CC120:CC121)</f>
        <v>0</v>
      </c>
      <c r="CD118" s="860">
        <f>SUM(CD120:CD121)</f>
        <v>0</v>
      </c>
      <c r="CE118" s="860">
        <f>SUM(CE120:CE121)</f>
        <v>0</v>
      </c>
      <c r="CF118" s="860">
        <f>SUM(CF120:CF121)</f>
        <v>0</v>
      </c>
      <c r="CG118" s="860">
        <f>SUM(CG120:CG121)</f>
        <v>0</v>
      </c>
      <c r="CH118" s="860">
        <f>SUM(CH120:CH121)</f>
        <v>0</v>
      </c>
      <c r="CI118" s="860">
        <f>SUM(CI120:CI121)</f>
        <v>0</v>
      </c>
      <c r="CJ118" s="860">
        <f>SUM(CJ120:CJ121)</f>
        <v>0</v>
      </c>
      <c r="CK118" s="860">
        <f>SUM(CK120:CK121)</f>
        <v>0</v>
      </c>
      <c r="CL118" s="860">
        <f>SUM(CL120:CL121)</f>
        <v>0</v>
      </c>
      <c r="CM118" s="860">
        <f>SUM(CM120:CM121)</f>
        <v>0</v>
      </c>
      <c r="CN118" s="860">
        <f>SUM(CN120:CN121)</f>
        <v>0</v>
      </c>
      <c r="CO118" s="860">
        <f>SUM(CO120:CO121)</f>
        <v>0</v>
      </c>
      <c r="CP118" s="860">
        <f>SUM(CP120:CP121)</f>
        <v>0</v>
      </c>
      <c r="CQ118" s="860">
        <f>SUM(CQ120:CQ121)</f>
        <v>0</v>
      </c>
      <c r="CR118" s="860">
        <f>SUM(CR120:CR121)</f>
        <v>0</v>
      </c>
      <c r="CS118" s="860">
        <f>SUM(CS120:CS121)</f>
        <v>0</v>
      </c>
      <c r="CT118" s="73"/>
      <c r="CW118" s="1173" t="s">
        <v>870</v>
      </c>
    </row>
    <row customHeight="1" ht="16.672500000000003" hidden="1">
      <c r="E119" s="797">
        <v>17.1</v>
      </c>
      <c r="F119" s="922" cm="1" t="str">
        <f t="array" ref="F119:F119">OFFSET(G119,-1,-1)</f>
        <v>0</v>
      </c>
      <c r="L119" s="922" cm="1" t="str">
        <f t="array" ref="L119:L119">OFFSET(M119,-1,-1)</f>
        <v>false</v>
      </c>
      <c r="R119" s="922" t="s">
        <v>730</v>
      </c>
      <c r="S119" s="159" cm="1" t="str">
        <f t="array" ref="S119:S119">OFFSET(T119,-1,-1)</f>
        <v>false</v>
      </c>
      <c r="T119" s="922" t="b">
        <v>0</v>
      </c>
      <c r="U119" s="819">
        <f>AND(S119,IF(ISBLANK(T119),TRUE,T119))</f>
        <v>0</v>
      </c>
      <c r="AB119" s="1818"/>
      <c r="AD119" s="160" t="str">
        <f>AD118&amp;".0"</f>
        <v>38.0</v>
      </c>
      <c r="AE119" s="1349" t="s">
        <v>741</v>
      </c>
      <c r="AF119" s="1831"/>
      <c r="AG119" s="859" t="s">
        <v>810</v>
      </c>
      <c r="AH119" s="86">
        <f>AH$52*AH118</f>
        <v>0</v>
      </c>
      <c r="AI119" s="87">
        <f>AI$52*AI118</f>
        <v>0</v>
      </c>
      <c r="AJ119" s="87">
        <f>AJ$52*AJ118</f>
        <v>0</v>
      </c>
      <c r="AK119" s="87">
        <f>AK$52*AK118</f>
        <v>0</v>
      </c>
      <c r="AL119" s="862">
        <f>AM119+AN119</f>
        <v>0</v>
      </c>
      <c r="AM119" s="87">
        <f>AM$52*AM118</f>
        <v>0</v>
      </c>
      <c r="AN119" s="87">
        <f>AN$52*AN118</f>
        <v>0</v>
      </c>
      <c r="AO119" s="862">
        <f>AP119+AQ119</f>
        <v>0</v>
      </c>
      <c r="AP119" s="87">
        <f>AP$52*AP118</f>
        <v>0</v>
      </c>
      <c r="AQ119" s="87">
        <f>AQ$52*AQ118</f>
        <v>0</v>
      </c>
      <c r="AR119" s="862">
        <f>AS119+AT119</f>
        <v>0</v>
      </c>
      <c r="AS119" s="87">
        <f>AS$52*AS118</f>
        <v>0</v>
      </c>
      <c r="AT119" s="87">
        <f>AT$52*AT118</f>
        <v>0</v>
      </c>
      <c r="AU119" s="862">
        <f>AV119+AW119</f>
        <v>0</v>
      </c>
      <c r="AV119" s="87">
        <f>AV$52*AV118</f>
        <v>0</v>
      </c>
      <c r="AW119" s="87">
        <f>AW$52*AW118</f>
        <v>0</v>
      </c>
      <c r="AX119" s="862">
        <f>AY119+AZ119</f>
        <v>0</v>
      </c>
      <c r="AY119" s="87">
        <f>AY$52*AY118</f>
        <v>0</v>
      </c>
      <c r="AZ119" s="87">
        <f>AZ$52*AZ118</f>
        <v>0</v>
      </c>
      <c r="BA119" s="862">
        <f>BB119+BC119</f>
        <v>0</v>
      </c>
      <c r="BB119" s="87">
        <f>BB$52*BB118</f>
        <v>0</v>
      </c>
      <c r="BC119" s="87">
        <f>BC$52*BC118</f>
        <v>0</v>
      </c>
      <c r="BD119" s="862">
        <f>BE119+BF119</f>
        <v>0</v>
      </c>
      <c r="BE119" s="87">
        <f>BE$52*BE118</f>
        <v>0</v>
      </c>
      <c r="BF119" s="87">
        <f>BF$52*BF118</f>
        <v>0</v>
      </c>
      <c r="BG119" s="862">
        <f>BH119+BI119</f>
        <v>0</v>
      </c>
      <c r="BH119" s="87">
        <f>BH$52*BH118</f>
        <v>0</v>
      </c>
      <c r="BI119" s="87">
        <f>BI$52*BI118</f>
        <v>0</v>
      </c>
      <c r="BJ119" s="862">
        <f>BK119+BL119</f>
        <v>0</v>
      </c>
      <c r="BK119" s="87">
        <f>BK$52*BK118</f>
        <v>0</v>
      </c>
      <c r="BL119" s="87">
        <f>BL$52*BL118</f>
        <v>0</v>
      </c>
      <c r="BM119" s="862">
        <f>BN119+BO119</f>
        <v>0</v>
      </c>
      <c r="BN119" s="87">
        <f>BN$52*BN118</f>
        <v>0</v>
      </c>
      <c r="BO119" s="87">
        <f>BO$52*BO118</f>
        <v>0</v>
      </c>
      <c r="BP119" s="862">
        <f>BQ119+BR119</f>
        <v>0</v>
      </c>
      <c r="BQ119" s="1772">
        <f>BQ$52*BQ118</f>
        <v>0</v>
      </c>
      <c r="BR119" s="1772">
        <f>BR$52*BR118</f>
        <v>0</v>
      </c>
      <c r="BS119" s="862">
        <f>BT119+BU119</f>
        <v>0</v>
      </c>
      <c r="BT119" s="87">
        <f>BT$52*BT118</f>
        <v>0</v>
      </c>
      <c r="BU119" s="87">
        <f>BU$52*BU118</f>
        <v>0</v>
      </c>
      <c r="BV119" s="862">
        <f>BW119+BX119</f>
        <v>0</v>
      </c>
      <c r="BW119" s="87">
        <f>BW$52*BW118</f>
        <v>0</v>
      </c>
      <c r="BX119" s="87">
        <f>BX$52*BX118</f>
        <v>0</v>
      </c>
      <c r="BY119" s="862">
        <f>BZ119+CA119</f>
        <v>0</v>
      </c>
      <c r="BZ119" s="87">
        <f>BZ$52*BZ118</f>
        <v>0</v>
      </c>
      <c r="CA119" s="87">
        <f>CA$52*CA118</f>
        <v>0</v>
      </c>
      <c r="CB119" s="862">
        <f>CC119+CD119</f>
        <v>0</v>
      </c>
      <c r="CC119" s="87">
        <f>CC$52*CC118</f>
        <v>0</v>
      </c>
      <c r="CD119" s="87">
        <f>CD$52*CD118</f>
        <v>0</v>
      </c>
      <c r="CE119" s="862">
        <f>CF119+CG119</f>
        <v>0</v>
      </c>
      <c r="CF119" s="87">
        <f>CF$52*CF118</f>
        <v>0</v>
      </c>
      <c r="CG119" s="87">
        <f>CG$52*CG118</f>
        <v>0</v>
      </c>
      <c r="CH119" s="862">
        <f>CI119+CJ119</f>
        <v>0</v>
      </c>
      <c r="CI119" s="87">
        <f>CI$52*CI118</f>
        <v>0</v>
      </c>
      <c r="CJ119" s="87">
        <f>CJ$52*CJ118</f>
        <v>0</v>
      </c>
      <c r="CK119" s="862">
        <f>CL119+CM119</f>
        <v>0</v>
      </c>
      <c r="CL119" s="87">
        <f>CL$52*CL118</f>
        <v>0</v>
      </c>
      <c r="CM119" s="87">
        <f>CM$52*CM118</f>
        <v>0</v>
      </c>
      <c r="CN119" s="862">
        <f>CO119+CP119</f>
        <v>0</v>
      </c>
      <c r="CO119" s="87">
        <f>CO$52*CO118</f>
        <v>0</v>
      </c>
      <c r="CP119" s="87">
        <f>CP$52*CP118</f>
        <v>0</v>
      </c>
      <c r="CQ119" s="862">
        <f>CR119+CS119</f>
        <v>0</v>
      </c>
      <c r="CR119" s="87">
        <f>CR$52*CR118</f>
        <v>0</v>
      </c>
      <c r="CS119" s="87">
        <f>CS$52*CS118</f>
        <v>0</v>
      </c>
      <c r="CT119" s="73"/>
      <c r="CW119" s="1173" t="s">
        <v>871</v>
      </c>
    </row>
    <row customHeight="1" ht="16.672500000000003" hidden="1">
      <c r="E120" s="797">
        <v>17.1</v>
      </c>
      <c r="F120" s="922" cm="1" t="str">
        <f t="array" ref="F120:F120">OFFSET(G120,-1,-1)</f>
        <v>0</v>
      </c>
      <c r="L120" s="922" cm="1" t="str">
        <f t="array" ref="L120:L120">OFFSET(M120,-1,-1)</f>
        <v>false</v>
      </c>
      <c r="S120" s="159" cm="1" t="str">
        <f t="array" ref="S120:S120">OFFSET(T120,-1,-1)</f>
        <v>false</v>
      </c>
      <c r="T120" s="159">
        <f>AD120&lt;&gt;"38.0"</f>
        <v>0</v>
      </c>
      <c r="U120" s="819">
        <f>AND(S120,IF(ISBLANK(T120),TRUE,T120))</f>
        <v>0</v>
      </c>
      <c r="X120" s="159" t="s">
        <v>234</v>
      </c>
      <c r="AB120" s="1818"/>
      <c r="AD120" s="160" t="s">
        <v>872</v>
      </c>
      <c r="AE120" s="1802"/>
      <c r="AF120" s="1803"/>
      <c r="AG120" s="859" t="s">
        <v>810</v>
      </c>
      <c r="AH120" s="86"/>
      <c r="AI120" s="87"/>
      <c r="AJ120" s="87"/>
      <c r="AK120" s="87"/>
      <c r="AL120" s="862">
        <f>AM120+AN120</f>
        <v>0</v>
      </c>
      <c r="AM120" s="87"/>
      <c r="AN120" s="87"/>
      <c r="AO120" s="862">
        <f>AP120+AQ120</f>
        <v>0</v>
      </c>
      <c r="AP120" s="87"/>
      <c r="AQ120" s="87"/>
      <c r="AR120" s="862">
        <f>AS120+AT120</f>
        <v>0</v>
      </c>
      <c r="AS120" s="87"/>
      <c r="AT120" s="87"/>
      <c r="AU120" s="862">
        <f>AV120+AW120</f>
        <v>0</v>
      </c>
      <c r="AV120" s="87"/>
      <c r="AW120" s="87"/>
      <c r="AX120" s="862">
        <f>AY120+AZ120</f>
        <v>0</v>
      </c>
      <c r="AY120" s="87"/>
      <c r="AZ120" s="87"/>
      <c r="BA120" s="862">
        <f>BB120+BC120</f>
        <v>0</v>
      </c>
      <c r="BB120" s="87"/>
      <c r="BC120" s="87"/>
      <c r="BD120" s="862">
        <f>BE120+BF120</f>
        <v>0</v>
      </c>
      <c r="BE120" s="87"/>
      <c r="BF120" s="87"/>
      <c r="BG120" s="862">
        <f>BH120+BI120</f>
        <v>0</v>
      </c>
      <c r="BH120" s="87"/>
      <c r="BI120" s="87"/>
      <c r="BJ120" s="862">
        <f>BK120+BL120</f>
        <v>0</v>
      </c>
      <c r="BK120" s="87"/>
      <c r="BL120" s="87"/>
      <c r="BM120" s="862">
        <f>BN120+BO120</f>
        <v>0</v>
      </c>
      <c r="BN120" s="87"/>
      <c r="BO120" s="87"/>
      <c r="BP120" s="862">
        <f>BQ120+BR120</f>
        <v>0</v>
      </c>
      <c r="BQ120" s="1772"/>
      <c r="BR120" s="1772"/>
      <c r="BS120" s="862">
        <f>BT120+BU120</f>
        <v>0</v>
      </c>
      <c r="BT120" s="87"/>
      <c r="BU120" s="87"/>
      <c r="BV120" s="862">
        <f>BW120+BX120</f>
        <v>0</v>
      </c>
      <c r="BW120" s="87"/>
      <c r="BX120" s="87"/>
      <c r="BY120" s="862">
        <f>BZ120+CA120</f>
        <v>0</v>
      </c>
      <c r="BZ120" s="87"/>
      <c r="CA120" s="87"/>
      <c r="CB120" s="862">
        <f>CC120+CD120</f>
        <v>0</v>
      </c>
      <c r="CC120" s="87"/>
      <c r="CD120" s="87"/>
      <c r="CE120" s="862">
        <f>CF120+CG120</f>
        <v>0</v>
      </c>
      <c r="CF120" s="87"/>
      <c r="CG120" s="87"/>
      <c r="CH120" s="862">
        <f>CI120+CJ120</f>
        <v>0</v>
      </c>
      <c r="CI120" s="87"/>
      <c r="CJ120" s="87"/>
      <c r="CK120" s="862">
        <f>CL120+CM120</f>
        <v>0</v>
      </c>
      <c r="CL120" s="87"/>
      <c r="CM120" s="87"/>
      <c r="CN120" s="862">
        <f>CO120+CP120</f>
        <v>0</v>
      </c>
      <c r="CO120" s="87"/>
      <c r="CP120" s="87"/>
      <c r="CQ120" s="862">
        <f>CR120+CS120</f>
        <v>0</v>
      </c>
      <c r="CR120" s="87"/>
      <c r="CS120" s="87"/>
      <c r="CT120" s="73"/>
      <c r="CW120" s="1173" t="s">
        <v>871</v>
      </c>
      <c r="CX120" s="1178" t="s">
        <v>792</v>
      </c>
      <c r="CY120" s="1182" cm="1" t="str">
        <f t="array" ref="CY120:CY120">AE120</f>
        <v>0</v>
      </c>
      <c r="CZ120" s="1182" cm="1" t="str">
        <f t="array" ref="CZ120:CZ120">AF120</f>
        <v>0</v>
      </c>
    </row>
    <row customHeight="1" ht="15" hidden="1">
      <c r="E121" s="797">
        <v>0</v>
      </c>
      <c r="F121" s="922" cm="1" t="str">
        <f t="array" ref="F121:F121">OFFSET(G121,-1,-1)</f>
        <v>0</v>
      </c>
      <c r="L121" s="922" cm="1" t="str">
        <f t="array" ref="L121:L121">OFFSET(M121,-1,-1)</f>
        <v>false</v>
      </c>
      <c r="S121" s="159" cm="1" t="str">
        <f t="array" ref="S121:S121">OFFSET(T121,-1,-1)</f>
        <v>false</v>
      </c>
      <c r="U121" s="819">
        <f>AND(S121,IF(ISBLANK(T121),TRUE,T121))</f>
        <v>0</v>
      </c>
      <c r="X121" s="973" t="str">
        <f>"{                  
         funcDyn: 'msg1',
         blok: 'blok_2',
         wsCross: 'Топливо 4.4',
         linkFormula: 'AE-AE#AF-AF',
         levelDyn: "&amp;Y28&amp;"
}"</f>
        <v>{                  
         funcDyn: 'msg1',
         blok: 'blok_2',
         wsCross: 'Топливо 4.4',
         linkFormula: 'AE-AE#AF-AF',
         levelDyn: 0
}</v>
      </c>
      <c r="AB121" s="1818"/>
      <c r="AD121" s="1805"/>
      <c r="AE121" s="975" t="s">
        <v>236</v>
      </c>
      <c r="AF121" s="1807"/>
      <c r="AG121" s="1821"/>
      <c r="AH121" s="1810"/>
      <c r="AI121" s="1811"/>
      <c r="AJ121" s="1811"/>
      <c r="AK121" s="1811"/>
      <c r="AL121" s="1811"/>
      <c r="AM121" s="1811"/>
      <c r="AN121" s="1811"/>
      <c r="AO121" s="1811"/>
      <c r="AP121" s="1811"/>
      <c r="AQ121" s="1811"/>
      <c r="AR121" s="1811"/>
      <c r="AS121" s="1811"/>
      <c r="AT121" s="1811"/>
      <c r="AU121" s="1811"/>
      <c r="AV121" s="1811"/>
      <c r="AW121" s="1811"/>
      <c r="AX121" s="1811"/>
      <c r="AY121" s="1811"/>
      <c r="AZ121" s="1811"/>
      <c r="BA121" s="1811"/>
      <c r="BB121" s="1811"/>
      <c r="BC121" s="1811"/>
      <c r="BD121" s="1811"/>
      <c r="BE121" s="1811"/>
      <c r="BF121" s="1811"/>
      <c r="BG121" s="1811"/>
      <c r="BH121" s="1811"/>
      <c r="BI121" s="1811"/>
      <c r="BJ121" s="1811"/>
      <c r="BK121" s="1811"/>
      <c r="BL121" s="1811"/>
      <c r="BM121" s="1811"/>
      <c r="BN121" s="1811"/>
      <c r="BO121" s="1811"/>
      <c r="BP121" s="1811"/>
      <c r="BQ121" s="1811"/>
      <c r="BR121" s="1811"/>
      <c r="BS121" s="1811"/>
      <c r="BT121" s="1811"/>
      <c r="BU121" s="1811"/>
      <c r="BV121" s="1811"/>
      <c r="BW121" s="1811"/>
      <c r="BX121" s="1811"/>
      <c r="BY121" s="1811"/>
      <c r="BZ121" s="1811"/>
      <c r="CA121" s="1811"/>
      <c r="CB121" s="1811"/>
      <c r="CC121" s="1811"/>
      <c r="CD121" s="1811"/>
      <c r="CE121" s="1811"/>
      <c r="CF121" s="1811"/>
      <c r="CG121" s="1811"/>
      <c r="CH121" s="1811"/>
      <c r="CI121" s="1811"/>
      <c r="CJ121" s="1811"/>
      <c r="CK121" s="1811"/>
      <c r="CL121" s="1811"/>
      <c r="CM121" s="1811"/>
      <c r="CN121" s="1811"/>
      <c r="CO121" s="1811"/>
      <c r="CP121" s="1811"/>
      <c r="CQ121" s="1811"/>
      <c r="CR121" s="1811"/>
      <c r="CS121" s="1811"/>
      <c r="CT121" s="91"/>
      <c r="CW121" s="1173" t="str">
        <f>IF(AND(ISNUMBER(VALUE(TRIM(SUBSTITUTE(AD121,".","")))),TRIM(SUBSTITUTE(AD121,".",""))&lt;&gt;""),"P"&amp;SUBSTITUTE(AD121,".",""),"")</f>
        <v/>
      </c>
    </row>
    <row customHeight="1" ht="29.25" hidden="1">
      <c r="E122" s="797">
        <v>30</v>
      </c>
      <c r="F122" s="922" cm="1" t="str">
        <f t="array" ref="F122:F122">OFFSET(G122,-1,-1)</f>
        <v>0</v>
      </c>
      <c r="L122" s="922" cm="1" t="str">
        <f t="array" ref="L122:L122">OFFSET(M122,-1,-1)</f>
        <v>false</v>
      </c>
      <c r="R122" s="922" t="s">
        <v>730</v>
      </c>
      <c r="S122" s="159" cm="1" t="str">
        <f t="array" ref="S122:S122">OFFSET(T122,-1,-1)</f>
        <v>false</v>
      </c>
      <c r="T122" s="159" cm="1" t="str">
        <f t="array" ref="T122:T122">L122</f>
        <v>false</v>
      </c>
      <c r="U122" s="819">
        <f>AND(S122,IF(ISBLANK(T122),TRUE,T122))</f>
        <v>0</v>
      </c>
      <c r="AB122" s="1818"/>
      <c r="AD122" s="173" t="s">
        <v>873</v>
      </c>
      <c r="AE122" s="1502" t="s">
        <v>874</v>
      </c>
      <c r="AF122" s="1833"/>
      <c r="AG122" s="859" t="s">
        <v>810</v>
      </c>
      <c r="AH122" s="860">
        <f>SUM(AH123:AH124)</f>
        <v>0</v>
      </c>
      <c r="AI122" s="860">
        <f>SUM(AI123:AI124)</f>
        <v>0</v>
      </c>
      <c r="AJ122" s="860">
        <f>SUM(AJ123:AJ124)</f>
        <v>0</v>
      </c>
      <c r="AK122" s="860">
        <f>SUM(AK123:AK124)</f>
        <v>0</v>
      </c>
      <c r="AL122" s="860">
        <f>SUM(AL123:AL124)</f>
        <v>0</v>
      </c>
      <c r="AM122" s="860">
        <f>SUM(AM123:AM124)</f>
        <v>0</v>
      </c>
      <c r="AN122" s="860">
        <f>SUM(AN123:AN124)</f>
        <v>0</v>
      </c>
      <c r="AO122" s="860">
        <f>SUM(AO123:AO124)</f>
        <v>0</v>
      </c>
      <c r="AP122" s="860">
        <f>SUM(AP123:AP124)</f>
        <v>0</v>
      </c>
      <c r="AQ122" s="860">
        <f>SUM(AQ123:AQ124)</f>
        <v>0</v>
      </c>
      <c r="AR122" s="860">
        <f>SUM(AR123:AR124)</f>
        <v>0</v>
      </c>
      <c r="AS122" s="860">
        <f>SUM(AS123:AS124)</f>
        <v>0</v>
      </c>
      <c r="AT122" s="860">
        <f>SUM(AT123:AT124)</f>
        <v>0</v>
      </c>
      <c r="AU122" s="860">
        <f>SUM(AU123:AU124)</f>
        <v>0</v>
      </c>
      <c r="AV122" s="860">
        <f>SUM(AV123:AV124)</f>
        <v>0</v>
      </c>
      <c r="AW122" s="860">
        <f>SUM(AW123:AW124)</f>
        <v>0</v>
      </c>
      <c r="AX122" s="860">
        <f>SUM(AX123:AX124)</f>
        <v>0</v>
      </c>
      <c r="AY122" s="860">
        <f>SUM(AY123:AY124)</f>
        <v>0</v>
      </c>
      <c r="AZ122" s="860">
        <f>SUM(AZ123:AZ124)</f>
        <v>0</v>
      </c>
      <c r="BA122" s="860">
        <f>SUM(BA123:BA124)</f>
        <v>0</v>
      </c>
      <c r="BB122" s="860">
        <f>SUM(BB123:BB124)</f>
        <v>0</v>
      </c>
      <c r="BC122" s="860">
        <f>SUM(BC123:BC124)</f>
        <v>0</v>
      </c>
      <c r="BD122" s="860">
        <f>SUM(BD123:BD124)</f>
        <v>0</v>
      </c>
      <c r="BE122" s="860">
        <f>SUM(BE123:BE124)</f>
        <v>0</v>
      </c>
      <c r="BF122" s="860">
        <f>SUM(BF123:BF124)</f>
        <v>0</v>
      </c>
      <c r="BG122" s="860">
        <f>SUM(BG123:BG124)</f>
        <v>0</v>
      </c>
      <c r="BH122" s="860">
        <f>SUM(BH123:BH124)</f>
        <v>0</v>
      </c>
      <c r="BI122" s="860">
        <f>SUM(BI123:BI124)</f>
        <v>0</v>
      </c>
      <c r="BJ122" s="860">
        <f>SUM(BJ123:BJ124)</f>
        <v>0</v>
      </c>
      <c r="BK122" s="860">
        <f>SUM(BK123:BK124)</f>
        <v>0</v>
      </c>
      <c r="BL122" s="860">
        <f>SUM(BL123:BL124)</f>
        <v>0</v>
      </c>
      <c r="BM122" s="860">
        <f>SUM(BM123:BM124)</f>
        <v>0</v>
      </c>
      <c r="BN122" s="860">
        <f>SUM(BN123:BN124)</f>
        <v>0</v>
      </c>
      <c r="BO122" s="860">
        <f>SUM(BO123:BO124)</f>
        <v>0</v>
      </c>
      <c r="BP122" s="860">
        <f>SUM(BP123:BP124)</f>
        <v>0</v>
      </c>
      <c r="BQ122" s="860">
        <f>SUM(BQ123:BQ124)</f>
        <v>0</v>
      </c>
      <c r="BR122" s="860">
        <f>SUM(BR123:BR124)</f>
        <v>0</v>
      </c>
      <c r="BS122" s="860">
        <f>SUM(BS123:BS124)</f>
        <v>0</v>
      </c>
      <c r="BT122" s="860">
        <f>SUM(BT123:BT124)</f>
        <v>0</v>
      </c>
      <c r="BU122" s="860">
        <f>SUM(BU123:BU124)</f>
        <v>0</v>
      </c>
      <c r="BV122" s="860">
        <f>SUM(BV123:BV124)</f>
        <v>0</v>
      </c>
      <c r="BW122" s="860">
        <f>SUM(BW123:BW124)</f>
        <v>0</v>
      </c>
      <c r="BX122" s="860">
        <f>SUM(BX123:BX124)</f>
        <v>0</v>
      </c>
      <c r="BY122" s="860">
        <f>SUM(BY123:BY124)</f>
        <v>0</v>
      </c>
      <c r="BZ122" s="860">
        <f>SUM(BZ123:BZ124)</f>
        <v>0</v>
      </c>
      <c r="CA122" s="860">
        <f>SUM(CA123:CA124)</f>
        <v>0</v>
      </c>
      <c r="CB122" s="860">
        <f>SUM(CB123:CB124)</f>
        <v>0</v>
      </c>
      <c r="CC122" s="860">
        <f>SUM(CC123:CC124)</f>
        <v>0</v>
      </c>
      <c r="CD122" s="860">
        <f>SUM(CD123:CD124)</f>
        <v>0</v>
      </c>
      <c r="CE122" s="860">
        <f>SUM(CE123:CE124)</f>
        <v>0</v>
      </c>
      <c r="CF122" s="860">
        <f>SUM(CF123:CF124)</f>
        <v>0</v>
      </c>
      <c r="CG122" s="860">
        <f>SUM(CG123:CG124)</f>
        <v>0</v>
      </c>
      <c r="CH122" s="860">
        <f>SUM(CH123:CH124)</f>
        <v>0</v>
      </c>
      <c r="CI122" s="860">
        <f>SUM(CI123:CI124)</f>
        <v>0</v>
      </c>
      <c r="CJ122" s="860">
        <f>SUM(CJ123:CJ124)</f>
        <v>0</v>
      </c>
      <c r="CK122" s="860">
        <f>SUM(CK123:CK124)</f>
        <v>0</v>
      </c>
      <c r="CL122" s="860">
        <f>SUM(CL123:CL124)</f>
        <v>0</v>
      </c>
      <c r="CM122" s="860">
        <f>SUM(CM123:CM124)</f>
        <v>0</v>
      </c>
      <c r="CN122" s="860">
        <f>SUM(CN123:CN124)</f>
        <v>0</v>
      </c>
      <c r="CO122" s="860">
        <f>SUM(CO123:CO124)</f>
        <v>0</v>
      </c>
      <c r="CP122" s="860">
        <f>SUM(CP123:CP124)</f>
        <v>0</v>
      </c>
      <c r="CQ122" s="860">
        <f>SUM(CQ123:CQ124)</f>
        <v>0</v>
      </c>
      <c r="CR122" s="860">
        <f>SUM(CR123:CR124)</f>
        <v>0</v>
      </c>
      <c r="CS122" s="860">
        <f>SUM(CS123:CS124)</f>
        <v>0</v>
      </c>
      <c r="CT122" s="73"/>
      <c r="CW122" s="1173" t="s">
        <v>875</v>
      </c>
    </row>
    <row customHeight="1" ht="16.672500000000003" hidden="1">
      <c r="E123" s="797">
        <v>17.1</v>
      </c>
      <c r="F123" s="922" cm="1" t="str">
        <f t="array" ref="F123:F123">OFFSET(G123,-1,-1)</f>
        <v>0</v>
      </c>
      <c r="L123" s="922" cm="1" t="str">
        <f t="array" ref="L123:L123">OFFSET(M123,-1,-1)</f>
        <v>false</v>
      </c>
      <c r="R123" s="922" t="s">
        <v>730</v>
      </c>
      <c r="S123" s="159" cm="1" t="str">
        <f t="array" ref="S123:S123">OFFSET(T123,-1,-1)</f>
        <v>false</v>
      </c>
      <c r="T123" s="159">
        <f>AND(L123,AD123&lt;&gt;"39.0")</f>
        <v>0</v>
      </c>
      <c r="U123" s="819">
        <f>AND(S123,IF(ISBLANK(T123),TRUE,T123))</f>
        <v>0</v>
      </c>
      <c r="X123" s="159" t="s">
        <v>234</v>
      </c>
      <c r="AB123" s="1818"/>
      <c r="AD123" s="160" t="s">
        <v>876</v>
      </c>
      <c r="AE123" s="1802"/>
      <c r="AF123" s="1803"/>
      <c r="AG123" s="859" t="s">
        <v>810</v>
      </c>
      <c r="AH123" s="86">
        <f>AH$52*AH120</f>
        <v>0</v>
      </c>
      <c r="AI123" s="87">
        <f>AI$52*AI120</f>
        <v>0</v>
      </c>
      <c r="AJ123" s="87">
        <f>AJ$52*AJ120</f>
        <v>0</v>
      </c>
      <c r="AK123" s="87">
        <f>AK$52*AK120</f>
        <v>0</v>
      </c>
      <c r="AL123" s="862">
        <f>AM123+AN123</f>
        <v>0</v>
      </c>
      <c r="AM123" s="87">
        <f>AM$52*AM120</f>
        <v>0</v>
      </c>
      <c r="AN123" s="87">
        <f>AN$52*AN120</f>
        <v>0</v>
      </c>
      <c r="AO123" s="862">
        <f>AP123+AQ123</f>
        <v>0</v>
      </c>
      <c r="AP123" s="87">
        <f>AP$52*AP120</f>
        <v>0</v>
      </c>
      <c r="AQ123" s="87">
        <f>AQ$52*AQ120</f>
        <v>0</v>
      </c>
      <c r="AR123" s="862">
        <f>AS123+AT123</f>
        <v>0</v>
      </c>
      <c r="AS123" s="87">
        <f>AS$52*AS120</f>
        <v>0</v>
      </c>
      <c r="AT123" s="87">
        <f>AT$52*AT120</f>
        <v>0</v>
      </c>
      <c r="AU123" s="862">
        <f>AV123+AW123</f>
        <v>0</v>
      </c>
      <c r="AV123" s="87">
        <f>AV$52*AV120</f>
        <v>0</v>
      </c>
      <c r="AW123" s="87">
        <f>AW$52*AW120</f>
        <v>0</v>
      </c>
      <c r="AX123" s="862">
        <f>AY123+AZ123</f>
        <v>0</v>
      </c>
      <c r="AY123" s="87">
        <f>AY$52*AY120</f>
        <v>0</v>
      </c>
      <c r="AZ123" s="87">
        <f>AZ$52*AZ120</f>
        <v>0</v>
      </c>
      <c r="BA123" s="862">
        <f>BB123+BC123</f>
        <v>0</v>
      </c>
      <c r="BB123" s="87">
        <f>BB$52*BB120</f>
        <v>0</v>
      </c>
      <c r="BC123" s="87">
        <f>BC$52*BC120</f>
        <v>0</v>
      </c>
      <c r="BD123" s="862">
        <f>BE123+BF123</f>
        <v>0</v>
      </c>
      <c r="BE123" s="87">
        <f>BE$52*BE120</f>
        <v>0</v>
      </c>
      <c r="BF123" s="87">
        <f>BF$52*BF120</f>
        <v>0</v>
      </c>
      <c r="BG123" s="862">
        <f>BH123+BI123</f>
        <v>0</v>
      </c>
      <c r="BH123" s="87">
        <f>BH$52*BH120</f>
        <v>0</v>
      </c>
      <c r="BI123" s="87">
        <f>BI$52*BI120</f>
        <v>0</v>
      </c>
      <c r="BJ123" s="862">
        <f>BK123+BL123</f>
        <v>0</v>
      </c>
      <c r="BK123" s="87">
        <f>BK$52*BK120</f>
        <v>0</v>
      </c>
      <c r="BL123" s="87">
        <f>BL$52*BL120</f>
        <v>0</v>
      </c>
      <c r="BM123" s="862">
        <f>BN123+BO123</f>
        <v>0</v>
      </c>
      <c r="BN123" s="87">
        <f>BN$52*BN120</f>
        <v>0</v>
      </c>
      <c r="BO123" s="87">
        <f>BO$52*BO120</f>
        <v>0</v>
      </c>
      <c r="BP123" s="862">
        <f>BQ123+BR123</f>
        <v>0</v>
      </c>
      <c r="BQ123" s="1772">
        <f>BQ$52*BQ120</f>
        <v>0</v>
      </c>
      <c r="BR123" s="1772">
        <f>BR$52*BR120</f>
        <v>0</v>
      </c>
      <c r="BS123" s="862">
        <f>BT123+BU123</f>
        <v>0</v>
      </c>
      <c r="BT123" s="87">
        <f>BT$52*BT120</f>
        <v>0</v>
      </c>
      <c r="BU123" s="87">
        <f>BU$52*BU120</f>
        <v>0</v>
      </c>
      <c r="BV123" s="862">
        <f>BW123+BX123</f>
        <v>0</v>
      </c>
      <c r="BW123" s="87">
        <f>BW$52*BW120</f>
        <v>0</v>
      </c>
      <c r="BX123" s="87">
        <f>BX$52*BX120</f>
        <v>0</v>
      </c>
      <c r="BY123" s="862">
        <f>BZ123+CA123</f>
        <v>0</v>
      </c>
      <c r="BZ123" s="87">
        <f>BZ$52*BZ120</f>
        <v>0</v>
      </c>
      <c r="CA123" s="87">
        <f>CA$52*CA120</f>
        <v>0</v>
      </c>
      <c r="CB123" s="862">
        <f>CC123+CD123</f>
        <v>0</v>
      </c>
      <c r="CC123" s="87">
        <f>CC$52*CC120</f>
        <v>0</v>
      </c>
      <c r="CD123" s="87">
        <f>CD$52*CD120</f>
        <v>0</v>
      </c>
      <c r="CE123" s="862">
        <f>CF123+CG123</f>
        <v>0</v>
      </c>
      <c r="CF123" s="87">
        <f>CF$52*CF120</f>
        <v>0</v>
      </c>
      <c r="CG123" s="87">
        <f>CG$52*CG120</f>
        <v>0</v>
      </c>
      <c r="CH123" s="862">
        <f>CI123+CJ123</f>
        <v>0</v>
      </c>
      <c r="CI123" s="87">
        <f>CI$52*CI120</f>
        <v>0</v>
      </c>
      <c r="CJ123" s="87">
        <f>CJ$52*CJ120</f>
        <v>0</v>
      </c>
      <c r="CK123" s="862">
        <f>CL123+CM123</f>
        <v>0</v>
      </c>
      <c r="CL123" s="87">
        <f>CL$52*CL120</f>
        <v>0</v>
      </c>
      <c r="CM123" s="87">
        <f>CM$52*CM120</f>
        <v>0</v>
      </c>
      <c r="CN123" s="862">
        <f>CO123+CP123</f>
        <v>0</v>
      </c>
      <c r="CO123" s="87">
        <f>CO$52*CO120</f>
        <v>0</v>
      </c>
      <c r="CP123" s="87">
        <f>CP$52*CP120</f>
        <v>0</v>
      </c>
      <c r="CQ123" s="862">
        <f>CR123+CS123</f>
        <v>0</v>
      </c>
      <c r="CR123" s="87">
        <f>CR$52*CR120</f>
        <v>0</v>
      </c>
      <c r="CS123" s="87">
        <f>CS$52*CS120</f>
        <v>0</v>
      </c>
      <c r="CT123" s="73"/>
      <c r="CW123" s="1173" t="s">
        <v>875</v>
      </c>
      <c r="CX123" s="1178" t="s">
        <v>792</v>
      </c>
      <c r="CY123" s="1182" cm="1" t="str">
        <f t="array" ref="CY123:CY123">AE123</f>
        <v>0</v>
      </c>
      <c r="CZ123" s="1182" cm="1" t="str">
        <f t="array" ref="CZ123:CZ123">AF123</f>
        <v>0</v>
      </c>
    </row>
    <row customHeight="1" ht="15" hidden="1">
      <c r="E124" s="797">
        <v>0</v>
      </c>
      <c r="F124" s="922" cm="1" t="str">
        <f t="array" ref="F124:F124">OFFSET(G124,-1,-1)</f>
        <v>0</v>
      </c>
      <c r="L124" s="922" cm="1" t="str">
        <f t="array" ref="L124:L124">OFFSET(M124,-1,-1)</f>
        <v>false</v>
      </c>
      <c r="S124" s="159" cm="1" t="str">
        <f t="array" ref="S124:S124">OFFSET(T124,-1,-1)</f>
        <v>false</v>
      </c>
      <c r="U124" s="819">
        <f>AND(S124,IF(ISBLANK(T124),TRUE,T124))</f>
        <v>0</v>
      </c>
      <c r="X124" s="973" t="str">
        <f>"{                  
         funcDyn: 'msg1',
         blok: 'blok_2',
         wsCross: 'Топливо 4.4',
         linkFormula: 'AE-AE#AF-AF',
         levelDyn: "&amp;Y28&amp;"
}"</f>
        <v>{                  
         funcDyn: 'msg1',
         blok: 'blok_2',
         wsCross: 'Топливо 4.4',
         linkFormula: 'AE-AE#AF-AF',
         levelDyn: 0
}</v>
      </c>
      <c r="AB124" s="1822"/>
      <c r="AD124" s="1805"/>
      <c r="AE124" s="975" t="s">
        <v>236</v>
      </c>
      <c r="AF124" s="1807"/>
      <c r="AG124" s="1821"/>
      <c r="AH124" s="1810"/>
      <c r="AI124" s="1811"/>
      <c r="AJ124" s="1811"/>
      <c r="AK124" s="1811"/>
      <c r="AL124" s="1811"/>
      <c r="AM124" s="1811"/>
      <c r="AN124" s="1811"/>
      <c r="AO124" s="1811"/>
      <c r="AP124" s="1811"/>
      <c r="AQ124" s="1811"/>
      <c r="AR124" s="1811"/>
      <c r="AS124" s="1811"/>
      <c r="AT124" s="1811"/>
      <c r="AU124" s="1811"/>
      <c r="AV124" s="1811"/>
      <c r="AW124" s="1811"/>
      <c r="AX124" s="1811"/>
      <c r="AY124" s="1811"/>
      <c r="AZ124" s="1811"/>
      <c r="BA124" s="1811"/>
      <c r="BB124" s="1811"/>
      <c r="BC124" s="1811"/>
      <c r="BD124" s="1811"/>
      <c r="BE124" s="1811"/>
      <c r="BF124" s="1811"/>
      <c r="BG124" s="1811"/>
      <c r="BH124" s="1811"/>
      <c r="BI124" s="1811"/>
      <c r="BJ124" s="1811"/>
      <c r="BK124" s="1811"/>
      <c r="BL124" s="1811"/>
      <c r="BM124" s="1811"/>
      <c r="BN124" s="1811"/>
      <c r="BO124" s="1811"/>
      <c r="BP124" s="1811"/>
      <c r="BQ124" s="1811"/>
      <c r="BR124" s="1811"/>
      <c r="BS124" s="1811"/>
      <c r="BT124" s="1811"/>
      <c r="BU124" s="1811"/>
      <c r="BV124" s="1811"/>
      <c r="BW124" s="1811"/>
      <c r="BX124" s="1811"/>
      <c r="BY124" s="1811"/>
      <c r="BZ124" s="1811"/>
      <c r="CA124" s="1811"/>
      <c r="CB124" s="1811"/>
      <c r="CC124" s="1811"/>
      <c r="CD124" s="1811"/>
      <c r="CE124" s="1811"/>
      <c r="CF124" s="1811"/>
      <c r="CG124" s="1811"/>
      <c r="CH124" s="1811"/>
      <c r="CI124" s="1811"/>
      <c r="CJ124" s="1811"/>
      <c r="CK124" s="1811"/>
      <c r="CL124" s="1811"/>
      <c r="CM124" s="1811"/>
      <c r="CN124" s="1811"/>
      <c r="CO124" s="1811"/>
      <c r="CP124" s="1811"/>
      <c r="CQ124" s="1811"/>
      <c r="CR124" s="1811"/>
      <c r="CS124" s="1811"/>
      <c r="CT124" s="91"/>
      <c r="CW124" s="1173" t="str">
        <f>IF(AND(ISNUMBER(VALUE(TRIM(SUBSTITUTE(AD124,".","")))),TRIM(SUBSTITUTE(AD124,".",""))&lt;&gt;""),"P"&amp;SUBSTITUTE(AD124,".",""),"")</f>
        <v/>
      </c>
    </row>
    <row customHeight="1" ht="16.672500000000003" hidden="1">
      <c r="E125" s="797">
        <v>17.1</v>
      </c>
      <c r="F125" s="922" cm="1" t="str">
        <f t="array" ref="F125:F125">OFFSET(G125,-1,-1)</f>
        <v>0</v>
      </c>
      <c r="L125" s="922" cm="1" t="str">
        <f t="array" ref="L125:L125">OFFSET(M125,-1,-1)</f>
        <v>false</v>
      </c>
      <c r="S125" s="159" cm="1" t="str">
        <f t="array" ref="S125:S125">OFFSET(T125,-1,-1)</f>
        <v>false</v>
      </c>
      <c r="U125" s="819">
        <f>AND(S125,IF(ISBLANK(T125),TRUE,T125))</f>
        <v>0</v>
      </c>
      <c r="AB125" s="1838" t="s">
        <v>877</v>
      </c>
      <c r="AD125" s="173" t="s">
        <v>878</v>
      </c>
      <c r="AE125" s="1502" t="s">
        <v>879</v>
      </c>
      <c r="AF125" s="1833"/>
      <c r="AG125" s="859" t="s">
        <v>810</v>
      </c>
      <c r="AH125" s="860">
        <f>SUM(AH129:AH130)</f>
        <v>0</v>
      </c>
      <c r="AI125" s="860">
        <f>SUM(AI129:AI130)</f>
        <v>0</v>
      </c>
      <c r="AJ125" s="860">
        <f>SUM(AJ129:AJ130)</f>
        <v>0</v>
      </c>
      <c r="AK125" s="860">
        <f>SUM(AK129:AK130)</f>
        <v>0</v>
      </c>
      <c r="AL125" s="860">
        <f>SUM(AL129:AL130)</f>
        <v>0</v>
      </c>
      <c r="AM125" s="860">
        <f>SUM(AM129:AM130)</f>
        <v>0</v>
      </c>
      <c r="AN125" s="860">
        <f>SUM(AN129:AN130)</f>
        <v>0</v>
      </c>
      <c r="AO125" s="860">
        <f>SUM(AO129:AO130)</f>
        <v>0</v>
      </c>
      <c r="AP125" s="860">
        <f>SUM(AP129:AP130)</f>
        <v>0</v>
      </c>
      <c r="AQ125" s="860">
        <f>SUM(AQ129:AQ130)</f>
        <v>0</v>
      </c>
      <c r="AR125" s="860">
        <f>SUM(AR129:AR130)</f>
        <v>0</v>
      </c>
      <c r="AS125" s="860">
        <f>SUM(AS129:AS130)</f>
        <v>0</v>
      </c>
      <c r="AT125" s="860">
        <f>SUM(AT129:AT130)</f>
        <v>0</v>
      </c>
      <c r="AU125" s="860">
        <f>SUM(AU129:AU130)</f>
        <v>0</v>
      </c>
      <c r="AV125" s="860">
        <f>SUM(AV129:AV130)</f>
        <v>0</v>
      </c>
      <c r="AW125" s="860">
        <f>SUM(AW129:AW130)</f>
        <v>0</v>
      </c>
      <c r="AX125" s="860">
        <f>SUM(AX129:AX130)</f>
        <v>0</v>
      </c>
      <c r="AY125" s="860">
        <f>SUM(AY129:AY130)</f>
        <v>0</v>
      </c>
      <c r="AZ125" s="860">
        <f>SUM(AZ129:AZ130)</f>
        <v>0</v>
      </c>
      <c r="BA125" s="860">
        <f>SUM(BA129:BA130)</f>
        <v>0</v>
      </c>
      <c r="BB125" s="860">
        <f>SUM(BB129:BB130)</f>
        <v>0</v>
      </c>
      <c r="BC125" s="860">
        <f>SUM(BC129:BC130)</f>
        <v>0</v>
      </c>
      <c r="BD125" s="860">
        <f>SUM(BD129:BD130)</f>
        <v>0</v>
      </c>
      <c r="BE125" s="860">
        <f>SUM(BE129:BE130)</f>
        <v>0</v>
      </c>
      <c r="BF125" s="860">
        <f>SUM(BF129:BF130)</f>
        <v>0</v>
      </c>
      <c r="BG125" s="860">
        <f>SUM(BG129:BG130)</f>
        <v>0</v>
      </c>
      <c r="BH125" s="860">
        <f>SUM(BH129:BH130)</f>
        <v>0</v>
      </c>
      <c r="BI125" s="860">
        <f>SUM(BI129:BI130)</f>
        <v>0</v>
      </c>
      <c r="BJ125" s="860">
        <f>SUM(BJ129:BJ130)</f>
        <v>0</v>
      </c>
      <c r="BK125" s="860">
        <f>SUM(BK129:BK130)</f>
        <v>0</v>
      </c>
      <c r="BL125" s="860">
        <f>SUM(BL129:BL130)</f>
        <v>0</v>
      </c>
      <c r="BM125" s="860">
        <f>SUM(BM129:BM130)</f>
        <v>0</v>
      </c>
      <c r="BN125" s="860">
        <f>SUM(BN129:BN130)</f>
        <v>0</v>
      </c>
      <c r="BO125" s="860">
        <f>SUM(BO129:BO130)</f>
        <v>0</v>
      </c>
      <c r="BP125" s="860">
        <f>SUM(BP129:BP130)</f>
        <v>0</v>
      </c>
      <c r="BQ125" s="860">
        <f>SUM(BQ129:BQ130)</f>
        <v>0</v>
      </c>
      <c r="BR125" s="860">
        <f>SUM(BR129:BR130)</f>
        <v>0</v>
      </c>
      <c r="BS125" s="860">
        <f>SUM(BS129:BS130)</f>
        <v>0</v>
      </c>
      <c r="BT125" s="860">
        <f>SUM(BT129:BT130)</f>
        <v>0</v>
      </c>
      <c r="BU125" s="860">
        <f>SUM(BU129:BU130)</f>
        <v>0</v>
      </c>
      <c r="BV125" s="860">
        <f>SUM(BV129:BV130)</f>
        <v>0</v>
      </c>
      <c r="BW125" s="860">
        <f>SUM(BW129:BW130)</f>
        <v>0</v>
      </c>
      <c r="BX125" s="860">
        <f>SUM(BX129:BX130)</f>
        <v>0</v>
      </c>
      <c r="BY125" s="860">
        <f>SUM(BY129:BY130)</f>
        <v>0</v>
      </c>
      <c r="BZ125" s="860">
        <f>SUM(BZ129:BZ130)</f>
        <v>0</v>
      </c>
      <c r="CA125" s="860">
        <f>SUM(CA129:CA130)</f>
        <v>0</v>
      </c>
      <c r="CB125" s="860">
        <f>SUM(CB129:CB130)</f>
        <v>0</v>
      </c>
      <c r="CC125" s="860">
        <f>SUM(CC129:CC130)</f>
        <v>0</v>
      </c>
      <c r="CD125" s="860">
        <f>SUM(CD129:CD130)</f>
        <v>0</v>
      </c>
      <c r="CE125" s="860">
        <f>SUM(CE129:CE130)</f>
        <v>0</v>
      </c>
      <c r="CF125" s="860">
        <f>SUM(CF129:CF130)</f>
        <v>0</v>
      </c>
      <c r="CG125" s="860">
        <f>SUM(CG129:CG130)</f>
        <v>0</v>
      </c>
      <c r="CH125" s="860">
        <f>SUM(CH129:CH130)</f>
        <v>0</v>
      </c>
      <c r="CI125" s="860">
        <f>SUM(CI129:CI130)</f>
        <v>0</v>
      </c>
      <c r="CJ125" s="860">
        <f>SUM(CJ129:CJ130)</f>
        <v>0</v>
      </c>
      <c r="CK125" s="860">
        <f>SUM(CK129:CK130)</f>
        <v>0</v>
      </c>
      <c r="CL125" s="860">
        <f>SUM(CL129:CL130)</f>
        <v>0</v>
      </c>
      <c r="CM125" s="860">
        <f>SUM(CM129:CM130)</f>
        <v>0</v>
      </c>
      <c r="CN125" s="860">
        <f>SUM(CN129:CN130)</f>
        <v>0</v>
      </c>
      <c r="CO125" s="860">
        <f>SUM(CO129:CO130)</f>
        <v>0</v>
      </c>
      <c r="CP125" s="860">
        <f>SUM(CP129:CP130)</f>
        <v>0</v>
      </c>
      <c r="CQ125" s="860">
        <f>SUM(CQ129:CQ130)</f>
        <v>0</v>
      </c>
      <c r="CR125" s="860">
        <f>SUM(CR129:CR130)</f>
        <v>0</v>
      </c>
      <c r="CS125" s="860">
        <f>SUM(CS129:CS130)</f>
        <v>0</v>
      </c>
      <c r="CT125" s="73"/>
      <c r="CW125" s="1173" t="s">
        <v>880</v>
      </c>
    </row>
    <row customHeight="1" ht="16.672500000000003" hidden="1">
      <c r="E126" s="797">
        <v>17.1</v>
      </c>
      <c r="F126" s="922" cm="1" t="str">
        <f t="array" ref="F126:F126">OFFSET(G126,-1,-1)</f>
        <v>0</v>
      </c>
      <c r="G126" s="739" t="str">
        <f>IF(J28="вода+пар","топливо","")</f>
        <v/>
      </c>
      <c r="L126" s="922" cm="1" t="str">
        <f t="array" ref="L126:L126">OFFSET(M126,-1,-1)</f>
        <v>false</v>
      </c>
      <c r="R126" s="922" t="s">
        <v>730</v>
      </c>
      <c r="S126" s="159" cm="1" t="str">
        <f t="array" ref="S126:S126">OFFSET(T126,-1,-1)</f>
        <v>false</v>
      </c>
      <c r="T126" s="159" cm="1" t="str">
        <f t="array" ref="T126:T126">L126</f>
        <v>false</v>
      </c>
      <c r="U126" s="819">
        <f>AND(S126,IF(ISBLANK(T126),TRUE,T126))</f>
        <v>0</v>
      </c>
      <c r="AB126" s="1839"/>
      <c r="AD126" s="160" t="str">
        <f>AD125&amp;".0"</f>
        <v>40.0</v>
      </c>
      <c r="AE126" s="1840" t="s">
        <v>741</v>
      </c>
      <c r="AF126" s="1841"/>
      <c r="AG126" s="859" t="s">
        <v>810</v>
      </c>
      <c r="AH126" s="86">
        <f>AH$52*AH125</f>
        <v>0</v>
      </c>
      <c r="AI126" s="87">
        <f>AI$52*AI125</f>
        <v>0</v>
      </c>
      <c r="AJ126" s="87">
        <f>AJ$52*AJ125</f>
        <v>0</v>
      </c>
      <c r="AK126" s="87">
        <f>AK$52*AK125</f>
        <v>0</v>
      </c>
      <c r="AL126" s="862">
        <f>AM126+AN126</f>
        <v>0</v>
      </c>
      <c r="AM126" s="87">
        <f>AM$52*AM125</f>
        <v>0</v>
      </c>
      <c r="AN126" s="87">
        <f>AN$52*AN125</f>
        <v>0</v>
      </c>
      <c r="AO126" s="862">
        <f>AP126+AQ126</f>
        <v>0</v>
      </c>
      <c r="AP126" s="87">
        <f>AP$52*AP125</f>
        <v>0</v>
      </c>
      <c r="AQ126" s="87">
        <f>AQ$52*AQ125</f>
        <v>0</v>
      </c>
      <c r="AR126" s="862">
        <f>AS126+AT126</f>
        <v>0</v>
      </c>
      <c r="AS126" s="87">
        <f>AS$52*AS125</f>
        <v>0</v>
      </c>
      <c r="AT126" s="87">
        <f>AT$52*AT125</f>
        <v>0</v>
      </c>
      <c r="AU126" s="862">
        <f>AV126+AW126</f>
        <v>0</v>
      </c>
      <c r="AV126" s="87">
        <f>AV$52*AV125</f>
        <v>0</v>
      </c>
      <c r="AW126" s="87">
        <f>AW$52*AW125</f>
        <v>0</v>
      </c>
      <c r="AX126" s="862">
        <f>AY126+AZ126</f>
        <v>0</v>
      </c>
      <c r="AY126" s="87">
        <f>AY$52*AY125</f>
        <v>0</v>
      </c>
      <c r="AZ126" s="87">
        <f>AZ$52*AZ125</f>
        <v>0</v>
      </c>
      <c r="BA126" s="862">
        <f>BB126+BC126</f>
        <v>0</v>
      </c>
      <c r="BB126" s="87">
        <f>BB$52*BB125</f>
        <v>0</v>
      </c>
      <c r="BC126" s="87">
        <f>BC$52*BC125</f>
        <v>0</v>
      </c>
      <c r="BD126" s="862">
        <f>BE126+BF126</f>
        <v>0</v>
      </c>
      <c r="BE126" s="87">
        <f>BE$52*BE125</f>
        <v>0</v>
      </c>
      <c r="BF126" s="87">
        <f>BF$52*BF125</f>
        <v>0</v>
      </c>
      <c r="BG126" s="862">
        <f>BH126+BI126</f>
        <v>0</v>
      </c>
      <c r="BH126" s="87">
        <f>BH$52*BH125</f>
        <v>0</v>
      </c>
      <c r="BI126" s="87">
        <f>BI$52*BI125</f>
        <v>0</v>
      </c>
      <c r="BJ126" s="862">
        <f>BK126+BL126</f>
        <v>0</v>
      </c>
      <c r="BK126" s="87">
        <f>BK$52*BK125</f>
        <v>0</v>
      </c>
      <c r="BL126" s="87">
        <f>BL$52*BL125</f>
        <v>0</v>
      </c>
      <c r="BM126" s="862">
        <f>BN126+BO126</f>
        <v>0</v>
      </c>
      <c r="BN126" s="87">
        <f>BN$52*BN125</f>
        <v>0</v>
      </c>
      <c r="BO126" s="87">
        <f>BO$52*BO125</f>
        <v>0</v>
      </c>
      <c r="BP126" s="862">
        <f>BQ126+BR126</f>
        <v>0</v>
      </c>
      <c r="BQ126" s="1772">
        <f>BQ$52*BQ125</f>
        <v>0</v>
      </c>
      <c r="BR126" s="1772">
        <f>BR$52*BR125</f>
        <v>0</v>
      </c>
      <c r="BS126" s="862">
        <f>BT126+BU126</f>
        <v>0</v>
      </c>
      <c r="BT126" s="87">
        <f>BT$52*BT125</f>
        <v>0</v>
      </c>
      <c r="BU126" s="87">
        <f>BU$52*BU125</f>
        <v>0</v>
      </c>
      <c r="BV126" s="862">
        <f>BW126+BX126</f>
        <v>0</v>
      </c>
      <c r="BW126" s="87">
        <f>BW$52*BW125</f>
        <v>0</v>
      </c>
      <c r="BX126" s="87">
        <f>BX$52*BX125</f>
        <v>0</v>
      </c>
      <c r="BY126" s="862">
        <f>BZ126+CA126</f>
        <v>0</v>
      </c>
      <c r="BZ126" s="87">
        <f>BZ$52*BZ125</f>
        <v>0</v>
      </c>
      <c r="CA126" s="87">
        <f>CA$52*CA125</f>
        <v>0</v>
      </c>
      <c r="CB126" s="862">
        <f>CC126+CD126</f>
        <v>0</v>
      </c>
      <c r="CC126" s="87">
        <f>CC$52*CC125</f>
        <v>0</v>
      </c>
      <c r="CD126" s="87">
        <f>CD$52*CD125</f>
        <v>0</v>
      </c>
      <c r="CE126" s="862">
        <f>CF126+CG126</f>
        <v>0</v>
      </c>
      <c r="CF126" s="87">
        <f>CF$52*CF125</f>
        <v>0</v>
      </c>
      <c r="CG126" s="87">
        <f>CG$52*CG125</f>
        <v>0</v>
      </c>
      <c r="CH126" s="862">
        <f>CI126+CJ126</f>
        <v>0</v>
      </c>
      <c r="CI126" s="87">
        <f>CI$52*CI125</f>
        <v>0</v>
      </c>
      <c r="CJ126" s="87">
        <f>CJ$52*CJ125</f>
        <v>0</v>
      </c>
      <c r="CK126" s="862">
        <f>CL126+CM126</f>
        <v>0</v>
      </c>
      <c r="CL126" s="87">
        <f>CL$52*CL125</f>
        <v>0</v>
      </c>
      <c r="CM126" s="87">
        <f>CM$52*CM125</f>
        <v>0</v>
      </c>
      <c r="CN126" s="862">
        <f>CO126+CP126</f>
        <v>0</v>
      </c>
      <c r="CO126" s="87">
        <f>CO$52*CO125</f>
        <v>0</v>
      </c>
      <c r="CP126" s="87">
        <f>CP$52*CP125</f>
        <v>0</v>
      </c>
      <c r="CQ126" s="862">
        <f>CR126+CS126</f>
        <v>0</v>
      </c>
      <c r="CR126" s="87">
        <f>CR$52*CR125</f>
        <v>0</v>
      </c>
      <c r="CS126" s="87">
        <f>CS$52*CS125</f>
        <v>0</v>
      </c>
      <c r="CT126" s="73"/>
      <c r="CW126" s="1173" t="s">
        <v>881</v>
      </c>
    </row>
    <row customHeight="1" ht="16.672500000000003" hidden="1">
      <c r="E127" s="797">
        <v>17.1</v>
      </c>
      <c r="F127" s="922" cm="1" t="str">
        <f t="array" ref="F127:F127">OFFSET(G127,-1,-1)</f>
        <v>0</v>
      </c>
      <c r="G127" s="739" t="str">
        <f>IF(J28="вода","топливо","")</f>
        <v/>
      </c>
      <c r="L127" s="922" cm="1" t="str">
        <f t="array" ref="L127:L127">OFFSET(M127,-1,-1)</f>
        <v>false</v>
      </c>
      <c r="S127" s="159" cm="1" t="str">
        <f t="array" ref="S127:S127">OFFSET(T127,-1,-1)</f>
        <v>false</v>
      </c>
      <c r="U127" s="819">
        <f>AND(S127,IF(ISBLANK(T127),TRUE,T127))</f>
        <v>0</v>
      </c>
      <c r="AB127" s="1839"/>
      <c r="AD127" s="1842" t="s">
        <v>882</v>
      </c>
      <c r="AE127" s="1843" t="s">
        <v>603</v>
      </c>
      <c r="AF127" s="1844"/>
      <c r="AG127" s="1845" t="s">
        <v>810</v>
      </c>
      <c r="AH127" s="1846">
        <f>AH126-AH128</f>
        <v>0</v>
      </c>
      <c r="AI127" s="864">
        <f>AI126-AI128</f>
        <v>0</v>
      </c>
      <c r="AJ127" s="864">
        <f>AJ126-AJ128</f>
        <v>0</v>
      </c>
      <c r="AK127" s="864">
        <f>AK126-AK128</f>
        <v>0</v>
      </c>
      <c r="AL127" s="864">
        <f>AL126-AL128</f>
        <v>0</v>
      </c>
      <c r="AM127" s="864">
        <f>AM126-AM128</f>
        <v>0</v>
      </c>
      <c r="AN127" s="864">
        <f>AN126-AN128</f>
        <v>0</v>
      </c>
      <c r="AO127" s="864">
        <f>AO126-AO128</f>
        <v>0</v>
      </c>
      <c r="AP127" s="864">
        <f>AP126-AP128</f>
        <v>0</v>
      </c>
      <c r="AQ127" s="864">
        <f>AQ126-AQ128</f>
        <v>0</v>
      </c>
      <c r="AR127" s="864">
        <f>AR126-AR128</f>
        <v>0</v>
      </c>
      <c r="AS127" s="864">
        <f>AS126-AS128</f>
        <v>0</v>
      </c>
      <c r="AT127" s="864">
        <f>AT126-AT128</f>
        <v>0</v>
      </c>
      <c r="AU127" s="864">
        <f>AU126-AU128</f>
        <v>0</v>
      </c>
      <c r="AV127" s="864">
        <f>AV126-AV128</f>
        <v>0</v>
      </c>
      <c r="AW127" s="864">
        <f>AW126-AW128</f>
        <v>0</v>
      </c>
      <c r="AX127" s="864">
        <f>AX126-AX128</f>
        <v>0</v>
      </c>
      <c r="AY127" s="864">
        <f>AY126-AY128</f>
        <v>0</v>
      </c>
      <c r="AZ127" s="864">
        <f>AZ126-AZ128</f>
        <v>0</v>
      </c>
      <c r="BA127" s="864">
        <f>BA126-BA128</f>
        <v>0</v>
      </c>
      <c r="BB127" s="864">
        <f>BB126-BB128</f>
        <v>0</v>
      </c>
      <c r="BC127" s="864">
        <f>BC126-BC128</f>
        <v>0</v>
      </c>
      <c r="BD127" s="864">
        <f>BD126-BD128</f>
        <v>0</v>
      </c>
      <c r="BE127" s="864">
        <f>BE126-BE128</f>
        <v>0</v>
      </c>
      <c r="BF127" s="864">
        <f>BF126-BF128</f>
        <v>0</v>
      </c>
      <c r="BG127" s="864">
        <f>BG126-BG128</f>
        <v>0</v>
      </c>
      <c r="BH127" s="864">
        <f>BH126-BH128</f>
        <v>0</v>
      </c>
      <c r="BI127" s="864">
        <f>BI126-BI128</f>
        <v>0</v>
      </c>
      <c r="BJ127" s="864">
        <f>BJ126-BJ128</f>
        <v>0</v>
      </c>
      <c r="BK127" s="864">
        <f>BK126-BK128</f>
        <v>0</v>
      </c>
      <c r="BL127" s="864">
        <f>BL126-BL128</f>
        <v>0</v>
      </c>
      <c r="BM127" s="864">
        <f>BM126-BM128</f>
        <v>0</v>
      </c>
      <c r="BN127" s="864">
        <f>BN126-BN128</f>
        <v>0</v>
      </c>
      <c r="BO127" s="864">
        <f>BO126-BO128</f>
        <v>0</v>
      </c>
      <c r="BP127" s="864">
        <f>BP126-BP128</f>
        <v>0</v>
      </c>
      <c r="BQ127" s="864">
        <f>BQ126-BQ128</f>
        <v>0</v>
      </c>
      <c r="BR127" s="864">
        <f>BR126-BR128</f>
        <v>0</v>
      </c>
      <c r="BS127" s="864">
        <f>BS126-BS128</f>
        <v>0</v>
      </c>
      <c r="BT127" s="864">
        <f>BT126-BT128</f>
        <v>0</v>
      </c>
      <c r="BU127" s="864">
        <f>BU126-BU128</f>
        <v>0</v>
      </c>
      <c r="BV127" s="864">
        <f>BV126-BV128</f>
        <v>0</v>
      </c>
      <c r="BW127" s="864">
        <f>BW126-BW128</f>
        <v>0</v>
      </c>
      <c r="BX127" s="864">
        <f>BX126-BX128</f>
        <v>0</v>
      </c>
      <c r="BY127" s="864">
        <f>BY126-BY128</f>
        <v>0</v>
      </c>
      <c r="BZ127" s="864">
        <f>BZ126-BZ128</f>
        <v>0</v>
      </c>
      <c r="CA127" s="864">
        <f>CA126-CA128</f>
        <v>0</v>
      </c>
      <c r="CB127" s="864">
        <f>CB126-CB128</f>
        <v>0</v>
      </c>
      <c r="CC127" s="864">
        <f>CC126-CC128</f>
        <v>0</v>
      </c>
      <c r="CD127" s="864">
        <f>CD126-CD128</f>
        <v>0</v>
      </c>
      <c r="CE127" s="864">
        <f>CE126-CE128</f>
        <v>0</v>
      </c>
      <c r="CF127" s="864">
        <f>CF126-CF128</f>
        <v>0</v>
      </c>
      <c r="CG127" s="864">
        <f>CG126-CG128</f>
        <v>0</v>
      </c>
      <c r="CH127" s="864">
        <f>CH126-CH128</f>
        <v>0</v>
      </c>
      <c r="CI127" s="864">
        <f>CI126-CI128</f>
        <v>0</v>
      </c>
      <c r="CJ127" s="864">
        <f>CJ126-CJ128</f>
        <v>0</v>
      </c>
      <c r="CK127" s="864">
        <f>CK126-CK128</f>
        <v>0</v>
      </c>
      <c r="CL127" s="864">
        <f>CL126-CL128</f>
        <v>0</v>
      </c>
      <c r="CM127" s="864">
        <f>CM126-CM128</f>
        <v>0</v>
      </c>
      <c r="CN127" s="864">
        <f>CN126-CN128</f>
        <v>0</v>
      </c>
      <c r="CO127" s="864">
        <f>CO126-CO128</f>
        <v>0</v>
      </c>
      <c r="CP127" s="864">
        <f>CP126-CP128</f>
        <v>0</v>
      </c>
      <c r="CQ127" s="864">
        <f>CQ126-CQ128</f>
        <v>0</v>
      </c>
      <c r="CR127" s="864">
        <f>CR126-CR128</f>
        <v>0</v>
      </c>
      <c r="CS127" s="864">
        <f>CS126-CS128</f>
        <v>0</v>
      </c>
      <c r="CT127" s="73"/>
      <c r="CW127" s="1173" t="s">
        <v>883</v>
      </c>
    </row>
    <row customHeight="1" ht="16.672500000000003" hidden="1">
      <c r="E128" s="797">
        <v>17.1</v>
      </c>
      <c r="F128" s="922" cm="1" t="str">
        <f t="array" ref="F128:F128">OFFSET(G128,-1,-1)</f>
        <v>0</v>
      </c>
      <c r="G128" s="739" t="str">
        <f>IF(J28="пар","топливо","")</f>
        <v/>
      </c>
      <c r="L128" s="922" cm="1" t="str">
        <f t="array" ref="L128:L128">OFFSET(M128,-1,-1)</f>
        <v>false</v>
      </c>
      <c r="S128" s="159" cm="1" t="str">
        <f t="array" ref="S128:S128">OFFSET(T128,-1,-1)</f>
        <v>false</v>
      </c>
      <c r="U128" s="819">
        <f>AND(S128,IF(ISBLANK(T128),TRUE,T128))</f>
        <v>0</v>
      </c>
      <c r="AB128" s="1839"/>
      <c r="AD128" s="977" t="s">
        <v>884</v>
      </c>
      <c r="AE128" s="1506" t="s">
        <v>605</v>
      </c>
      <c r="AF128" s="1844"/>
      <c r="AG128" s="1013" t="s">
        <v>810</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47"/>
      <c r="BQ128" s="1847"/>
      <c r="BR128" s="1847"/>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3" t="s">
        <v>885</v>
      </c>
    </row>
    <row customHeight="1" ht="16.672500000000003" hidden="1">
      <c r="E129" s="797">
        <v>17.1</v>
      </c>
      <c r="F129" s="922" cm="1" t="str">
        <f t="array" ref="F129:F129">OFFSET(G129,-1,-1)</f>
        <v>0</v>
      </c>
      <c r="L129" s="922" cm="1" t="str">
        <f t="array" ref="L129:L129">OFFSET(M129,-1,-1)</f>
        <v>false</v>
      </c>
      <c r="S129" s="159" cm="1" t="str">
        <f t="array" ref="S129:S129">OFFSET(T129,-1,-1)</f>
        <v>false</v>
      </c>
      <c r="T129" s="159">
        <f>AD129&lt;&gt;"40.0"</f>
        <v>0</v>
      </c>
      <c r="U129" s="819">
        <f>AND(S129,IF(ISBLANK(T129),TRUE,T129))</f>
        <v>0</v>
      </c>
      <c r="X129" s="159" t="s">
        <v>234</v>
      </c>
      <c r="AB129" s="1839"/>
      <c r="AD129" s="160" t="s">
        <v>886</v>
      </c>
      <c r="AE129" s="1802"/>
      <c r="AF129" s="1803"/>
      <c r="AG129" s="859" t="s">
        <v>810</v>
      </c>
      <c r="AH129" s="860">
        <f>AH74+AH87+AH100+AH113+AH120</f>
        <v>0</v>
      </c>
      <c r="AI129" s="860">
        <f>AI74+AI87+AI100+AI113+AI120</f>
        <v>0</v>
      </c>
      <c r="AJ129" s="860">
        <f>AJ74+AJ87+AJ100+AJ113+AJ120</f>
        <v>0</v>
      </c>
      <c r="AK129" s="860">
        <f>AK74+AK87+AK100+AK113+AK120</f>
        <v>0</v>
      </c>
      <c r="AL129" s="860">
        <f>AL74+AL87+AL100+AL113+AL120</f>
        <v>0</v>
      </c>
      <c r="AM129" s="860">
        <f>AM74+AM87+AM100+AM113+AM120</f>
        <v>0</v>
      </c>
      <c r="AN129" s="860">
        <f>AN74+AN87+AN100+AN113+AN120</f>
        <v>0</v>
      </c>
      <c r="AO129" s="860">
        <f>AO74+AO87+AO100+AO113+AO120</f>
        <v>0</v>
      </c>
      <c r="AP129" s="860">
        <f>AP74+AP87+AP100+AP113+AP120</f>
        <v>0</v>
      </c>
      <c r="AQ129" s="860">
        <f>AQ74+AQ87+AQ100+AQ113+AQ120</f>
        <v>0</v>
      </c>
      <c r="AR129" s="860">
        <f>AR74+AR87+AR100+AR113+AR120</f>
        <v>0</v>
      </c>
      <c r="AS129" s="860">
        <f>AS74+AS87+AS100+AS113+AS120</f>
        <v>0</v>
      </c>
      <c r="AT129" s="860">
        <f>AT74+AT87+AT100+AT113+AT120</f>
        <v>0</v>
      </c>
      <c r="AU129" s="860">
        <f>AU74+AU87+AU100+AU113+AU120</f>
        <v>0</v>
      </c>
      <c r="AV129" s="860">
        <f>AV74+AV87+AV100+AV113+AV120</f>
        <v>0</v>
      </c>
      <c r="AW129" s="860">
        <f>AW74+AW87+AW100+AW113+AW120</f>
        <v>0</v>
      </c>
      <c r="AX129" s="860">
        <f>AX74+AX87+AX100+AX113+AX120</f>
        <v>0</v>
      </c>
      <c r="AY129" s="860">
        <f>AY74+AY87+AY100+AY113+AY120</f>
        <v>0</v>
      </c>
      <c r="AZ129" s="860">
        <f>AZ74+AZ87+AZ100+AZ113+AZ120</f>
        <v>0</v>
      </c>
      <c r="BA129" s="860">
        <f>BA74+BA87+BA100+BA113+BA120</f>
        <v>0</v>
      </c>
      <c r="BB129" s="860">
        <f>BB74+BB87+BB100+BB113+BB120</f>
        <v>0</v>
      </c>
      <c r="BC129" s="860">
        <f>BC74+BC87+BC100+BC113+BC120</f>
        <v>0</v>
      </c>
      <c r="BD129" s="860">
        <f>BD74+BD87+BD100+BD113+BD120</f>
        <v>0</v>
      </c>
      <c r="BE129" s="860">
        <f>BE74+BE87+BE100+BE113+BE120</f>
        <v>0</v>
      </c>
      <c r="BF129" s="860">
        <f>BF74+BF87+BF100+BF113+BF120</f>
        <v>0</v>
      </c>
      <c r="BG129" s="860">
        <f>BG74+BG87+BG100+BG113+BG120</f>
        <v>0</v>
      </c>
      <c r="BH129" s="860">
        <f>BH74+BH87+BH100+BH113+BH120</f>
        <v>0</v>
      </c>
      <c r="BI129" s="860">
        <f>BI74+BI87+BI100+BI113+BI120</f>
        <v>0</v>
      </c>
      <c r="BJ129" s="860">
        <f>BJ74+BJ87+BJ100+BJ113+BJ120</f>
        <v>0</v>
      </c>
      <c r="BK129" s="860">
        <f>BK74+BK87+BK100+BK113+BK120</f>
        <v>0</v>
      </c>
      <c r="BL129" s="860">
        <f>BL74+BL87+BL100+BL113+BL120</f>
        <v>0</v>
      </c>
      <c r="BM129" s="860">
        <f>BM74+BM87+BM100+BM113+BM120</f>
        <v>0</v>
      </c>
      <c r="BN129" s="860">
        <f>BN74+BN87+BN100+BN113+BN120</f>
        <v>0</v>
      </c>
      <c r="BO129" s="860">
        <f>BO74+BO87+BO100+BO113+BO120</f>
        <v>0</v>
      </c>
      <c r="BP129" s="860">
        <f>BP74+BP87+BP100+BP113+BP120</f>
        <v>0</v>
      </c>
      <c r="BQ129" s="860">
        <f>BQ74+BQ87+BQ100+BQ113+BQ120</f>
        <v>0</v>
      </c>
      <c r="BR129" s="860">
        <f>BR74+BR87+BR100+BR113+BR120</f>
        <v>0</v>
      </c>
      <c r="BS129" s="860">
        <f>BS74+BS87+BS100+BS113+BS120</f>
        <v>0</v>
      </c>
      <c r="BT129" s="860">
        <f>BT74+BT87+BT100+BT113+BT120</f>
        <v>0</v>
      </c>
      <c r="BU129" s="860">
        <f>BU74+BU87+BU100+BU113+BU120</f>
        <v>0</v>
      </c>
      <c r="BV129" s="860">
        <f>BV74+BV87+BV100+BV113+BV120</f>
        <v>0</v>
      </c>
      <c r="BW129" s="860">
        <f>BW74+BW87+BW100+BW113+BW120</f>
        <v>0</v>
      </c>
      <c r="BX129" s="860">
        <f>BX74+BX87+BX100+BX113+BX120</f>
        <v>0</v>
      </c>
      <c r="BY129" s="860">
        <f>BY74+BY87+BY100+BY113+BY120</f>
        <v>0</v>
      </c>
      <c r="BZ129" s="860">
        <f>BZ74+BZ87+BZ100+BZ113+BZ120</f>
        <v>0</v>
      </c>
      <c r="CA129" s="860">
        <f>CA74+CA87+CA100+CA113+CA120</f>
        <v>0</v>
      </c>
      <c r="CB129" s="860">
        <f>CB74+CB87+CB100+CB113+CB120</f>
        <v>0</v>
      </c>
      <c r="CC129" s="860">
        <f>CC74+CC87+CC100+CC113+CC120</f>
        <v>0</v>
      </c>
      <c r="CD129" s="860">
        <f>CD74+CD87+CD100+CD113+CD120</f>
        <v>0</v>
      </c>
      <c r="CE129" s="860">
        <f>CE74+CE87+CE100+CE113+CE120</f>
        <v>0</v>
      </c>
      <c r="CF129" s="860">
        <f>CF74+CF87+CF100+CF113+CF120</f>
        <v>0</v>
      </c>
      <c r="CG129" s="860">
        <f>CG74+CG87+CG100+CG113+CG120</f>
        <v>0</v>
      </c>
      <c r="CH129" s="860">
        <f>CH74+CH87+CH100+CH113+CH120</f>
        <v>0</v>
      </c>
      <c r="CI129" s="860">
        <f>CI74+CI87+CI100+CI113+CI120</f>
        <v>0</v>
      </c>
      <c r="CJ129" s="860">
        <f>CJ74+CJ87+CJ100+CJ113+CJ120</f>
        <v>0</v>
      </c>
      <c r="CK129" s="860">
        <f>CK74+CK87+CK100+CK113+CK120</f>
        <v>0</v>
      </c>
      <c r="CL129" s="860">
        <f>CL74+CL87+CL100+CL113+CL120</f>
        <v>0</v>
      </c>
      <c r="CM129" s="860">
        <f>CM74+CM87+CM100+CM113+CM120</f>
        <v>0</v>
      </c>
      <c r="CN129" s="860">
        <f>CN74+CN87+CN100+CN113+CN120</f>
        <v>0</v>
      </c>
      <c r="CO129" s="860">
        <f>CO74+CO87+CO100+CO113+CO120</f>
        <v>0</v>
      </c>
      <c r="CP129" s="860">
        <f>CP74+CP87+CP100+CP113+CP120</f>
        <v>0</v>
      </c>
      <c r="CQ129" s="860">
        <f>CQ74+CQ87+CQ100+CQ113+CQ120</f>
        <v>0</v>
      </c>
      <c r="CR129" s="860">
        <f>CR74+CR87+CR100+CR113+CR120</f>
        <v>0</v>
      </c>
      <c r="CS129" s="860">
        <f>CS74+CS87+CS100+CS113+CS120</f>
        <v>0</v>
      </c>
      <c r="CT129" s="73"/>
      <c r="CW129" s="1173" t="s">
        <v>887</v>
      </c>
      <c r="CX129" s="1178" t="s">
        <v>792</v>
      </c>
      <c r="CY129" s="1182" cm="1" t="str">
        <f t="array" ref="CY129:CY129">AE129</f>
        <v>0</v>
      </c>
      <c r="CZ129" s="1182" cm="1" t="str">
        <f t="array" ref="CZ129:CZ129">AF129</f>
        <v>0</v>
      </c>
    </row>
    <row customHeight="1" ht="15" hidden="1">
      <c r="E130" s="797">
        <v>0</v>
      </c>
      <c r="F130" s="922" cm="1" t="str">
        <f t="array" ref="F130:F130">OFFSET(G130,-1,-1)</f>
        <v>0</v>
      </c>
      <c r="L130" s="922" cm="1" t="str">
        <f t="array" ref="L130:L130">OFFSET(M130,-1,-1)</f>
        <v>false</v>
      </c>
      <c r="S130" s="159" cm="1" t="str">
        <f t="array" ref="S130:S130">OFFSET(T130,-1,-1)</f>
        <v>false</v>
      </c>
      <c r="U130" s="819">
        <f>AND(S130,IF(ISBLANK(T130),TRUE,T130))</f>
        <v>0</v>
      </c>
      <c r="X130" s="973" t="str">
        <f>"{                  
         funcDyn: 'msg1',
         blok: 'blok_2',
         wsCross: 'Топливо 4.4',
         linkFormula: 'AE-AE#AF-AF',
         levelDyn: "&amp;Y28&amp;"
}"</f>
        <v>{                  
         funcDyn: 'msg1',
         blok: 'blok_2',
         wsCross: 'Топливо 4.4',
         linkFormula: 'AE-AE#AF-AF',
         levelDyn: 0
}</v>
      </c>
      <c r="AB130" s="1839"/>
      <c r="AD130" s="1805"/>
      <c r="AE130" s="975" t="s">
        <v>236</v>
      </c>
      <c r="AF130" s="1807"/>
      <c r="AG130" s="1821"/>
      <c r="AH130" s="1810"/>
      <c r="AI130" s="1811"/>
      <c r="AJ130" s="1811"/>
      <c r="AK130" s="1811"/>
      <c r="AL130" s="1811"/>
      <c r="AM130" s="1811"/>
      <c r="AN130" s="1811"/>
      <c r="AO130" s="1811"/>
      <c r="AP130" s="1811"/>
      <c r="AQ130" s="1811"/>
      <c r="AR130" s="1811"/>
      <c r="AS130" s="1811"/>
      <c r="AT130" s="1811"/>
      <c r="AU130" s="1811"/>
      <c r="AV130" s="1811"/>
      <c r="AW130" s="1811"/>
      <c r="AX130" s="1811"/>
      <c r="AY130" s="1811"/>
      <c r="AZ130" s="1811"/>
      <c r="BA130" s="1811"/>
      <c r="BB130" s="1811"/>
      <c r="BC130" s="1811"/>
      <c r="BD130" s="1811"/>
      <c r="BE130" s="1811"/>
      <c r="BF130" s="1811"/>
      <c r="BG130" s="1811"/>
      <c r="BH130" s="1811"/>
      <c r="BI130" s="1811"/>
      <c r="BJ130" s="1811"/>
      <c r="BK130" s="1811"/>
      <c r="BL130" s="1811"/>
      <c r="BM130" s="1811"/>
      <c r="BN130" s="1811"/>
      <c r="BO130" s="1811"/>
      <c r="BP130" s="1811"/>
      <c r="BQ130" s="1811"/>
      <c r="BR130" s="1811"/>
      <c r="BS130" s="1811"/>
      <c r="BT130" s="1811"/>
      <c r="BU130" s="1811"/>
      <c r="BV130" s="1811"/>
      <c r="BW130" s="1811"/>
      <c r="BX130" s="1811"/>
      <c r="BY130" s="1811"/>
      <c r="BZ130" s="1811"/>
      <c r="CA130" s="1811"/>
      <c r="CB130" s="1811"/>
      <c r="CC130" s="1811"/>
      <c r="CD130" s="1811"/>
      <c r="CE130" s="1811"/>
      <c r="CF130" s="1811"/>
      <c r="CG130" s="1811"/>
      <c r="CH130" s="1811"/>
      <c r="CI130" s="1811"/>
      <c r="CJ130" s="1811"/>
      <c r="CK130" s="1811"/>
      <c r="CL130" s="1811"/>
      <c r="CM130" s="1811"/>
      <c r="CN130" s="1811"/>
      <c r="CO130" s="1811"/>
      <c r="CP130" s="1811"/>
      <c r="CQ130" s="1811"/>
      <c r="CR130" s="1811"/>
      <c r="CS130" s="1811"/>
      <c r="CT130" s="91"/>
      <c r="CW130" s="1173" t="str">
        <f>IF(AND(ISNUMBER(VALUE(TRIM(SUBSTITUTE(AD130,".","")))),TRIM(SUBSTITUTE(AD130,".",""))&lt;&gt;""),"P"&amp;SUBSTITUTE(AD130,".",""),"")</f>
        <v/>
      </c>
    </row>
    <row customHeight="1" ht="16.672500000000003" hidden="1">
      <c r="E131" s="797">
        <v>17.1</v>
      </c>
      <c r="F131" s="922" cm="1" t="str">
        <f t="array" ref="F131:F131">OFFSET(G131,-1,-1)</f>
        <v>0</v>
      </c>
      <c r="L131" s="922" cm="1" t="str">
        <f t="array" ref="L131:L131">OFFSET(M131,-1,-1)</f>
        <v>false</v>
      </c>
      <c r="S131" s="159" cm="1" t="str">
        <f t="array" ref="S131:S131">OFFSET(T131,-1,-1)</f>
        <v>false</v>
      </c>
      <c r="U131" s="819">
        <f>AND(S131,IF(ISBLANK(T131),TRUE,T131))</f>
        <v>0</v>
      </c>
      <c r="AB131" s="1839"/>
      <c r="AD131" s="173" t="s">
        <v>888</v>
      </c>
      <c r="AE131" s="1497" t="s">
        <v>889</v>
      </c>
      <c r="AF131" s="1826"/>
      <c r="AG131" s="859" t="s">
        <v>890</v>
      </c>
      <c r="AH131" s="860">
        <f>_xlfn.IFERROR(AH125/AH53,0)*1000</f>
        <v>0</v>
      </c>
      <c r="AI131" s="860">
        <f>_xlfn.IFERROR(AI125/AI53,0)*1000</f>
        <v>0</v>
      </c>
      <c r="AJ131" s="860">
        <f>_xlfn.IFERROR(AJ125/AJ53,0)*1000</f>
        <v>0</v>
      </c>
      <c r="AK131" s="860">
        <f>_xlfn.IFERROR(AK125/AK53,0)*1000</f>
        <v>0</v>
      </c>
      <c r="AL131" s="860">
        <f>_xlfn.IFERROR(AL125/AL53,0)*1000</f>
        <v>0</v>
      </c>
      <c r="AM131" s="860">
        <f>_xlfn.IFERROR(AM125/AM53,0)*1000</f>
        <v>0</v>
      </c>
      <c r="AN131" s="860">
        <f>_xlfn.IFERROR(AN125/AN53,0)*1000</f>
        <v>0</v>
      </c>
      <c r="AO131" s="860">
        <f>_xlfn.IFERROR(AO125/AO53,0)*1000</f>
        <v>0</v>
      </c>
      <c r="AP131" s="860">
        <f>_xlfn.IFERROR(AP125/AP53,0)*1000</f>
        <v>0</v>
      </c>
      <c r="AQ131" s="860">
        <f>_xlfn.IFERROR(AQ125/AQ53,0)*1000</f>
        <v>0</v>
      </c>
      <c r="AR131" s="860">
        <f>_xlfn.IFERROR(AR125/AR53,0)*1000</f>
        <v>0</v>
      </c>
      <c r="AS131" s="860">
        <f>_xlfn.IFERROR(AS125/AS53,0)*1000</f>
        <v>0</v>
      </c>
      <c r="AT131" s="860">
        <f>_xlfn.IFERROR(AT125/AT53,0)*1000</f>
        <v>0</v>
      </c>
      <c r="AU131" s="860">
        <f>_xlfn.IFERROR(AU125/AU53,0)*1000</f>
        <v>0</v>
      </c>
      <c r="AV131" s="860">
        <f>_xlfn.IFERROR(AV125/AV53,0)*1000</f>
        <v>0</v>
      </c>
      <c r="AW131" s="860">
        <f>_xlfn.IFERROR(AW125/AW53,0)*1000</f>
        <v>0</v>
      </c>
      <c r="AX131" s="860">
        <f>_xlfn.IFERROR(AX125/AX53,0)*1000</f>
        <v>0</v>
      </c>
      <c r="AY131" s="860">
        <f>_xlfn.IFERROR(AY125/AY53,0)*1000</f>
        <v>0</v>
      </c>
      <c r="AZ131" s="860">
        <f>_xlfn.IFERROR(AZ125/AZ53,0)*1000</f>
        <v>0</v>
      </c>
      <c r="BA131" s="860">
        <f>_xlfn.IFERROR(BA125/BA53,0)*1000</f>
        <v>0</v>
      </c>
      <c r="BB131" s="860">
        <f>_xlfn.IFERROR(BB125/BB53,0)*1000</f>
        <v>0</v>
      </c>
      <c r="BC131" s="860">
        <f>_xlfn.IFERROR(BC125/BC53,0)*1000</f>
        <v>0</v>
      </c>
      <c r="BD131" s="860">
        <f>_xlfn.IFERROR(BD125/BD53,0)*1000</f>
        <v>0</v>
      </c>
      <c r="BE131" s="860">
        <f>_xlfn.IFERROR(BE125/BE53,0)*1000</f>
        <v>0</v>
      </c>
      <c r="BF131" s="860">
        <f>_xlfn.IFERROR(BF125/BF53,0)*1000</f>
        <v>0</v>
      </c>
      <c r="BG131" s="860">
        <f>_xlfn.IFERROR(BG125/BG53,0)*1000</f>
        <v>0</v>
      </c>
      <c r="BH131" s="860">
        <f>_xlfn.IFERROR(BH125/BH53,0)*1000</f>
        <v>0</v>
      </c>
      <c r="BI131" s="860">
        <f>_xlfn.IFERROR(BI125/BI53,0)*1000</f>
        <v>0</v>
      </c>
      <c r="BJ131" s="860">
        <f>_xlfn.IFERROR(BJ125/BJ53,0)*1000</f>
        <v>0</v>
      </c>
      <c r="BK131" s="860">
        <f>_xlfn.IFERROR(BK125/BK53,0)*1000</f>
        <v>0</v>
      </c>
      <c r="BL131" s="860">
        <f>_xlfn.IFERROR(BL125/BL53,0)*1000</f>
        <v>0</v>
      </c>
      <c r="BM131" s="860">
        <f>_xlfn.IFERROR(BM125/BM53,0)*1000</f>
        <v>0</v>
      </c>
      <c r="BN131" s="860">
        <f>_xlfn.IFERROR(BN125/BN53,0)*1000</f>
        <v>0</v>
      </c>
      <c r="BO131" s="860">
        <f>_xlfn.IFERROR(BO125/BO53,0)*1000</f>
        <v>0</v>
      </c>
      <c r="BP131" s="860">
        <f>_xlfn.IFERROR(BP125/BP53,0)*1000</f>
        <v>0</v>
      </c>
      <c r="BQ131" s="860">
        <f>_xlfn.IFERROR(BQ125/BQ53,0)*1000</f>
        <v>0</v>
      </c>
      <c r="BR131" s="860">
        <f>_xlfn.IFERROR(BR125/BR53,0)*1000</f>
        <v>0</v>
      </c>
      <c r="BS131" s="860">
        <f>_xlfn.IFERROR(BS125/BS53,0)*1000</f>
        <v>0</v>
      </c>
      <c r="BT131" s="860">
        <f>_xlfn.IFERROR(BT125/BT53,0)*1000</f>
        <v>0</v>
      </c>
      <c r="BU131" s="860">
        <f>_xlfn.IFERROR(BU125/BU53,0)*1000</f>
        <v>0</v>
      </c>
      <c r="BV131" s="860">
        <f>_xlfn.IFERROR(BV125/BV53,0)*1000</f>
        <v>0</v>
      </c>
      <c r="BW131" s="860">
        <f>_xlfn.IFERROR(BW125/BW53,0)*1000</f>
        <v>0</v>
      </c>
      <c r="BX131" s="860">
        <f>_xlfn.IFERROR(BX125/BX53,0)*1000</f>
        <v>0</v>
      </c>
      <c r="BY131" s="860">
        <f>_xlfn.IFERROR(BY125/BY53,0)*1000</f>
        <v>0</v>
      </c>
      <c r="BZ131" s="860">
        <f>_xlfn.IFERROR(BZ125/BZ53,0)*1000</f>
        <v>0</v>
      </c>
      <c r="CA131" s="860">
        <f>_xlfn.IFERROR(CA125/CA53,0)*1000</f>
        <v>0</v>
      </c>
      <c r="CB131" s="860">
        <f>_xlfn.IFERROR(CB125/CB53,0)*1000</f>
        <v>0</v>
      </c>
      <c r="CC131" s="860">
        <f>_xlfn.IFERROR(CC125/CC53,0)*1000</f>
        <v>0</v>
      </c>
      <c r="CD131" s="860">
        <f>_xlfn.IFERROR(CD125/CD53,0)*1000</f>
        <v>0</v>
      </c>
      <c r="CE131" s="860">
        <f>_xlfn.IFERROR(CE125/CE53,0)*1000</f>
        <v>0</v>
      </c>
      <c r="CF131" s="860">
        <f>_xlfn.IFERROR(CF125/CF53,0)*1000</f>
        <v>0</v>
      </c>
      <c r="CG131" s="860">
        <f>_xlfn.IFERROR(CG125/CG53,0)*1000</f>
        <v>0</v>
      </c>
      <c r="CH131" s="860">
        <f>_xlfn.IFERROR(CH125/CH53,0)*1000</f>
        <v>0</v>
      </c>
      <c r="CI131" s="860">
        <f>_xlfn.IFERROR(CI125/CI53,0)*1000</f>
        <v>0</v>
      </c>
      <c r="CJ131" s="860">
        <f>_xlfn.IFERROR(CJ125/CJ53,0)*1000</f>
        <v>0</v>
      </c>
      <c r="CK131" s="860">
        <f>_xlfn.IFERROR(CK125/CK53,0)*1000</f>
        <v>0</v>
      </c>
      <c r="CL131" s="860">
        <f>_xlfn.IFERROR(CL125/CL53,0)*1000</f>
        <v>0</v>
      </c>
      <c r="CM131" s="860">
        <f>_xlfn.IFERROR(CM125/CM53,0)*1000</f>
        <v>0</v>
      </c>
      <c r="CN131" s="860">
        <f>_xlfn.IFERROR(CN125/CN53,0)*1000</f>
        <v>0</v>
      </c>
      <c r="CO131" s="860">
        <f>_xlfn.IFERROR(CO125/CO53,0)*1000</f>
        <v>0</v>
      </c>
      <c r="CP131" s="860">
        <f>_xlfn.IFERROR(CP125/CP53,0)*1000</f>
        <v>0</v>
      </c>
      <c r="CQ131" s="860">
        <f>_xlfn.IFERROR(CQ125/CQ53,0)*1000</f>
        <v>0</v>
      </c>
      <c r="CR131" s="860">
        <f>_xlfn.IFERROR(CR125/CR53,0)*1000</f>
        <v>0</v>
      </c>
      <c r="CS131" s="860">
        <f>_xlfn.IFERROR(CS125/CS53,0)*1000</f>
        <v>0</v>
      </c>
      <c r="CT131" s="73"/>
      <c r="CW131" s="1173" t="s">
        <v>891</v>
      </c>
    </row>
    <row customHeight="1" ht="16.672500000000003" hidden="1">
      <c r="E132" s="797">
        <v>17.1</v>
      </c>
      <c r="F132" s="922" cm="1" t="str">
        <f t="array" ref="F132:F132">OFFSET(G132,-1,-1)</f>
        <v>0</v>
      </c>
      <c r="L132" s="922" cm="1" t="str">
        <f t="array" ref="L132:L132">OFFSET(M132,-1,-1)</f>
        <v>false</v>
      </c>
      <c r="R132" s="922" t="s">
        <v>730</v>
      </c>
      <c r="S132" s="159" cm="1" t="str">
        <f t="array" ref="S132:S132">OFFSET(T132,-1,-1)</f>
        <v>false</v>
      </c>
      <c r="T132" s="159" cm="1" t="str">
        <f t="array" ref="T132:T132">L132</f>
        <v>false</v>
      </c>
      <c r="U132" s="819">
        <f>AND(S132,IF(ISBLANK(T132),TRUE,T132))</f>
        <v>0</v>
      </c>
      <c r="AB132" s="1839"/>
      <c r="AD132" s="160" t="str">
        <f>AD131&amp;".0"</f>
        <v>41.0</v>
      </c>
      <c r="AE132" s="1349" t="s">
        <v>741</v>
      </c>
      <c r="AF132" s="1831"/>
      <c r="AG132" s="859" t="s">
        <v>890</v>
      </c>
      <c r="AH132" s="860">
        <f>_xlfn.IFERROR(AH126/AH54,0)*1000</f>
        <v>0</v>
      </c>
      <c r="AI132" s="860">
        <f>_xlfn.IFERROR(AI126/AI54,0)*1000</f>
        <v>0</v>
      </c>
      <c r="AJ132" s="860">
        <f>_xlfn.IFERROR(AJ126/AJ54,0)*1000</f>
        <v>0</v>
      </c>
      <c r="AK132" s="860">
        <f>_xlfn.IFERROR(AK126/AK54,0)*1000</f>
        <v>0</v>
      </c>
      <c r="AL132" s="860">
        <f>_xlfn.IFERROR(AL126/AL54,0)*1000</f>
        <v>0</v>
      </c>
      <c r="AM132" s="860">
        <f>_xlfn.IFERROR(AM126/AM54,0)*1000</f>
        <v>0</v>
      </c>
      <c r="AN132" s="860">
        <f>_xlfn.IFERROR(AN126/AN54,0)*1000</f>
        <v>0</v>
      </c>
      <c r="AO132" s="860">
        <f>_xlfn.IFERROR(AO126/AO54,0)*1000</f>
        <v>0</v>
      </c>
      <c r="AP132" s="860">
        <f>_xlfn.IFERROR(AP126/AP54,0)*1000</f>
        <v>0</v>
      </c>
      <c r="AQ132" s="860">
        <f>_xlfn.IFERROR(AQ126/AQ54,0)*1000</f>
        <v>0</v>
      </c>
      <c r="AR132" s="860">
        <f>_xlfn.IFERROR(AR126/AR54,0)*1000</f>
        <v>0</v>
      </c>
      <c r="AS132" s="860">
        <f>_xlfn.IFERROR(AS126/AS54,0)*1000</f>
        <v>0</v>
      </c>
      <c r="AT132" s="860">
        <f>_xlfn.IFERROR(AT126/AT54,0)*1000</f>
        <v>0</v>
      </c>
      <c r="AU132" s="860">
        <f>_xlfn.IFERROR(AU126/AU54,0)*1000</f>
        <v>0</v>
      </c>
      <c r="AV132" s="860">
        <f>_xlfn.IFERROR(AV126/AV54,0)*1000</f>
        <v>0</v>
      </c>
      <c r="AW132" s="860">
        <f>_xlfn.IFERROR(AW126/AW54,0)*1000</f>
        <v>0</v>
      </c>
      <c r="AX132" s="860">
        <f>_xlfn.IFERROR(AX126/AX54,0)*1000</f>
        <v>0</v>
      </c>
      <c r="AY132" s="860">
        <f>_xlfn.IFERROR(AY126/AY54,0)*1000</f>
        <v>0</v>
      </c>
      <c r="AZ132" s="860">
        <f>_xlfn.IFERROR(AZ126/AZ54,0)*1000</f>
        <v>0</v>
      </c>
      <c r="BA132" s="860">
        <f>_xlfn.IFERROR(BA126/BA54,0)*1000</f>
        <v>0</v>
      </c>
      <c r="BB132" s="860">
        <f>_xlfn.IFERROR(BB126/BB54,0)*1000</f>
        <v>0</v>
      </c>
      <c r="BC132" s="860">
        <f>_xlfn.IFERROR(BC126/BC54,0)*1000</f>
        <v>0</v>
      </c>
      <c r="BD132" s="860">
        <f>_xlfn.IFERROR(BD126/BD54,0)*1000</f>
        <v>0</v>
      </c>
      <c r="BE132" s="860">
        <f>_xlfn.IFERROR(BE126/BE54,0)*1000</f>
        <v>0</v>
      </c>
      <c r="BF132" s="860">
        <f>_xlfn.IFERROR(BF126/BF54,0)*1000</f>
        <v>0</v>
      </c>
      <c r="BG132" s="860">
        <f>_xlfn.IFERROR(BG126/BG54,0)*1000</f>
        <v>0</v>
      </c>
      <c r="BH132" s="860">
        <f>_xlfn.IFERROR(BH126/BH54,0)*1000</f>
        <v>0</v>
      </c>
      <c r="BI132" s="860">
        <f>_xlfn.IFERROR(BI126/BI54,0)*1000</f>
        <v>0</v>
      </c>
      <c r="BJ132" s="860">
        <f>_xlfn.IFERROR(BJ126/BJ54,0)*1000</f>
        <v>0</v>
      </c>
      <c r="BK132" s="860">
        <f>_xlfn.IFERROR(BK126/BK54,0)*1000</f>
        <v>0</v>
      </c>
      <c r="BL132" s="860">
        <f>_xlfn.IFERROR(BL126/BL54,0)*1000</f>
        <v>0</v>
      </c>
      <c r="BM132" s="860">
        <f>_xlfn.IFERROR(BM126/BM54,0)*1000</f>
        <v>0</v>
      </c>
      <c r="BN132" s="860">
        <f>_xlfn.IFERROR(BN126/BN54,0)*1000</f>
        <v>0</v>
      </c>
      <c r="BO132" s="860">
        <f>_xlfn.IFERROR(BO126/BO54,0)*1000</f>
        <v>0</v>
      </c>
      <c r="BP132" s="860">
        <f>_xlfn.IFERROR(BP126/BP54,0)*1000</f>
        <v>0</v>
      </c>
      <c r="BQ132" s="860">
        <f>_xlfn.IFERROR(BQ126/BQ54,0)*1000</f>
        <v>0</v>
      </c>
      <c r="BR132" s="860">
        <f>_xlfn.IFERROR(BR126/BR54,0)*1000</f>
        <v>0</v>
      </c>
      <c r="BS132" s="860">
        <f>_xlfn.IFERROR(BS126/BS54,0)*1000</f>
        <v>0</v>
      </c>
      <c r="BT132" s="860">
        <f>_xlfn.IFERROR(BT126/BT54,0)*1000</f>
        <v>0</v>
      </c>
      <c r="BU132" s="860">
        <f>_xlfn.IFERROR(BU126/BU54,0)*1000</f>
        <v>0</v>
      </c>
      <c r="BV132" s="860">
        <f>_xlfn.IFERROR(BV126/BV54,0)*1000</f>
        <v>0</v>
      </c>
      <c r="BW132" s="860">
        <f>_xlfn.IFERROR(BW126/BW54,0)*1000</f>
        <v>0</v>
      </c>
      <c r="BX132" s="860">
        <f>_xlfn.IFERROR(BX126/BX54,0)*1000</f>
        <v>0</v>
      </c>
      <c r="BY132" s="860">
        <f>_xlfn.IFERROR(BY126/BY54,0)*1000</f>
        <v>0</v>
      </c>
      <c r="BZ132" s="860">
        <f>_xlfn.IFERROR(BZ126/BZ54,0)*1000</f>
        <v>0</v>
      </c>
      <c r="CA132" s="860">
        <f>_xlfn.IFERROR(CA126/CA54,0)*1000</f>
        <v>0</v>
      </c>
      <c r="CB132" s="860">
        <f>_xlfn.IFERROR(CB126/CB54,0)*1000</f>
        <v>0</v>
      </c>
      <c r="CC132" s="860">
        <f>_xlfn.IFERROR(CC126/CC54,0)*1000</f>
        <v>0</v>
      </c>
      <c r="CD132" s="860">
        <f>_xlfn.IFERROR(CD126/CD54,0)*1000</f>
        <v>0</v>
      </c>
      <c r="CE132" s="860">
        <f>_xlfn.IFERROR(CE126/CE54,0)*1000</f>
        <v>0</v>
      </c>
      <c r="CF132" s="860">
        <f>_xlfn.IFERROR(CF126/CF54,0)*1000</f>
        <v>0</v>
      </c>
      <c r="CG132" s="860">
        <f>_xlfn.IFERROR(CG126/CG54,0)*1000</f>
        <v>0</v>
      </c>
      <c r="CH132" s="860">
        <f>_xlfn.IFERROR(CH126/CH54,0)*1000</f>
        <v>0</v>
      </c>
      <c r="CI132" s="860">
        <f>_xlfn.IFERROR(CI126/CI54,0)*1000</f>
        <v>0</v>
      </c>
      <c r="CJ132" s="860">
        <f>_xlfn.IFERROR(CJ126/CJ54,0)*1000</f>
        <v>0</v>
      </c>
      <c r="CK132" s="860">
        <f>_xlfn.IFERROR(CK126/CK54,0)*1000</f>
        <v>0</v>
      </c>
      <c r="CL132" s="860">
        <f>_xlfn.IFERROR(CL126/CL54,0)*1000</f>
        <v>0</v>
      </c>
      <c r="CM132" s="860">
        <f>_xlfn.IFERROR(CM126/CM54,0)*1000</f>
        <v>0</v>
      </c>
      <c r="CN132" s="860">
        <f>_xlfn.IFERROR(CN126/CN54,0)*1000</f>
        <v>0</v>
      </c>
      <c r="CO132" s="860">
        <f>_xlfn.IFERROR(CO126/CO54,0)*1000</f>
        <v>0</v>
      </c>
      <c r="CP132" s="860">
        <f>_xlfn.IFERROR(CP126/CP54,0)*1000</f>
        <v>0</v>
      </c>
      <c r="CQ132" s="860">
        <f>_xlfn.IFERROR(CQ126/CQ54,0)*1000</f>
        <v>0</v>
      </c>
      <c r="CR132" s="860">
        <f>_xlfn.IFERROR(CR126/CR54,0)*1000</f>
        <v>0</v>
      </c>
      <c r="CS132" s="860">
        <f>_xlfn.IFERROR(CS126/CS54,0)*1000</f>
        <v>0</v>
      </c>
      <c r="CT132" s="73"/>
      <c r="CW132" s="1173" t="s">
        <v>892</v>
      </c>
    </row>
    <row customHeight="1" ht="16.672500000000003" hidden="1">
      <c r="E133" s="797">
        <v>17.1</v>
      </c>
      <c r="F133" s="922" cm="1" t="str">
        <f t="array" ref="F133:F133">OFFSET(G133,-1,-1)</f>
        <v>0</v>
      </c>
      <c r="L133" s="922" cm="1" t="str">
        <f t="array" ref="L133:L133">OFFSET(M133,-1,-1)</f>
        <v>false</v>
      </c>
      <c r="S133" s="159" cm="1" t="str">
        <f t="array" ref="S133:S133">OFFSET(T133,-1,-1)</f>
        <v>false</v>
      </c>
      <c r="T133" s="159">
        <f>AD133&lt;&gt;"41.0"</f>
        <v>0</v>
      </c>
      <c r="U133" s="819">
        <f>AND(S133,IF(ISBLANK(T133),TRUE,T133))</f>
        <v>0</v>
      </c>
      <c r="X133" s="159" t="s">
        <v>234</v>
      </c>
      <c r="AB133" s="1839"/>
      <c r="AD133" s="160" t="s">
        <v>893</v>
      </c>
      <c r="AE133" s="1802"/>
      <c r="AF133" s="1803"/>
      <c r="AG133" s="859" t="s">
        <v>890</v>
      </c>
      <c r="AH133" s="860">
        <f>_xlfn.IFERROR(AH129/AH55,0)*1000</f>
        <v>0</v>
      </c>
      <c r="AI133" s="860">
        <f>_xlfn.IFERROR(AI129/AI55,0)*1000</f>
        <v>0</v>
      </c>
      <c r="AJ133" s="860">
        <f>_xlfn.IFERROR(AJ129/AJ55,0)*1000</f>
        <v>0</v>
      </c>
      <c r="AK133" s="860">
        <f>_xlfn.IFERROR(AK129/AK55,0)*1000</f>
        <v>0</v>
      </c>
      <c r="AL133" s="860">
        <f>_xlfn.IFERROR(AL129/AL55,0)*1000</f>
        <v>0</v>
      </c>
      <c r="AM133" s="860">
        <f>_xlfn.IFERROR(AM129/AM55,0)*1000</f>
        <v>0</v>
      </c>
      <c r="AN133" s="860">
        <f>_xlfn.IFERROR(AN129/AN55,0)*1000</f>
        <v>0</v>
      </c>
      <c r="AO133" s="860">
        <f>_xlfn.IFERROR(AO129/AO55,0)*1000</f>
        <v>0</v>
      </c>
      <c r="AP133" s="860">
        <f>_xlfn.IFERROR(AP129/AP55,0)*1000</f>
        <v>0</v>
      </c>
      <c r="AQ133" s="860">
        <f>_xlfn.IFERROR(AQ129/AQ55,0)*1000</f>
        <v>0</v>
      </c>
      <c r="AR133" s="860">
        <f>_xlfn.IFERROR(AR129/AR55,0)*1000</f>
        <v>0</v>
      </c>
      <c r="AS133" s="860">
        <f>_xlfn.IFERROR(AS129/AS55,0)*1000</f>
        <v>0</v>
      </c>
      <c r="AT133" s="860">
        <f>_xlfn.IFERROR(AT129/AT55,0)*1000</f>
        <v>0</v>
      </c>
      <c r="AU133" s="860">
        <f>_xlfn.IFERROR(AU129/AU55,0)*1000</f>
        <v>0</v>
      </c>
      <c r="AV133" s="860">
        <f>_xlfn.IFERROR(AV129/AV55,0)*1000</f>
        <v>0</v>
      </c>
      <c r="AW133" s="860">
        <f>_xlfn.IFERROR(AW129/AW55,0)*1000</f>
        <v>0</v>
      </c>
      <c r="AX133" s="860">
        <f>_xlfn.IFERROR(AX129/AX55,0)*1000</f>
        <v>0</v>
      </c>
      <c r="AY133" s="860">
        <f>_xlfn.IFERROR(AY129/AY55,0)*1000</f>
        <v>0</v>
      </c>
      <c r="AZ133" s="860">
        <f>_xlfn.IFERROR(AZ129/AZ55,0)*1000</f>
        <v>0</v>
      </c>
      <c r="BA133" s="860">
        <f>_xlfn.IFERROR(BA129/BA55,0)*1000</f>
        <v>0</v>
      </c>
      <c r="BB133" s="860">
        <f>_xlfn.IFERROR(BB129/BB55,0)*1000</f>
        <v>0</v>
      </c>
      <c r="BC133" s="860">
        <f>_xlfn.IFERROR(BC129/BC55,0)*1000</f>
        <v>0</v>
      </c>
      <c r="BD133" s="860">
        <f>_xlfn.IFERROR(BD129/BD55,0)*1000</f>
        <v>0</v>
      </c>
      <c r="BE133" s="860">
        <f>_xlfn.IFERROR(BE129/BE55,0)*1000</f>
        <v>0</v>
      </c>
      <c r="BF133" s="860">
        <f>_xlfn.IFERROR(BF129/BF55,0)*1000</f>
        <v>0</v>
      </c>
      <c r="BG133" s="860">
        <f>_xlfn.IFERROR(BG129/BG55,0)*1000</f>
        <v>0</v>
      </c>
      <c r="BH133" s="860">
        <f>_xlfn.IFERROR(BH129/BH55,0)*1000</f>
        <v>0</v>
      </c>
      <c r="BI133" s="860">
        <f>_xlfn.IFERROR(BI129/BI55,0)*1000</f>
        <v>0</v>
      </c>
      <c r="BJ133" s="860">
        <f>_xlfn.IFERROR(BJ129/BJ55,0)*1000</f>
        <v>0</v>
      </c>
      <c r="BK133" s="860">
        <f>_xlfn.IFERROR(BK129/BK55,0)*1000</f>
        <v>0</v>
      </c>
      <c r="BL133" s="860">
        <f>_xlfn.IFERROR(BL129/BL55,0)*1000</f>
        <v>0</v>
      </c>
      <c r="BM133" s="860">
        <f>_xlfn.IFERROR(BM129/BM55,0)*1000</f>
        <v>0</v>
      </c>
      <c r="BN133" s="860">
        <f>_xlfn.IFERROR(BN129/BN55,0)*1000</f>
        <v>0</v>
      </c>
      <c r="BO133" s="860">
        <f>_xlfn.IFERROR(BO129/BO55,0)*1000</f>
        <v>0</v>
      </c>
      <c r="BP133" s="860">
        <f>_xlfn.IFERROR(BP129/BP55,0)*1000</f>
        <v>0</v>
      </c>
      <c r="BQ133" s="860">
        <f>_xlfn.IFERROR(BQ129/BQ55,0)*1000</f>
        <v>0</v>
      </c>
      <c r="BR133" s="860">
        <f>_xlfn.IFERROR(BR129/BR55,0)*1000</f>
        <v>0</v>
      </c>
      <c r="BS133" s="860">
        <f>_xlfn.IFERROR(BS129/BS55,0)*1000</f>
        <v>0</v>
      </c>
      <c r="BT133" s="860">
        <f>_xlfn.IFERROR(BT129/BT55,0)*1000</f>
        <v>0</v>
      </c>
      <c r="BU133" s="860">
        <f>_xlfn.IFERROR(BU129/BU55,0)*1000</f>
        <v>0</v>
      </c>
      <c r="BV133" s="860">
        <f>_xlfn.IFERROR(BV129/BV55,0)*1000</f>
        <v>0</v>
      </c>
      <c r="BW133" s="860">
        <f>_xlfn.IFERROR(BW129/BW55,0)*1000</f>
        <v>0</v>
      </c>
      <c r="BX133" s="860">
        <f>_xlfn.IFERROR(BX129/BX55,0)*1000</f>
        <v>0</v>
      </c>
      <c r="BY133" s="860">
        <f>_xlfn.IFERROR(BY129/BY55,0)*1000</f>
        <v>0</v>
      </c>
      <c r="BZ133" s="860">
        <f>_xlfn.IFERROR(BZ129/BZ55,0)*1000</f>
        <v>0</v>
      </c>
      <c r="CA133" s="860">
        <f>_xlfn.IFERROR(CA129/CA55,0)*1000</f>
        <v>0</v>
      </c>
      <c r="CB133" s="860">
        <f>_xlfn.IFERROR(CB129/CB55,0)*1000</f>
        <v>0</v>
      </c>
      <c r="CC133" s="860">
        <f>_xlfn.IFERROR(CC129/CC55,0)*1000</f>
        <v>0</v>
      </c>
      <c r="CD133" s="860">
        <f>_xlfn.IFERROR(CD129/CD55,0)*1000</f>
        <v>0</v>
      </c>
      <c r="CE133" s="860">
        <f>_xlfn.IFERROR(CE129/CE55,0)*1000</f>
        <v>0</v>
      </c>
      <c r="CF133" s="860">
        <f>_xlfn.IFERROR(CF129/CF55,0)*1000</f>
        <v>0</v>
      </c>
      <c r="CG133" s="860">
        <f>_xlfn.IFERROR(CG129/CG55,0)*1000</f>
        <v>0</v>
      </c>
      <c r="CH133" s="860">
        <f>_xlfn.IFERROR(CH129/CH55,0)*1000</f>
        <v>0</v>
      </c>
      <c r="CI133" s="860">
        <f>_xlfn.IFERROR(CI129/CI55,0)*1000</f>
        <v>0</v>
      </c>
      <c r="CJ133" s="860">
        <f>_xlfn.IFERROR(CJ129/CJ55,0)*1000</f>
        <v>0</v>
      </c>
      <c r="CK133" s="860">
        <f>_xlfn.IFERROR(CK129/CK55,0)*1000</f>
        <v>0</v>
      </c>
      <c r="CL133" s="860">
        <f>_xlfn.IFERROR(CL129/CL55,0)*1000</f>
        <v>0</v>
      </c>
      <c r="CM133" s="860">
        <f>_xlfn.IFERROR(CM129/CM55,0)*1000</f>
        <v>0</v>
      </c>
      <c r="CN133" s="860">
        <f>_xlfn.IFERROR(CN129/CN55,0)*1000</f>
        <v>0</v>
      </c>
      <c r="CO133" s="860">
        <f>_xlfn.IFERROR(CO129/CO55,0)*1000</f>
        <v>0</v>
      </c>
      <c r="CP133" s="860">
        <f>_xlfn.IFERROR(CP129/CP55,0)*1000</f>
        <v>0</v>
      </c>
      <c r="CQ133" s="860">
        <f>_xlfn.IFERROR(CQ129/CQ55,0)*1000</f>
        <v>0</v>
      </c>
      <c r="CR133" s="860">
        <f>_xlfn.IFERROR(CR129/CR55,0)*1000</f>
        <v>0</v>
      </c>
      <c r="CS133" s="860">
        <f>_xlfn.IFERROR(CS129/CS55,0)*1000</f>
        <v>0</v>
      </c>
      <c r="CT133" s="73"/>
      <c r="CW133" s="1173" t="s">
        <v>892</v>
      </c>
      <c r="CX133" s="1178" t="s">
        <v>792</v>
      </c>
      <c r="CY133" s="1182" cm="1" t="str">
        <f t="array" ref="CY133:CY133">AE133</f>
        <v>0</v>
      </c>
      <c r="CZ133" s="1182" cm="1" t="str">
        <f t="array" ref="CZ133:CZ133">AF133</f>
        <v>0</v>
      </c>
    </row>
    <row customHeight="1" ht="15" hidden="1">
      <c r="E134" s="797">
        <v>0</v>
      </c>
      <c r="F134" s="922" cm="1" t="str">
        <f t="array" ref="F134:F134">OFFSET(G134,-1,-1)</f>
        <v>0</v>
      </c>
      <c r="L134" s="922" cm="1" t="str">
        <f t="array" ref="L134:L134">OFFSET(M134,-1,-1)</f>
        <v>false</v>
      </c>
      <c r="S134" s="159" cm="1" t="str">
        <f t="array" ref="S134:S134">OFFSET(T134,-1,-1)</f>
        <v>false</v>
      </c>
      <c r="U134" s="819">
        <f>AND(S134,IF(ISBLANK(T134),TRUE,T134))</f>
        <v>0</v>
      </c>
      <c r="X134" s="973" t="str">
        <f>"{                  
         funcDyn: 'msg1',
         blok: 'blok_2',
         wsCross: 'Топливо 4.4',
         linkFormula: 'AE-AE#AF-AF',
         levelDyn: "&amp;Y28&amp;"
}"</f>
        <v>{                  
         funcDyn: 'msg1',
         blok: 'blok_2',
         wsCross: 'Топливо 4.4',
         linkFormula: 'AE-AE#AF-AF',
         levelDyn: 0
}</v>
      </c>
      <c r="AB134" s="1839"/>
      <c r="AD134" s="1805"/>
      <c r="AE134" s="975" t="s">
        <v>236</v>
      </c>
      <c r="AF134" s="1807"/>
      <c r="AG134" s="1821"/>
      <c r="AH134" s="1810"/>
      <c r="AI134" s="1811"/>
      <c r="AJ134" s="1811"/>
      <c r="AK134" s="1811"/>
      <c r="AL134" s="1811"/>
      <c r="AM134" s="1811"/>
      <c r="AN134" s="1811"/>
      <c r="AO134" s="1811"/>
      <c r="AP134" s="1811"/>
      <c r="AQ134" s="1811"/>
      <c r="AR134" s="1811"/>
      <c r="AS134" s="1811"/>
      <c r="AT134" s="1811"/>
      <c r="AU134" s="1811"/>
      <c r="AV134" s="1811"/>
      <c r="AW134" s="1811"/>
      <c r="AX134" s="1811"/>
      <c r="AY134" s="1811"/>
      <c r="AZ134" s="1811"/>
      <c r="BA134" s="1811"/>
      <c r="BB134" s="1811"/>
      <c r="BC134" s="1811"/>
      <c r="BD134" s="1811"/>
      <c r="BE134" s="1811"/>
      <c r="BF134" s="1811"/>
      <c r="BG134" s="1811"/>
      <c r="BH134" s="1811"/>
      <c r="BI134" s="1811"/>
      <c r="BJ134" s="1811"/>
      <c r="BK134" s="1811"/>
      <c r="BL134" s="1811"/>
      <c r="BM134" s="1811"/>
      <c r="BN134" s="1811"/>
      <c r="BO134" s="1811"/>
      <c r="BP134" s="1811"/>
      <c r="BQ134" s="1811"/>
      <c r="BR134" s="1811"/>
      <c r="BS134" s="1811"/>
      <c r="BT134" s="1811"/>
      <c r="BU134" s="1811"/>
      <c r="BV134" s="1811"/>
      <c r="BW134" s="1811"/>
      <c r="BX134" s="1811"/>
      <c r="BY134" s="1811"/>
      <c r="BZ134" s="1811"/>
      <c r="CA134" s="1811"/>
      <c r="CB134" s="1811"/>
      <c r="CC134" s="1811"/>
      <c r="CD134" s="1811"/>
      <c r="CE134" s="1811"/>
      <c r="CF134" s="1811"/>
      <c r="CG134" s="1811"/>
      <c r="CH134" s="1811"/>
      <c r="CI134" s="1811"/>
      <c r="CJ134" s="1811"/>
      <c r="CK134" s="1811"/>
      <c r="CL134" s="1811"/>
      <c r="CM134" s="1811"/>
      <c r="CN134" s="1811"/>
      <c r="CO134" s="1811"/>
      <c r="CP134" s="1811"/>
      <c r="CQ134" s="1811"/>
      <c r="CR134" s="1811"/>
      <c r="CS134" s="1811"/>
      <c r="CT134" s="91"/>
      <c r="CW134" s="1173" t="str">
        <f>IF(AND(ISNUMBER(VALUE(TRIM(SUBSTITUTE(AD134,".","")))),TRIM(SUBSTITUTE(AD134,".",""))&lt;&gt;""),"P"&amp;SUBSTITUTE(AD134,".",""),"")</f>
        <v/>
      </c>
    </row>
    <row customHeight="1" ht="16.672500000000003" hidden="1">
      <c r="E135" s="797">
        <v>17.1</v>
      </c>
      <c r="F135" s="922" cm="1" t="str">
        <f t="array" ref="F135:F135">OFFSET(G135,-1,-1)</f>
        <v>0</v>
      </c>
      <c r="L135" s="922" cm="1" t="str">
        <f t="array" ref="L135:L135">OFFSET(M135,-1,-1)</f>
        <v>false</v>
      </c>
      <c r="S135" s="159" cm="1" t="str">
        <f t="array" ref="S135:S135">OFFSET(T135,-1,-1)</f>
        <v>false</v>
      </c>
      <c r="U135" s="819">
        <f>AND(S135,IF(ISBLANK(T135),TRUE,T135))</f>
        <v>0</v>
      </c>
      <c r="AB135" s="1839"/>
      <c r="AD135" s="173" t="s">
        <v>894</v>
      </c>
      <c r="AE135" s="1497" t="s">
        <v>895</v>
      </c>
      <c r="AF135" s="1826"/>
      <c r="AG135" s="1827"/>
      <c r="AH135" s="1810"/>
      <c r="AI135" s="1811"/>
      <c r="AJ135" s="1811"/>
      <c r="AK135" s="1811"/>
      <c r="AL135" s="1811"/>
      <c r="AM135" s="1811"/>
      <c r="AN135" s="1811"/>
      <c r="AO135" s="1811"/>
      <c r="AP135" s="1811"/>
      <c r="AQ135" s="1811"/>
      <c r="AR135" s="1811"/>
      <c r="AS135" s="1811"/>
      <c r="AT135" s="1811"/>
      <c r="AU135" s="1811"/>
      <c r="AV135" s="1811"/>
      <c r="AW135" s="1811"/>
      <c r="AX135" s="1811"/>
      <c r="AY135" s="1811"/>
      <c r="AZ135" s="1811"/>
      <c r="BA135" s="1811"/>
      <c r="BB135" s="1811"/>
      <c r="BC135" s="1811"/>
      <c r="BD135" s="1811"/>
      <c r="BE135" s="1811"/>
      <c r="BF135" s="1811"/>
      <c r="BG135" s="1811"/>
      <c r="BH135" s="1811"/>
      <c r="BI135" s="1811"/>
      <c r="BJ135" s="1811"/>
      <c r="BK135" s="1811"/>
      <c r="BL135" s="1811"/>
      <c r="BM135" s="1811"/>
      <c r="BN135" s="1811"/>
      <c r="BO135" s="1811"/>
      <c r="BP135" s="1811"/>
      <c r="BQ135" s="1811"/>
      <c r="BR135" s="1811"/>
      <c r="BS135" s="1811"/>
      <c r="BT135" s="1811"/>
      <c r="BU135" s="1811"/>
      <c r="BV135" s="1811"/>
      <c r="BW135" s="1811"/>
      <c r="BX135" s="1811"/>
      <c r="BY135" s="1811"/>
      <c r="BZ135" s="1811"/>
      <c r="CA135" s="1811"/>
      <c r="CB135" s="1811"/>
      <c r="CC135" s="1811"/>
      <c r="CD135" s="1811"/>
      <c r="CE135" s="1811"/>
      <c r="CF135" s="1811"/>
      <c r="CG135" s="1811"/>
      <c r="CH135" s="1811"/>
      <c r="CI135" s="1811"/>
      <c r="CJ135" s="1811"/>
      <c r="CK135" s="1811"/>
      <c r="CL135" s="1811"/>
      <c r="CM135" s="1811"/>
      <c r="CN135" s="1811"/>
      <c r="CO135" s="1811"/>
      <c r="CP135" s="1811"/>
      <c r="CQ135" s="1811"/>
      <c r="CR135" s="1811"/>
      <c r="CS135" s="1811"/>
      <c r="CT135" s="73"/>
      <c r="CW135" s="1173" t="s">
        <v>896</v>
      </c>
    </row>
    <row customHeight="1" ht="16.672500000000003" hidden="1">
      <c r="E136" s="797">
        <v>17.1</v>
      </c>
      <c r="F136" s="922" cm="1" t="str">
        <f t="array" ref="F136:F136">OFFSET(G136,-1,-1)</f>
        <v>0</v>
      </c>
      <c r="L136" s="922" cm="1" t="str">
        <f t="array" ref="L136:L136">OFFSET(M136,-1,-1)</f>
        <v>false</v>
      </c>
      <c r="S136" s="159" cm="1" t="str">
        <f t="array" ref="S136:S136">OFFSET(T136,-1,-1)</f>
        <v>false</v>
      </c>
      <c r="T136" s="159">
        <f>AD136&lt;&gt;"42.0"</f>
        <v>0</v>
      </c>
      <c r="U136" s="819">
        <f>AND(S136,IF(ISBLANK(T136),TRUE,T136))</f>
        <v>0</v>
      </c>
      <c r="X136" s="159" t="s">
        <v>234</v>
      </c>
      <c r="AB136" s="1839"/>
      <c r="AD136" s="160" t="s">
        <v>897</v>
      </c>
      <c r="AE136" s="1802"/>
      <c r="AF136" s="1803"/>
      <c r="AG136" s="1815" t="str">
        <f>"руб./"&amp;_xlfn.IFERROR(INDEX(fuel_ed_izm_list,MATCH(AE136,fuel_list,0)),"")</f>
        <v>руб./</v>
      </c>
      <c r="AH136" s="1848">
        <f>_xlfn.IFERROR(AH129/AH64,0)*1000</f>
        <v>0</v>
      </c>
      <c r="AI136" s="1144">
        <f>_xlfn.IFERROR(AI129/AI64,0)*1000</f>
        <v>0</v>
      </c>
      <c r="AJ136" s="1144">
        <f>_xlfn.IFERROR(AJ129/AJ64,0)*1000</f>
        <v>0</v>
      </c>
      <c r="AK136" s="1144">
        <f>_xlfn.IFERROR(AK129/AK64,0)*1000</f>
        <v>0</v>
      </c>
      <c r="AL136" s="1144">
        <f>_xlfn.IFERROR(AL129/AL64,0)*1000</f>
        <v>0</v>
      </c>
      <c r="AM136" s="1144">
        <f>_xlfn.IFERROR(AM129/AM64,0)*1000</f>
        <v>0</v>
      </c>
      <c r="AN136" s="1144">
        <f>_xlfn.IFERROR(AN129/AN64,0)*1000</f>
        <v>0</v>
      </c>
      <c r="AO136" s="1144">
        <f>_xlfn.IFERROR(AO129/AO64,0)*1000</f>
        <v>0</v>
      </c>
      <c r="AP136" s="1144">
        <f>_xlfn.IFERROR(AP129/AP64,0)*1000</f>
        <v>0</v>
      </c>
      <c r="AQ136" s="1144">
        <f>_xlfn.IFERROR(AQ129/AQ64,0)*1000</f>
        <v>0</v>
      </c>
      <c r="AR136" s="1144">
        <f>_xlfn.IFERROR(AR129/AR64,0)*1000</f>
        <v>0</v>
      </c>
      <c r="AS136" s="1144">
        <f>_xlfn.IFERROR(AS129/AS64,0)*1000</f>
        <v>0</v>
      </c>
      <c r="AT136" s="1144">
        <f>_xlfn.IFERROR(AT129/AT64,0)*1000</f>
        <v>0</v>
      </c>
      <c r="AU136" s="1144">
        <f>_xlfn.IFERROR(AU129/AU64,0)*1000</f>
        <v>0</v>
      </c>
      <c r="AV136" s="1144">
        <f>_xlfn.IFERROR(AV129/AV64,0)*1000</f>
        <v>0</v>
      </c>
      <c r="AW136" s="1144">
        <f>_xlfn.IFERROR(AW129/AW64,0)*1000</f>
        <v>0</v>
      </c>
      <c r="AX136" s="1144">
        <f>_xlfn.IFERROR(AX129/AX64,0)*1000</f>
        <v>0</v>
      </c>
      <c r="AY136" s="1144">
        <f>_xlfn.IFERROR(AY129/AY64,0)*1000</f>
        <v>0</v>
      </c>
      <c r="AZ136" s="1144">
        <f>_xlfn.IFERROR(AZ129/AZ64,0)*1000</f>
        <v>0</v>
      </c>
      <c r="BA136" s="1144">
        <f>_xlfn.IFERROR(BA129/BA64,0)*1000</f>
        <v>0</v>
      </c>
      <c r="BB136" s="1144">
        <f>_xlfn.IFERROR(BB129/BB64,0)*1000</f>
        <v>0</v>
      </c>
      <c r="BC136" s="1144">
        <f>_xlfn.IFERROR(BC129/BC64,0)*1000</f>
        <v>0</v>
      </c>
      <c r="BD136" s="1144">
        <f>_xlfn.IFERROR(BD129/BD64,0)*1000</f>
        <v>0</v>
      </c>
      <c r="BE136" s="1144">
        <f>_xlfn.IFERROR(BE129/BE64,0)*1000</f>
        <v>0</v>
      </c>
      <c r="BF136" s="1144">
        <f>_xlfn.IFERROR(BF129/BF64,0)*1000</f>
        <v>0</v>
      </c>
      <c r="BG136" s="1144">
        <f>_xlfn.IFERROR(BG129/BG64,0)*1000</f>
        <v>0</v>
      </c>
      <c r="BH136" s="1144">
        <f>_xlfn.IFERROR(BH129/BH64,0)*1000</f>
        <v>0</v>
      </c>
      <c r="BI136" s="1144">
        <f>_xlfn.IFERROR(BI129/BI64,0)*1000</f>
        <v>0</v>
      </c>
      <c r="BJ136" s="1144">
        <f>_xlfn.IFERROR(BJ129/BJ64,0)*1000</f>
        <v>0</v>
      </c>
      <c r="BK136" s="1144">
        <f>_xlfn.IFERROR(BK129/BK64,0)*1000</f>
        <v>0</v>
      </c>
      <c r="BL136" s="1144">
        <f>_xlfn.IFERROR(BL129/BL64,0)*1000</f>
        <v>0</v>
      </c>
      <c r="BM136" s="1144">
        <f>_xlfn.IFERROR(BM129/BM64,0)*1000</f>
        <v>0</v>
      </c>
      <c r="BN136" s="1144">
        <f>_xlfn.IFERROR(BN129/BN64,0)*1000</f>
        <v>0</v>
      </c>
      <c r="BO136" s="1144">
        <f>_xlfn.IFERROR(BO129/BO64,0)*1000</f>
        <v>0</v>
      </c>
      <c r="BP136" s="1144">
        <f>_xlfn.IFERROR(BP129/BP64,0)*1000</f>
        <v>0</v>
      </c>
      <c r="BQ136" s="1144">
        <f>_xlfn.IFERROR(BQ129/BQ64,0)*1000</f>
        <v>0</v>
      </c>
      <c r="BR136" s="1144">
        <f>_xlfn.IFERROR(BR129/BR64,0)*1000</f>
        <v>0</v>
      </c>
      <c r="BS136" s="1144">
        <f>_xlfn.IFERROR(BS129/BS64,0)*1000</f>
        <v>0</v>
      </c>
      <c r="BT136" s="1144">
        <f>_xlfn.IFERROR(BT129/BT64,0)*1000</f>
        <v>0</v>
      </c>
      <c r="BU136" s="1144">
        <f>_xlfn.IFERROR(BU129/BU64,0)*1000</f>
        <v>0</v>
      </c>
      <c r="BV136" s="1144">
        <f>_xlfn.IFERROR(BV129/BV64,0)*1000</f>
        <v>0</v>
      </c>
      <c r="BW136" s="1144">
        <f>_xlfn.IFERROR(BW129/BW64,0)*1000</f>
        <v>0</v>
      </c>
      <c r="BX136" s="1144">
        <f>_xlfn.IFERROR(BX129/BX64,0)*1000</f>
        <v>0</v>
      </c>
      <c r="BY136" s="1144">
        <f>_xlfn.IFERROR(BY129/BY64,0)*1000</f>
        <v>0</v>
      </c>
      <c r="BZ136" s="1144">
        <f>_xlfn.IFERROR(BZ129/BZ64,0)*1000</f>
        <v>0</v>
      </c>
      <c r="CA136" s="1144">
        <f>_xlfn.IFERROR(CA129/CA64,0)*1000</f>
        <v>0</v>
      </c>
      <c r="CB136" s="1144">
        <f>_xlfn.IFERROR(CB129/CB64,0)*1000</f>
        <v>0</v>
      </c>
      <c r="CC136" s="1144">
        <f>_xlfn.IFERROR(CC129/CC64,0)*1000</f>
        <v>0</v>
      </c>
      <c r="CD136" s="1144">
        <f>_xlfn.IFERROR(CD129/CD64,0)*1000</f>
        <v>0</v>
      </c>
      <c r="CE136" s="1144">
        <f>_xlfn.IFERROR(CE129/CE64,0)*1000</f>
        <v>0</v>
      </c>
      <c r="CF136" s="1144">
        <f>_xlfn.IFERROR(CF129/CF64,0)*1000</f>
        <v>0</v>
      </c>
      <c r="CG136" s="1144">
        <f>_xlfn.IFERROR(CG129/CG64,0)*1000</f>
        <v>0</v>
      </c>
      <c r="CH136" s="1144">
        <f>_xlfn.IFERROR(CH129/CH64,0)*1000</f>
        <v>0</v>
      </c>
      <c r="CI136" s="1144">
        <f>_xlfn.IFERROR(CI129/CI64,0)*1000</f>
        <v>0</v>
      </c>
      <c r="CJ136" s="1144">
        <f>_xlfn.IFERROR(CJ129/CJ64,0)*1000</f>
        <v>0</v>
      </c>
      <c r="CK136" s="1144">
        <f>_xlfn.IFERROR(CK129/CK64,0)*1000</f>
        <v>0</v>
      </c>
      <c r="CL136" s="1144">
        <f>_xlfn.IFERROR(CL129/CL64,0)*1000</f>
        <v>0</v>
      </c>
      <c r="CM136" s="1144">
        <f>_xlfn.IFERROR(CM129/CM64,0)*1000</f>
        <v>0</v>
      </c>
      <c r="CN136" s="1144">
        <f>_xlfn.IFERROR(CN129/CN64,0)*1000</f>
        <v>0</v>
      </c>
      <c r="CO136" s="1144">
        <f>_xlfn.IFERROR(CO129/CO64,0)*1000</f>
        <v>0</v>
      </c>
      <c r="CP136" s="1144">
        <f>_xlfn.IFERROR(CP129/CP64,0)*1000</f>
        <v>0</v>
      </c>
      <c r="CQ136" s="1144">
        <f>_xlfn.IFERROR(CQ129/CQ64,0)*1000</f>
        <v>0</v>
      </c>
      <c r="CR136" s="1144">
        <f>_xlfn.IFERROR(CR129/CR64,0)*1000</f>
        <v>0</v>
      </c>
      <c r="CS136" s="1144">
        <f>_xlfn.IFERROR(CS129/CS64,0)*1000</f>
        <v>0</v>
      </c>
      <c r="CT136" s="73"/>
      <c r="CW136" s="1173" t="s">
        <v>896</v>
      </c>
      <c r="CX136" s="1178" t="s">
        <v>792</v>
      </c>
      <c r="CY136" s="1182" cm="1" t="str">
        <f t="array" ref="CY136:CY136">AE136</f>
        <v>0</v>
      </c>
      <c r="CZ136" s="1182" cm="1" t="str">
        <f t="array" ref="CZ136:CZ136">AF136</f>
        <v>0</v>
      </c>
    </row>
    <row customHeight="1" ht="15" hidden="1">
      <c r="E137" s="797">
        <v>0</v>
      </c>
      <c r="F137" s="922" cm="1" t="str">
        <f t="array" ref="F137:F137">OFFSET(G137,-1,-1)</f>
        <v>0</v>
      </c>
      <c r="L137" s="922" cm="1" t="str">
        <f t="array" ref="L137:L137">OFFSET(M137,-1,-1)</f>
        <v>false</v>
      </c>
      <c r="S137" s="159" cm="1" t="str">
        <f t="array" ref="S137:S137">OFFSET(T137,-1,-1)</f>
        <v>false</v>
      </c>
      <c r="U137" s="819">
        <f>AND(S137,IF(ISBLANK(T137),TRUE,T137))</f>
        <v>0</v>
      </c>
      <c r="X137" s="973" t="str">
        <f>"{                  
         funcDyn: 'msg1',
         blok: '',
         wsCross: '',
         linkFormula: '',
         levelDyn: "&amp;Y28&amp;"
}"</f>
        <v>{                  
         funcDyn: 'msg1',
         blok: '',
         wsCross: '',
         linkFormula: '',
         levelDyn: 0
}</v>
      </c>
      <c r="AB137" s="1839"/>
      <c r="AD137" s="1805"/>
      <c r="AE137" s="975" t="s">
        <v>236</v>
      </c>
      <c r="AF137" s="1807"/>
      <c r="AG137" s="1821"/>
      <c r="AH137" s="1849"/>
      <c r="AI137" s="1850"/>
      <c r="AJ137" s="1850"/>
      <c r="AK137" s="1850"/>
      <c r="AL137" s="1850"/>
      <c r="AM137" s="1850"/>
      <c r="AN137" s="1850"/>
      <c r="AO137" s="1850"/>
      <c r="AP137" s="1850"/>
      <c r="AQ137" s="1850"/>
      <c r="AR137" s="1850"/>
      <c r="AS137" s="1850"/>
      <c r="AT137" s="1850"/>
      <c r="AU137" s="1850"/>
      <c r="AV137" s="1850"/>
      <c r="AW137" s="1850"/>
      <c r="AX137" s="1850"/>
      <c r="AY137" s="1850"/>
      <c r="AZ137" s="1850"/>
      <c r="BA137" s="1850"/>
      <c r="BB137" s="1850"/>
      <c r="BC137" s="1850"/>
      <c r="BD137" s="1850"/>
      <c r="BE137" s="1850"/>
      <c r="BF137" s="1850"/>
      <c r="BG137" s="1850"/>
      <c r="BH137" s="1850"/>
      <c r="BI137" s="1850"/>
      <c r="BJ137" s="1850"/>
      <c r="BK137" s="1850"/>
      <c r="BL137" s="1850"/>
      <c r="BM137" s="1850"/>
      <c r="BN137" s="1850"/>
      <c r="BO137" s="1850"/>
      <c r="BP137" s="1850"/>
      <c r="BQ137" s="1850"/>
      <c r="BR137" s="1850"/>
      <c r="BS137" s="1850"/>
      <c r="BT137" s="1850"/>
      <c r="BU137" s="1850"/>
      <c r="BV137" s="1850"/>
      <c r="BW137" s="1850"/>
      <c r="BX137" s="1850"/>
      <c r="BY137" s="1850"/>
      <c r="BZ137" s="1850"/>
      <c r="CA137" s="1850"/>
      <c r="CB137" s="1850"/>
      <c r="CC137" s="1850"/>
      <c r="CD137" s="1850"/>
      <c r="CE137" s="1850"/>
      <c r="CF137" s="1850"/>
      <c r="CG137" s="1850"/>
      <c r="CH137" s="1850"/>
      <c r="CI137" s="1850"/>
      <c r="CJ137" s="1850"/>
      <c r="CK137" s="1850"/>
      <c r="CL137" s="1850"/>
      <c r="CM137" s="1850"/>
      <c r="CN137" s="1850"/>
      <c r="CO137" s="1850"/>
      <c r="CP137" s="1850"/>
      <c r="CQ137" s="1850"/>
      <c r="CR137" s="1850"/>
      <c r="CS137" s="1850"/>
      <c r="CT137" s="91"/>
      <c r="CW137" s="1173" t="str">
        <f>IF(AND(ISNUMBER(VALUE(TRIM(SUBSTITUTE(AD137,".","")))),TRIM(SUBSTITUTE(AD137,".",""))&lt;&gt;""),"P"&amp;SUBSTITUTE(AD137,".",""),"")</f>
        <v/>
      </c>
    </row>
    <row customHeight="1" ht="16.672500000000003" hidden="1">
      <c r="E138" s="797">
        <v>17.1</v>
      </c>
      <c r="F138" s="922" cm="1" t="str">
        <f t="array" ref="F138:F138">OFFSET(G138,-1,-1)</f>
        <v>0</v>
      </c>
      <c r="L138" s="922" cm="1" t="str">
        <f t="array" ref="L138:L138">OFFSET(M138,-1,-1)</f>
        <v>false</v>
      </c>
      <c r="S138" s="159" cm="1" t="str">
        <f t="array" ref="S138:S138">OFFSET(T138,-1,-1)</f>
        <v>false</v>
      </c>
      <c r="U138" s="819">
        <f>AND(S138,IF(ISBLANK(T138),TRUE,T138))</f>
        <v>0</v>
      </c>
      <c r="AB138" s="1851"/>
      <c r="AC138" s="1852"/>
      <c r="AD138" s="173" t="s">
        <v>898</v>
      </c>
      <c r="AE138" s="1497" t="s">
        <v>899</v>
      </c>
      <c r="AF138" s="1826"/>
      <c r="AG138" s="859" t="s">
        <v>900</v>
      </c>
      <c r="AH138" s="860">
        <f>_xlfn.IFERROR(AH126/AH44*1000,0)</f>
        <v>0</v>
      </c>
      <c r="AI138" s="860">
        <f>_xlfn.IFERROR(AI126/AI44*1000,0)</f>
        <v>0</v>
      </c>
      <c r="AJ138" s="860">
        <f>_xlfn.IFERROR(AJ126/AJ44*1000,0)</f>
        <v>0</v>
      </c>
      <c r="AK138" s="860">
        <f>_xlfn.IFERROR(AK126/AK44*1000,0)</f>
        <v>0</v>
      </c>
      <c r="AL138" s="860">
        <f>_xlfn.IFERROR(AL126/AL44*1000,0)</f>
        <v>0</v>
      </c>
      <c r="AM138" s="860">
        <f>_xlfn.IFERROR(AM126/AM44*1000,0)</f>
        <v>0</v>
      </c>
      <c r="AN138" s="860">
        <f>_xlfn.IFERROR(AN126/AN44*1000,0)</f>
        <v>0</v>
      </c>
      <c r="AO138" s="860">
        <f>_xlfn.IFERROR(AO126/AO44*1000,0)</f>
        <v>0</v>
      </c>
      <c r="AP138" s="860">
        <f>_xlfn.IFERROR(AP126/AP44*1000,0)</f>
        <v>0</v>
      </c>
      <c r="AQ138" s="860">
        <f>_xlfn.IFERROR(AQ126/AQ44*1000,0)</f>
        <v>0</v>
      </c>
      <c r="AR138" s="860">
        <f>_xlfn.IFERROR(AR126/AR44*1000,0)</f>
        <v>0</v>
      </c>
      <c r="AS138" s="860">
        <f>_xlfn.IFERROR(AS126/AS44*1000,0)</f>
        <v>0</v>
      </c>
      <c r="AT138" s="860">
        <f>_xlfn.IFERROR(AT126/AT44*1000,0)</f>
        <v>0</v>
      </c>
      <c r="AU138" s="860">
        <f>_xlfn.IFERROR(AU126/AU44*1000,0)</f>
        <v>0</v>
      </c>
      <c r="AV138" s="860">
        <f>_xlfn.IFERROR(AV126/AV44*1000,0)</f>
        <v>0</v>
      </c>
      <c r="AW138" s="860">
        <f>_xlfn.IFERROR(AW126/AW44*1000,0)</f>
        <v>0</v>
      </c>
      <c r="AX138" s="860">
        <f>_xlfn.IFERROR(AX126/AX44*1000,0)</f>
        <v>0</v>
      </c>
      <c r="AY138" s="860">
        <f>_xlfn.IFERROR(AY126/AY44*1000,0)</f>
        <v>0</v>
      </c>
      <c r="AZ138" s="860">
        <f>_xlfn.IFERROR(AZ126/AZ44*1000,0)</f>
        <v>0</v>
      </c>
      <c r="BA138" s="860">
        <f>_xlfn.IFERROR(BA126/BA44*1000,0)</f>
        <v>0</v>
      </c>
      <c r="BB138" s="860">
        <f>_xlfn.IFERROR(BB126/BB44*1000,0)</f>
        <v>0</v>
      </c>
      <c r="BC138" s="860">
        <f>_xlfn.IFERROR(BC126/BC44*1000,0)</f>
        <v>0</v>
      </c>
      <c r="BD138" s="860">
        <f>_xlfn.IFERROR(BD126/BD44*1000,0)</f>
        <v>0</v>
      </c>
      <c r="BE138" s="860">
        <f>_xlfn.IFERROR(BE126/BE44*1000,0)</f>
        <v>0</v>
      </c>
      <c r="BF138" s="860">
        <f>_xlfn.IFERROR(BF126/BF44*1000,0)</f>
        <v>0</v>
      </c>
      <c r="BG138" s="860">
        <f>_xlfn.IFERROR(BG126/BG44*1000,0)</f>
        <v>0</v>
      </c>
      <c r="BH138" s="860">
        <f>_xlfn.IFERROR(BH126/BH44*1000,0)</f>
        <v>0</v>
      </c>
      <c r="BI138" s="860">
        <f>_xlfn.IFERROR(BI126/BI44*1000,0)</f>
        <v>0</v>
      </c>
      <c r="BJ138" s="860">
        <f>_xlfn.IFERROR(BJ126/BJ44*1000,0)</f>
        <v>0</v>
      </c>
      <c r="BK138" s="860">
        <f>_xlfn.IFERROR(BK126/BK44*1000,0)</f>
        <v>0</v>
      </c>
      <c r="BL138" s="860">
        <f>_xlfn.IFERROR(BL126/BL44*1000,0)</f>
        <v>0</v>
      </c>
      <c r="BM138" s="860">
        <f>_xlfn.IFERROR(BM126/BM44*1000,0)</f>
        <v>0</v>
      </c>
      <c r="BN138" s="860">
        <f>_xlfn.IFERROR(BN126/BN44*1000,0)</f>
        <v>0</v>
      </c>
      <c r="BO138" s="860">
        <f>_xlfn.IFERROR(BO126/BO44*1000,0)</f>
        <v>0</v>
      </c>
      <c r="BP138" s="860">
        <f>_xlfn.IFERROR(BP126/BP44*1000,0)</f>
        <v>0</v>
      </c>
      <c r="BQ138" s="860">
        <f>_xlfn.IFERROR(BQ126/BQ44*1000,0)</f>
        <v>0</v>
      </c>
      <c r="BR138" s="860">
        <f>_xlfn.IFERROR(BR126/BR44*1000,0)</f>
        <v>0</v>
      </c>
      <c r="BS138" s="860">
        <f>_xlfn.IFERROR(BS126/BS44*1000,0)</f>
        <v>0</v>
      </c>
      <c r="BT138" s="860">
        <f>_xlfn.IFERROR(BT126/BT44*1000,0)</f>
        <v>0</v>
      </c>
      <c r="BU138" s="860">
        <f>_xlfn.IFERROR(BU126/BU44*1000,0)</f>
        <v>0</v>
      </c>
      <c r="BV138" s="860">
        <f>_xlfn.IFERROR(BV126/BV44*1000,0)</f>
        <v>0</v>
      </c>
      <c r="BW138" s="860">
        <f>_xlfn.IFERROR(BW126/BW44*1000,0)</f>
        <v>0</v>
      </c>
      <c r="BX138" s="860">
        <f>_xlfn.IFERROR(BX126/BX44*1000,0)</f>
        <v>0</v>
      </c>
      <c r="BY138" s="860">
        <f>_xlfn.IFERROR(BY126/BY44*1000,0)</f>
        <v>0</v>
      </c>
      <c r="BZ138" s="860">
        <f>_xlfn.IFERROR(BZ126/BZ44*1000,0)</f>
        <v>0</v>
      </c>
      <c r="CA138" s="860">
        <f>_xlfn.IFERROR(CA126/CA44*1000,0)</f>
        <v>0</v>
      </c>
      <c r="CB138" s="860">
        <f>_xlfn.IFERROR(CB126/CB44*1000,0)</f>
        <v>0</v>
      </c>
      <c r="CC138" s="860">
        <f>_xlfn.IFERROR(CC126/CC44*1000,0)</f>
        <v>0</v>
      </c>
      <c r="CD138" s="860">
        <f>_xlfn.IFERROR(CD126/CD44*1000,0)</f>
        <v>0</v>
      </c>
      <c r="CE138" s="860">
        <f>_xlfn.IFERROR(CE126/CE44*1000,0)</f>
        <v>0</v>
      </c>
      <c r="CF138" s="860">
        <f>_xlfn.IFERROR(CF126/CF44*1000,0)</f>
        <v>0</v>
      </c>
      <c r="CG138" s="860">
        <f>_xlfn.IFERROR(CG126/CG44*1000,0)</f>
        <v>0</v>
      </c>
      <c r="CH138" s="860">
        <f>_xlfn.IFERROR(CH126/CH44*1000,0)</f>
        <v>0</v>
      </c>
      <c r="CI138" s="860">
        <f>_xlfn.IFERROR(CI126/CI44*1000,0)</f>
        <v>0</v>
      </c>
      <c r="CJ138" s="860">
        <f>_xlfn.IFERROR(CJ126/CJ44*1000,0)</f>
        <v>0</v>
      </c>
      <c r="CK138" s="860">
        <f>_xlfn.IFERROR(CK126/CK44*1000,0)</f>
        <v>0</v>
      </c>
      <c r="CL138" s="860">
        <f>_xlfn.IFERROR(CL126/CL44*1000,0)</f>
        <v>0</v>
      </c>
      <c r="CM138" s="860">
        <f>_xlfn.IFERROR(CM126/CM44*1000,0)</f>
        <v>0</v>
      </c>
      <c r="CN138" s="860">
        <f>_xlfn.IFERROR(CN126/CN44*1000,0)</f>
        <v>0</v>
      </c>
      <c r="CO138" s="860">
        <f>_xlfn.IFERROR(CO126/CO44*1000,0)</f>
        <v>0</v>
      </c>
      <c r="CP138" s="860">
        <f>_xlfn.IFERROR(CP126/CP44*1000,0)</f>
        <v>0</v>
      </c>
      <c r="CQ138" s="860">
        <f>_xlfn.IFERROR(CQ126/CQ44*1000,0)</f>
        <v>0</v>
      </c>
      <c r="CR138" s="860">
        <f>_xlfn.IFERROR(CR126/CR44*1000,0)</f>
        <v>0</v>
      </c>
      <c r="CS138" s="860">
        <f>_xlfn.IFERROR(CS126/CS44*1000,0)</f>
        <v>0</v>
      </c>
      <c r="CT138" s="73"/>
      <c r="CW138" s="1173" t="s">
        <v>901</v>
      </c>
    </row>
    <row s="1632" customFormat="1" customHeight="1" ht="16.5">
      <c r="A139" s="1443"/>
      <c r="B139" s="927"/>
      <c r="C139" s="1443"/>
      <c r="D139" s="1443"/>
      <c r="E139" s="797">
        <v>17.1</v>
      </c>
      <c r="F139" s="922" cm="1" t="str">
        <f t="array" ref="F139:F139">Y139</f>
        <v>1</v>
      </c>
      <c r="G139" s="213" cm="1" t="str">
        <f t="array" ref="G139:G139">INDEX('Общие сведения'!$AE$169:$AE$202,MATCH($F139,'Общие сведения'!$Z$169:$Z$202,0))</f>
        <v>Теплоснабжение</v>
      </c>
      <c r="H139" s="213" cm="1" t="str">
        <f t="array" ref="H139:H139">INDEX('Общие сведения'!$AK$169:$AK$202,MATCH($F139,'Общие сведения'!$Z$169:$Z$202,0))</f>
        <v>одноставочный</v>
      </c>
      <c r="I139" s="213" cm="1" t="str">
        <f t="array" ref="I139:I139">INDEX('Общие сведения'!$AH$169:$AH$202,MATCH($F139,'Общие сведения'!$Z$169:$Z$202,0))</f>
        <v>0</v>
      </c>
      <c r="J139" s="213" cm="1" t="str">
        <f t="array" ref="J139:J139">INDEX('Общие сведения'!$AI$169:$AI$202,MATCH($F139,'Общие сведения'!$Z$169:$Z$202,0))</f>
        <v>вода</v>
      </c>
      <c r="K139" s="213" cm="1" t="str">
        <f t="array" ref="K139:K139">INDEX('Общие сведения'!$AJ$169:$AJ$202,MATCH($F139,'Общие сведения'!$Z$169:$Z$202,0))</f>
        <v>Не определено</v>
      </c>
      <c r="L139" s="214" cm="1" t="str">
        <f t="array" ref="L139:L139">INDEX('Общие сведения'!$AN$169:$AN$202,MATCH($F139,'Общие сведения'!$Z$169:$Z$202,0))</f>
        <v>false</v>
      </c>
      <c r="M139" s="965"/>
      <c r="N139" s="965"/>
      <c r="O139" s="965"/>
      <c r="P139" s="965"/>
      <c r="Q139" s="965"/>
      <c r="R139" s="1443"/>
      <c r="S139" s="159">
        <f>Y139&gt;0</f>
        <v>1</v>
      </c>
      <c r="T139" s="1443"/>
      <c r="U139" s="819">
        <f>AND(S139,IF(ISBLANK(T139),TRUE,T139))</f>
        <v>1</v>
      </c>
      <c r="V139" s="1443"/>
      <c r="W139" s="175" cm="1" t="str">
        <f t="array" ref="W139:W139">'Баланс Тр'!$AB$35</f>
        <v>Тариф 1 (Теплоснабжение) - Тариф на тепловую энергию (мощность), поставляемую потребителям (Не определено)</v>
      </c>
      <c r="X139" s="1443"/>
      <c r="Y139" s="1521" t="s">
        <v>336</v>
      </c>
      <c r="Z139" s="1443"/>
      <c r="AA139" s="820"/>
      <c r="AB139" s="17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64"/>
      <c r="AD139" s="1765"/>
      <c r="AE139" s="1766"/>
      <c r="AF139" s="1766"/>
      <c r="AG139" s="1766"/>
      <c r="AH139" s="1766"/>
      <c r="AI139" s="1766"/>
      <c r="AJ139" s="1766"/>
      <c r="AK139" s="1766"/>
      <c r="AL139" s="1766"/>
      <c r="AM139" s="1766"/>
      <c r="AN139" s="1766"/>
      <c r="AO139" s="1766"/>
      <c r="AP139" s="1766"/>
      <c r="AQ139" s="1766"/>
      <c r="AR139" s="1766"/>
      <c r="AS139" s="1766"/>
      <c r="AT139" s="1766"/>
      <c r="AU139" s="1766"/>
      <c r="AV139" s="1766"/>
      <c r="AW139" s="1766"/>
      <c r="AX139" s="1766"/>
      <c r="AY139" s="1766"/>
      <c r="AZ139" s="1766"/>
      <c r="BA139" s="1766"/>
      <c r="BB139" s="1766"/>
      <c r="BC139" s="1766"/>
      <c r="BD139" s="1766"/>
      <c r="BE139" s="1766"/>
      <c r="BF139" s="1766"/>
      <c r="BG139" s="1766"/>
      <c r="BH139" s="1766"/>
      <c r="BI139" s="1766"/>
      <c r="BJ139" s="1766"/>
      <c r="BK139" s="1766"/>
      <c r="BL139" s="1766"/>
      <c r="BM139" s="1766"/>
      <c r="BN139" s="1766"/>
      <c r="BO139" s="1766"/>
      <c r="BP139" s="1766"/>
      <c r="BQ139" s="1766"/>
      <c r="BR139" s="1766"/>
      <c r="BS139" s="1766"/>
      <c r="BT139" s="1766"/>
      <c r="BU139" s="1766"/>
      <c r="BV139" s="1766"/>
      <c r="BW139" s="1766"/>
      <c r="BX139" s="1766"/>
      <c r="BY139" s="1766"/>
      <c r="BZ139" s="1766"/>
      <c r="CA139" s="1766"/>
      <c r="CB139" s="1766"/>
      <c r="CC139" s="1766"/>
      <c r="CD139" s="1767"/>
      <c r="CE139" s="1767"/>
      <c r="CF139" s="1766"/>
      <c r="CG139" s="1766"/>
      <c r="CH139" s="1766"/>
      <c r="CI139" s="1766"/>
      <c r="CJ139" s="1766"/>
      <c r="CK139" s="1766"/>
      <c r="CL139" s="1766"/>
      <c r="CM139" s="1766"/>
      <c r="CN139" s="1766"/>
      <c r="CO139" s="1766"/>
      <c r="CP139" s="1766"/>
      <c r="CQ139" s="1766"/>
      <c r="CR139" s="1766"/>
      <c r="CS139" s="1766"/>
      <c r="CT139" s="1766"/>
      <c r="CU139" s="0"/>
      <c r="CV139" s="1632"/>
      <c r="CW139" s="1173" t="str">
        <f>IF(AND(ISNUMBER(VALUE(TRIM(SUBSTITUTE(AD139,".","")))),TRIM(SUBSTITUTE(AD139,".",""))&lt;&gt;""),"P"&amp;SUBSTITUTE(AD139,".",""),"")</f>
        <v/>
      </c>
      <c r="CX139" s="1178"/>
      <c r="CY139" s="1178"/>
      <c r="CZ139" s="1178"/>
      <c r="DA139" s="1179"/>
      <c r="DB139" s="1179"/>
    </row>
    <row s="1632" customFormat="1" customHeight="1" ht="16.5" hidden="1">
      <c r="A140" s="1443"/>
      <c r="B140" s="927"/>
      <c r="C140" s="1443"/>
      <c r="D140" s="1443"/>
      <c r="E140" s="797">
        <v>17.1</v>
      </c>
      <c r="F140" s="922" cm="1" t="str">
        <f t="array" ref="F140:F140">OFFSET(G140,-1,-1)</f>
        <v>1</v>
      </c>
      <c r="G140" s="965"/>
      <c r="H140" s="965"/>
      <c r="I140" s="965"/>
      <c r="J140" s="965"/>
      <c r="K140" s="965"/>
      <c r="L140" s="922" cm="1" t="str">
        <f t="array" ref="L140:L140">OFFSET(M140,-1,-1)</f>
        <v>false</v>
      </c>
      <c r="M140" s="965"/>
      <c r="N140" s="965"/>
      <c r="O140" s="965"/>
      <c r="P140" s="965"/>
      <c r="Q140" s="965"/>
      <c r="R140" s="922" t="s">
        <v>730</v>
      </c>
      <c r="S140" s="159" cm="1" t="str">
        <f t="array" ref="S140:S140">OFFSET(T140,-1,-1)</f>
        <v>true</v>
      </c>
      <c r="T140" s="159" cm="1" t="str">
        <f t="array" ref="T140:T140">L140</f>
        <v>false</v>
      </c>
      <c r="U140" s="819">
        <f>AND(S140,IF(ISBLANK(T140),TRUE,T140))</f>
        <v>0</v>
      </c>
      <c r="V140" s="1443"/>
      <c r="W140" s="1443"/>
      <c r="X140" s="1443"/>
      <c r="Y140" s="1443"/>
      <c r="Z140" s="1443"/>
      <c r="AA140" s="820"/>
      <c r="AB140" s="1522" t="s">
        <v>731</v>
      </c>
      <c r="AC140" s="0"/>
      <c r="AD140" s="160">
        <v>1</v>
      </c>
      <c r="AE140" s="1498" t="s">
        <v>732</v>
      </c>
      <c r="AF140" s="168"/>
      <c r="AG140" s="160" t="s">
        <v>733</v>
      </c>
      <c r="AH140" s="86"/>
      <c r="AI140" s="87"/>
      <c r="AJ140" s="87"/>
      <c r="AK140" s="87"/>
      <c r="AL140" s="862">
        <f>AM140+AN140</f>
        <v>0</v>
      </c>
      <c r="AM140" s="87"/>
      <c r="AN140" s="87"/>
      <c r="AO140" s="862">
        <f>AP140+AQ140</f>
        <v>0</v>
      </c>
      <c r="AP140" s="87"/>
      <c r="AQ140" s="87"/>
      <c r="AR140" s="862">
        <f>AS140+AT140</f>
        <v>0</v>
      </c>
      <c r="AS140" s="87"/>
      <c r="AT140" s="87"/>
      <c r="AU140" s="862">
        <f>AV140+AW140</f>
        <v>0</v>
      </c>
      <c r="AV140" s="87"/>
      <c r="AW140" s="87"/>
      <c r="AX140" s="862">
        <f>AY140+AZ140</f>
        <v>0</v>
      </c>
      <c r="AY140" s="87"/>
      <c r="AZ140" s="87"/>
      <c r="BA140" s="862">
        <f>BB140+BC140</f>
        <v>0</v>
      </c>
      <c r="BB140" s="87"/>
      <c r="BC140" s="87"/>
      <c r="BD140" s="862">
        <f>BE140+BF140</f>
        <v>0</v>
      </c>
      <c r="BE140" s="87"/>
      <c r="BF140" s="87"/>
      <c r="BG140" s="862">
        <f>BH140+BI140</f>
        <v>0</v>
      </c>
      <c r="BH140" s="87"/>
      <c r="BI140" s="87"/>
      <c r="BJ140" s="862">
        <f>BK140+BL140</f>
        <v>0</v>
      </c>
      <c r="BK140" s="87"/>
      <c r="BL140" s="87"/>
      <c r="BM140" s="862">
        <f>BN140+BO140</f>
        <v>0</v>
      </c>
      <c r="BN140" s="87"/>
      <c r="BO140" s="87"/>
      <c r="BP140" s="862">
        <f>BQ140+BR140</f>
        <v>0</v>
      </c>
      <c r="BQ140" s="1772"/>
      <c r="BR140" s="1772"/>
      <c r="BS140" s="862">
        <f>BT140+BU140</f>
        <v>0</v>
      </c>
      <c r="BT140" s="87"/>
      <c r="BU140" s="87"/>
      <c r="BV140" s="862">
        <f>BW140+BX140</f>
        <v>0</v>
      </c>
      <c r="BW140" s="87"/>
      <c r="BX140" s="87"/>
      <c r="BY140" s="862">
        <f>BZ140+CA140</f>
        <v>0</v>
      </c>
      <c r="BZ140" s="87"/>
      <c r="CA140" s="87"/>
      <c r="CB140" s="862">
        <f>CC140+CD140</f>
        <v>0</v>
      </c>
      <c r="CC140" s="87"/>
      <c r="CD140" s="87"/>
      <c r="CE140" s="862">
        <f>CF140+CG140</f>
        <v>0</v>
      </c>
      <c r="CF140" s="87"/>
      <c r="CG140" s="87"/>
      <c r="CH140" s="862">
        <f>CI140+CJ140</f>
        <v>0</v>
      </c>
      <c r="CI140" s="87"/>
      <c r="CJ140" s="87"/>
      <c r="CK140" s="862">
        <f>CL140+CM140</f>
        <v>0</v>
      </c>
      <c r="CL140" s="87"/>
      <c r="CM140" s="87"/>
      <c r="CN140" s="862">
        <f>CO140+CP140</f>
        <v>0</v>
      </c>
      <c r="CO140" s="87"/>
      <c r="CP140" s="87"/>
      <c r="CQ140" s="862">
        <f>CR140+CS140</f>
        <v>0</v>
      </c>
      <c r="CR140" s="87"/>
      <c r="CS140" s="87"/>
      <c r="CT140" s="73"/>
      <c r="CU140" s="0"/>
      <c r="CV140" s="1632"/>
      <c r="CW140" s="1173" t="s">
        <v>734</v>
      </c>
      <c r="CX140" s="1178"/>
      <c r="CY140" s="1178"/>
      <c r="CZ140" s="1178"/>
      <c r="DA140" s="1179"/>
      <c r="DB140" s="1179"/>
    </row>
    <row s="1632" customFormat="1" customHeight="1" ht="16.5" hidden="1">
      <c r="A141" s="1443"/>
      <c r="B141" s="927"/>
      <c r="C141" s="1443"/>
      <c r="D141" s="1443"/>
      <c r="E141" s="797">
        <v>17.1</v>
      </c>
      <c r="F141" s="922" cm="1" t="str">
        <f t="array" ref="F141:F141">OFFSET(G141,-1,-1)</f>
        <v>1</v>
      </c>
      <c r="G141" s="965"/>
      <c r="H141" s="965"/>
      <c r="I141" s="965"/>
      <c r="J141" s="965"/>
      <c r="K141" s="965"/>
      <c r="L141" s="922" cm="1" t="str">
        <f t="array" ref="L141:L141">OFFSET(M141,-1,-1)</f>
        <v>false</v>
      </c>
      <c r="M141" s="965"/>
      <c r="N141" s="965"/>
      <c r="O141" s="965"/>
      <c r="P141" s="965"/>
      <c r="Q141" s="965"/>
      <c r="R141" s="922" t="s">
        <v>730</v>
      </c>
      <c r="S141" s="159" cm="1" t="str">
        <f t="array" ref="S141:S141">OFFSET(T141,-1,-1)</f>
        <v>true</v>
      </c>
      <c r="T141" s="159" cm="1" t="str">
        <f t="array" ref="T141:T141">T140</f>
        <v>false</v>
      </c>
      <c r="U141" s="819">
        <f>AND(S141,IF(ISBLANK(T141),TRUE,T141))</f>
        <v>0</v>
      </c>
      <c r="V141" s="1443"/>
      <c r="W141" s="1443"/>
      <c r="X141" s="1443"/>
      <c r="Y141" s="1443"/>
      <c r="Z141" s="1443"/>
      <c r="AA141" s="820"/>
      <c r="AB141" s="1523"/>
      <c r="AC141" s="0"/>
      <c r="AD141" s="160">
        <v>2</v>
      </c>
      <c r="AE141" s="1498" t="s">
        <v>735</v>
      </c>
      <c r="AF141" s="168"/>
      <c r="AG141" s="160" t="s">
        <v>733</v>
      </c>
      <c r="AH141" s="860">
        <f>AH142+AH144</f>
        <v>0</v>
      </c>
      <c r="AI141" s="862">
        <f>AI142+AI144</f>
        <v>0</v>
      </c>
      <c r="AJ141" s="862">
        <f>AJ142+AJ144</f>
        <v>0</v>
      </c>
      <c r="AK141" s="862">
        <f>AK142+AK144</f>
        <v>0</v>
      </c>
      <c r="AL141" s="862">
        <f>AL142+AL144</f>
        <v>0</v>
      </c>
      <c r="AM141" s="862">
        <f>AM142+AM144</f>
        <v>0</v>
      </c>
      <c r="AN141" s="862">
        <f>AN142+AN144</f>
        <v>0</v>
      </c>
      <c r="AO141" s="862">
        <f>AO142+AO144</f>
        <v>0</v>
      </c>
      <c r="AP141" s="862">
        <f>AP142+AP144</f>
        <v>0</v>
      </c>
      <c r="AQ141" s="862">
        <f>AQ142+AQ144</f>
        <v>0</v>
      </c>
      <c r="AR141" s="862">
        <f>AR142+AR144</f>
        <v>0</v>
      </c>
      <c r="AS141" s="862">
        <f>AS142+AS144</f>
        <v>0</v>
      </c>
      <c r="AT141" s="862">
        <f>AT142+AT144</f>
        <v>0</v>
      </c>
      <c r="AU141" s="862">
        <f>AU142+AU144</f>
        <v>0</v>
      </c>
      <c r="AV141" s="862">
        <f>AV142+AV144</f>
        <v>0</v>
      </c>
      <c r="AW141" s="862">
        <f>AW142+AW144</f>
        <v>0</v>
      </c>
      <c r="AX141" s="862">
        <f>AX142+AX144</f>
        <v>0</v>
      </c>
      <c r="AY141" s="862">
        <f>AY142+AY144</f>
        <v>0</v>
      </c>
      <c r="AZ141" s="862">
        <f>AZ142+AZ144</f>
        <v>0</v>
      </c>
      <c r="BA141" s="862">
        <f>BA142+BA144</f>
        <v>0</v>
      </c>
      <c r="BB141" s="862">
        <f>BB142+BB144</f>
        <v>0</v>
      </c>
      <c r="BC141" s="862">
        <f>BC142+BC144</f>
        <v>0</v>
      </c>
      <c r="BD141" s="862">
        <f>BD142+BD144</f>
        <v>0</v>
      </c>
      <c r="BE141" s="862">
        <f>BE142+BE144</f>
        <v>0</v>
      </c>
      <c r="BF141" s="862">
        <f>BF142+BF144</f>
        <v>0</v>
      </c>
      <c r="BG141" s="862">
        <f>BG142+BG144</f>
        <v>0</v>
      </c>
      <c r="BH141" s="862">
        <f>BH142+BH144</f>
        <v>0</v>
      </c>
      <c r="BI141" s="862">
        <f>BI142+BI144</f>
        <v>0</v>
      </c>
      <c r="BJ141" s="862">
        <f>BJ142+BJ144</f>
        <v>0</v>
      </c>
      <c r="BK141" s="862">
        <f>BK142+BK144</f>
        <v>0</v>
      </c>
      <c r="BL141" s="862">
        <f>BL142+BL144</f>
        <v>0</v>
      </c>
      <c r="BM141" s="862">
        <f>BM142+BM144</f>
        <v>0</v>
      </c>
      <c r="BN141" s="862">
        <f>BN142+BN144</f>
        <v>0</v>
      </c>
      <c r="BO141" s="862">
        <f>BO142+BO144</f>
        <v>0</v>
      </c>
      <c r="BP141" s="862">
        <f>BP142+BP144</f>
        <v>0</v>
      </c>
      <c r="BQ141" s="862">
        <f>BQ142+BQ144</f>
        <v>0</v>
      </c>
      <c r="BR141" s="862">
        <f>BR142+BR144</f>
        <v>0</v>
      </c>
      <c r="BS141" s="862">
        <f>BS142+BS144</f>
        <v>0</v>
      </c>
      <c r="BT141" s="862">
        <f>BT142+BT144</f>
        <v>0</v>
      </c>
      <c r="BU141" s="862">
        <f>BU142+BU144</f>
        <v>0</v>
      </c>
      <c r="BV141" s="862">
        <f>BV142+BV144</f>
        <v>0</v>
      </c>
      <c r="BW141" s="862">
        <f>BW142+BW144</f>
        <v>0</v>
      </c>
      <c r="BX141" s="862">
        <f>BX142+BX144</f>
        <v>0</v>
      </c>
      <c r="BY141" s="862">
        <f>BY142+BY144</f>
        <v>0</v>
      </c>
      <c r="BZ141" s="862">
        <f>BZ142+BZ144</f>
        <v>0</v>
      </c>
      <c r="CA141" s="862">
        <f>CA142+CA144</f>
        <v>0</v>
      </c>
      <c r="CB141" s="862">
        <f>CB142+CB144</f>
        <v>0</v>
      </c>
      <c r="CC141" s="862">
        <f>CC142+CC144</f>
        <v>0</v>
      </c>
      <c r="CD141" s="862">
        <f>CD142+CD144</f>
        <v>0</v>
      </c>
      <c r="CE141" s="862">
        <f>CE142+CE144</f>
        <v>0</v>
      </c>
      <c r="CF141" s="862">
        <f>CF142+CF144</f>
        <v>0</v>
      </c>
      <c r="CG141" s="862">
        <f>CG142+CG144</f>
        <v>0</v>
      </c>
      <c r="CH141" s="862">
        <f>CH142+CH144</f>
        <v>0</v>
      </c>
      <c r="CI141" s="862">
        <f>CI142+CI144</f>
        <v>0</v>
      </c>
      <c r="CJ141" s="862">
        <f>CJ142+CJ144</f>
        <v>0</v>
      </c>
      <c r="CK141" s="862">
        <f>CK142+CK144</f>
        <v>0</v>
      </c>
      <c r="CL141" s="862">
        <f>CL142+CL144</f>
        <v>0</v>
      </c>
      <c r="CM141" s="862">
        <f>CM142+CM144</f>
        <v>0</v>
      </c>
      <c r="CN141" s="862">
        <f>CN142+CN144</f>
        <v>0</v>
      </c>
      <c r="CO141" s="862">
        <f>CO142+CO144</f>
        <v>0</v>
      </c>
      <c r="CP141" s="862">
        <f>CP142+CP144</f>
        <v>0</v>
      </c>
      <c r="CQ141" s="862">
        <f>CQ142+CQ144</f>
        <v>0</v>
      </c>
      <c r="CR141" s="862">
        <f>CR142+CR144</f>
        <v>0</v>
      </c>
      <c r="CS141" s="862">
        <f>CS142+CS144</f>
        <v>0</v>
      </c>
      <c r="CT141" s="73"/>
      <c r="CU141" s="0"/>
      <c r="CV141" s="1632"/>
      <c r="CW141" s="1173" t="s">
        <v>736</v>
      </c>
      <c r="CX141" s="1178"/>
      <c r="CY141" s="1178"/>
      <c r="CZ141" s="1178"/>
      <c r="DA141" s="1179"/>
      <c r="DB141" s="1179"/>
    </row>
    <row s="1632" customFormat="1" customHeight="1" ht="16.5" hidden="1">
      <c r="A142" s="1443"/>
      <c r="B142" s="927"/>
      <c r="C142" s="1443"/>
      <c r="D142" s="1443"/>
      <c r="E142" s="797">
        <v>17.1</v>
      </c>
      <c r="F142" s="922" cm="1" t="str">
        <f t="array" ref="F142:F142">OFFSET(G142,-1,-1)</f>
        <v>1</v>
      </c>
      <c r="G142" s="965"/>
      <c r="H142" s="965"/>
      <c r="I142" s="965"/>
      <c r="J142" s="965"/>
      <c r="K142" s="965"/>
      <c r="L142" s="922" cm="1" t="str">
        <f t="array" ref="L142:L142">OFFSET(M142,-1,-1)</f>
        <v>false</v>
      </c>
      <c r="M142" s="965"/>
      <c r="N142" s="965"/>
      <c r="O142" s="965"/>
      <c r="P142" s="965"/>
      <c r="Q142" s="965"/>
      <c r="R142" s="922" t="s">
        <v>730</v>
      </c>
      <c r="S142" s="159" cm="1" t="str">
        <f t="array" ref="S142:S142">OFFSET(T142,-1,-1)</f>
        <v>true</v>
      </c>
      <c r="T142" s="159" cm="1" t="str">
        <f t="array" ref="T142:T142">T141</f>
        <v>false</v>
      </c>
      <c r="U142" s="819">
        <f>AND(S142,IF(ISBLANK(T142),TRUE,T142))</f>
        <v>0</v>
      </c>
      <c r="V142" s="1443"/>
      <c r="W142" s="1443"/>
      <c r="X142" s="1443"/>
      <c r="Y142" s="1443"/>
      <c r="Z142" s="1443"/>
      <c r="AA142" s="820"/>
      <c r="AB142" s="1523"/>
      <c r="AC142" s="0"/>
      <c r="AD142" s="160" t="s">
        <v>456</v>
      </c>
      <c r="AE142" s="1510" t="s">
        <v>737</v>
      </c>
      <c r="AF142" s="165"/>
      <c r="AG142" s="160" t="s">
        <v>733</v>
      </c>
      <c r="AH142" s="86"/>
      <c r="AI142" s="87"/>
      <c r="AJ142" s="87"/>
      <c r="AK142" s="87"/>
      <c r="AL142" s="862">
        <f>AM142+AN142</f>
        <v>0</v>
      </c>
      <c r="AM142" s="87"/>
      <c r="AN142" s="87"/>
      <c r="AO142" s="862">
        <f>AP142+AQ142</f>
        <v>0</v>
      </c>
      <c r="AP142" s="87"/>
      <c r="AQ142" s="87"/>
      <c r="AR142" s="862">
        <f>AS142+AT142</f>
        <v>0</v>
      </c>
      <c r="AS142" s="87"/>
      <c r="AT142" s="87"/>
      <c r="AU142" s="862">
        <f>AV142+AW142</f>
        <v>0</v>
      </c>
      <c r="AV142" s="87"/>
      <c r="AW142" s="87"/>
      <c r="AX142" s="862">
        <f>AY142+AZ142</f>
        <v>0</v>
      </c>
      <c r="AY142" s="87"/>
      <c r="AZ142" s="87"/>
      <c r="BA142" s="862">
        <f>BB142+BC142</f>
        <v>0</v>
      </c>
      <c r="BB142" s="87"/>
      <c r="BC142" s="87"/>
      <c r="BD142" s="862">
        <f>BE142+BF142</f>
        <v>0</v>
      </c>
      <c r="BE142" s="87"/>
      <c r="BF142" s="87"/>
      <c r="BG142" s="862">
        <f>BH142+BI142</f>
        <v>0</v>
      </c>
      <c r="BH142" s="87"/>
      <c r="BI142" s="87"/>
      <c r="BJ142" s="862">
        <f>BK142+BL142</f>
        <v>0</v>
      </c>
      <c r="BK142" s="87"/>
      <c r="BL142" s="87"/>
      <c r="BM142" s="862">
        <f>BN142+BO142</f>
        <v>0</v>
      </c>
      <c r="BN142" s="87"/>
      <c r="BO142" s="87"/>
      <c r="BP142" s="862">
        <f>BQ142+BR142</f>
        <v>0</v>
      </c>
      <c r="BQ142" s="1772"/>
      <c r="BR142" s="1772"/>
      <c r="BS142" s="862">
        <f>BT142+BU142</f>
        <v>0</v>
      </c>
      <c r="BT142" s="87"/>
      <c r="BU142" s="87"/>
      <c r="BV142" s="862">
        <f>BW142+BX142</f>
        <v>0</v>
      </c>
      <c r="BW142" s="87"/>
      <c r="BX142" s="87"/>
      <c r="BY142" s="862">
        <f>BZ142+CA142</f>
        <v>0</v>
      </c>
      <c r="BZ142" s="87"/>
      <c r="CA142" s="87"/>
      <c r="CB142" s="862">
        <f>CC142+CD142</f>
        <v>0</v>
      </c>
      <c r="CC142" s="87"/>
      <c r="CD142" s="87"/>
      <c r="CE142" s="862">
        <f>CF142+CG142</f>
        <v>0</v>
      </c>
      <c r="CF142" s="87"/>
      <c r="CG142" s="87"/>
      <c r="CH142" s="862">
        <f>CI142+CJ142</f>
        <v>0</v>
      </c>
      <c r="CI142" s="87"/>
      <c r="CJ142" s="87"/>
      <c r="CK142" s="862">
        <f>CL142+CM142</f>
        <v>0</v>
      </c>
      <c r="CL142" s="87"/>
      <c r="CM142" s="87"/>
      <c r="CN142" s="862">
        <f>CO142+CP142</f>
        <v>0</v>
      </c>
      <c r="CO142" s="87"/>
      <c r="CP142" s="87"/>
      <c r="CQ142" s="862">
        <f>CR142+CS142</f>
        <v>0</v>
      </c>
      <c r="CR142" s="87"/>
      <c r="CS142" s="87"/>
      <c r="CT142" s="73"/>
      <c r="CU142" s="0"/>
      <c r="CV142" s="1632"/>
      <c r="CW142" s="1173" t="s">
        <v>738</v>
      </c>
      <c r="CX142" s="1178"/>
      <c r="CY142" s="1178"/>
      <c r="CZ142" s="1178"/>
      <c r="DA142" s="1179"/>
      <c r="DB142" s="1179"/>
    </row>
    <row s="1632" customFormat="1" customHeight="1" ht="16.5" hidden="1">
      <c r="A143" s="1443"/>
      <c r="B143" s="927"/>
      <c r="C143" s="1443"/>
      <c r="D143" s="1443"/>
      <c r="E143" s="797">
        <v>17.1</v>
      </c>
      <c r="F143" s="922" cm="1" t="str">
        <f t="array" ref="F143:F143">OFFSET(G143,-1,-1)</f>
        <v>1</v>
      </c>
      <c r="G143" s="965"/>
      <c r="H143" s="965"/>
      <c r="I143" s="965"/>
      <c r="J143" s="965"/>
      <c r="K143" s="965"/>
      <c r="L143" s="922" cm="1" t="str">
        <f t="array" ref="L143:L143">OFFSET(M143,-1,-1)</f>
        <v>false</v>
      </c>
      <c r="M143" s="965"/>
      <c r="N143" s="965"/>
      <c r="O143" s="965"/>
      <c r="P143" s="965"/>
      <c r="Q143" s="965"/>
      <c r="R143" s="922" t="s">
        <v>730</v>
      </c>
      <c r="S143" s="159" cm="1" t="str">
        <f t="array" ref="S143:S143">OFFSET(T143,-1,-1)</f>
        <v>true</v>
      </c>
      <c r="T143" s="159" cm="1" t="str">
        <f t="array" ref="T143:T143">T142</f>
        <v>false</v>
      </c>
      <c r="U143" s="819">
        <f>AND(S143,IF(ISBLANK(T143),TRUE,T143))</f>
        <v>0</v>
      </c>
      <c r="V143" s="1443"/>
      <c r="W143" s="1443"/>
      <c r="X143" s="1443"/>
      <c r="Y143" s="1443"/>
      <c r="Z143" s="1443"/>
      <c r="AA143" s="820"/>
      <c r="AB143" s="1523"/>
      <c r="AC143" s="0"/>
      <c r="AD143" s="160" t="s">
        <v>459</v>
      </c>
      <c r="AE143" s="1515" t="s">
        <v>739</v>
      </c>
      <c r="AF143" s="166"/>
      <c r="AG143" s="160" t="s">
        <v>498</v>
      </c>
      <c r="AH143" s="866">
        <f>_xlfn.IFERROR(AH142/AH140,0)</f>
        <v>0</v>
      </c>
      <c r="AI143" s="867">
        <f>_xlfn.IFERROR(AI142/AI140,0)</f>
        <v>0</v>
      </c>
      <c r="AJ143" s="867">
        <f>_xlfn.IFERROR(AJ142/AJ140,0)</f>
        <v>0</v>
      </c>
      <c r="AK143" s="867">
        <f>_xlfn.IFERROR(AK142/AK140,0)</f>
        <v>0</v>
      </c>
      <c r="AL143" s="867">
        <f>_xlfn.IFERROR(AL142/AL140,0)</f>
        <v>0</v>
      </c>
      <c r="AM143" s="867">
        <f>_xlfn.IFERROR(AM142/AM140,0)</f>
        <v>0</v>
      </c>
      <c r="AN143" s="867">
        <f>_xlfn.IFERROR(AN142/AN140,0)</f>
        <v>0</v>
      </c>
      <c r="AO143" s="867">
        <f>_xlfn.IFERROR(AO142/AO140,0)</f>
        <v>0</v>
      </c>
      <c r="AP143" s="867">
        <f>_xlfn.IFERROR(AP142/AP140,0)</f>
        <v>0</v>
      </c>
      <c r="AQ143" s="867">
        <f>_xlfn.IFERROR(AQ142/AQ140,0)</f>
        <v>0</v>
      </c>
      <c r="AR143" s="867">
        <f>_xlfn.IFERROR(AR142/AR140,0)</f>
        <v>0</v>
      </c>
      <c r="AS143" s="867">
        <f>_xlfn.IFERROR(AS142/AS140,0)</f>
        <v>0</v>
      </c>
      <c r="AT143" s="867">
        <f>_xlfn.IFERROR(AT142/AT140,0)</f>
        <v>0</v>
      </c>
      <c r="AU143" s="867">
        <f>_xlfn.IFERROR(AU142/AU140,0)</f>
        <v>0</v>
      </c>
      <c r="AV143" s="867">
        <f>_xlfn.IFERROR(AV142/AV140,0)</f>
        <v>0</v>
      </c>
      <c r="AW143" s="867">
        <f>_xlfn.IFERROR(AW142/AW140,0)</f>
        <v>0</v>
      </c>
      <c r="AX143" s="867">
        <f>_xlfn.IFERROR(AX142/AX140,0)</f>
        <v>0</v>
      </c>
      <c r="AY143" s="867">
        <f>_xlfn.IFERROR(AY142/AY140,0)</f>
        <v>0</v>
      </c>
      <c r="AZ143" s="867">
        <f>_xlfn.IFERROR(AZ142/AZ140,0)</f>
        <v>0</v>
      </c>
      <c r="BA143" s="867">
        <f>_xlfn.IFERROR(BA142/BA140,0)</f>
        <v>0</v>
      </c>
      <c r="BB143" s="867">
        <f>_xlfn.IFERROR(BB142/BB140,0)</f>
        <v>0</v>
      </c>
      <c r="BC143" s="867">
        <f>_xlfn.IFERROR(BC142/BC140,0)</f>
        <v>0</v>
      </c>
      <c r="BD143" s="867">
        <f>_xlfn.IFERROR(BD142/BD140,0)</f>
        <v>0</v>
      </c>
      <c r="BE143" s="867">
        <f>_xlfn.IFERROR(BE142/BE140,0)</f>
        <v>0</v>
      </c>
      <c r="BF143" s="867">
        <f>_xlfn.IFERROR(BF142/BF140,0)</f>
        <v>0</v>
      </c>
      <c r="BG143" s="867">
        <f>_xlfn.IFERROR(BG142/BG140,0)</f>
        <v>0</v>
      </c>
      <c r="BH143" s="867">
        <f>_xlfn.IFERROR(BH142/BH140,0)</f>
        <v>0</v>
      </c>
      <c r="BI143" s="867">
        <f>_xlfn.IFERROR(BI142/BI140,0)</f>
        <v>0</v>
      </c>
      <c r="BJ143" s="867">
        <f>_xlfn.IFERROR(BJ142/BJ140,0)</f>
        <v>0</v>
      </c>
      <c r="BK143" s="867">
        <f>_xlfn.IFERROR(BK142/BK140,0)</f>
        <v>0</v>
      </c>
      <c r="BL143" s="867">
        <f>_xlfn.IFERROR(BL142/BL140,0)</f>
        <v>0</v>
      </c>
      <c r="BM143" s="867">
        <f>_xlfn.IFERROR(BM142/BM140,0)</f>
        <v>0</v>
      </c>
      <c r="BN143" s="867">
        <f>_xlfn.IFERROR(BN142/BN140,0)</f>
        <v>0</v>
      </c>
      <c r="BO143" s="867">
        <f>_xlfn.IFERROR(BO142/BO140,0)</f>
        <v>0</v>
      </c>
      <c r="BP143" s="867">
        <f>_xlfn.IFERROR(BP142/BP140,0)</f>
        <v>0</v>
      </c>
      <c r="BQ143" s="867">
        <f>_xlfn.IFERROR(BQ142/BQ140,0)</f>
        <v>0</v>
      </c>
      <c r="BR143" s="867">
        <f>_xlfn.IFERROR(BR142/BR140,0)</f>
        <v>0</v>
      </c>
      <c r="BS143" s="867">
        <f>_xlfn.IFERROR(BS142/BS140,0)</f>
        <v>0</v>
      </c>
      <c r="BT143" s="867">
        <f>_xlfn.IFERROR(BT142/BT140,0)</f>
        <v>0</v>
      </c>
      <c r="BU143" s="867">
        <f>_xlfn.IFERROR(BU142/BU140,0)</f>
        <v>0</v>
      </c>
      <c r="BV143" s="867">
        <f>_xlfn.IFERROR(BV142/BV140,0)</f>
        <v>0</v>
      </c>
      <c r="BW143" s="867">
        <f>_xlfn.IFERROR(BW142/BW140,0)</f>
        <v>0</v>
      </c>
      <c r="BX143" s="867">
        <f>_xlfn.IFERROR(BX142/BX140,0)</f>
        <v>0</v>
      </c>
      <c r="BY143" s="867">
        <f>_xlfn.IFERROR(BY142/BY140,0)</f>
        <v>0</v>
      </c>
      <c r="BZ143" s="867">
        <f>_xlfn.IFERROR(BZ142/BZ140,0)</f>
        <v>0</v>
      </c>
      <c r="CA143" s="867">
        <f>_xlfn.IFERROR(CA142/CA140,0)</f>
        <v>0</v>
      </c>
      <c r="CB143" s="867">
        <f>_xlfn.IFERROR(CB142/CB140,0)</f>
        <v>0</v>
      </c>
      <c r="CC143" s="867">
        <f>_xlfn.IFERROR(CC142/CC140,0)</f>
        <v>0</v>
      </c>
      <c r="CD143" s="867">
        <f>_xlfn.IFERROR(CD142/CD140,0)</f>
        <v>0</v>
      </c>
      <c r="CE143" s="867">
        <f>_xlfn.IFERROR(CE142/CE140,0)</f>
        <v>0</v>
      </c>
      <c r="CF143" s="867">
        <f>_xlfn.IFERROR(CF142/CF140,0)</f>
        <v>0</v>
      </c>
      <c r="CG143" s="867">
        <f>_xlfn.IFERROR(CG142/CG140,0)</f>
        <v>0</v>
      </c>
      <c r="CH143" s="867">
        <f>_xlfn.IFERROR(CH142/CH140,0)</f>
        <v>0</v>
      </c>
      <c r="CI143" s="867">
        <f>_xlfn.IFERROR(CI142/CI140,0)</f>
        <v>0</v>
      </c>
      <c r="CJ143" s="867">
        <f>_xlfn.IFERROR(CJ142/CJ140,0)</f>
        <v>0</v>
      </c>
      <c r="CK143" s="867">
        <f>_xlfn.IFERROR(CK142/CK140,0)</f>
        <v>0</v>
      </c>
      <c r="CL143" s="867">
        <f>_xlfn.IFERROR(CL142/CL140,0)</f>
        <v>0</v>
      </c>
      <c r="CM143" s="867">
        <f>_xlfn.IFERROR(CM142/CM140,0)</f>
        <v>0</v>
      </c>
      <c r="CN143" s="867">
        <f>_xlfn.IFERROR(CN142/CN140,0)</f>
        <v>0</v>
      </c>
      <c r="CO143" s="867">
        <f>_xlfn.IFERROR(CO142/CO140,0)</f>
        <v>0</v>
      </c>
      <c r="CP143" s="867">
        <f>_xlfn.IFERROR(CP142/CP140,0)</f>
        <v>0</v>
      </c>
      <c r="CQ143" s="867">
        <f>_xlfn.IFERROR(CQ142/CQ140,0)</f>
        <v>0</v>
      </c>
      <c r="CR143" s="867">
        <f>_xlfn.IFERROR(CR142/CR140,0)</f>
        <v>0</v>
      </c>
      <c r="CS143" s="867">
        <f>_xlfn.IFERROR(CS142/CS140,0)</f>
        <v>0</v>
      </c>
      <c r="CT143" s="73"/>
      <c r="CU143" s="0"/>
      <c r="CV143" s="1632"/>
      <c r="CW143" s="1173" t="s">
        <v>740</v>
      </c>
      <c r="CX143" s="1178"/>
      <c r="CY143" s="1178"/>
      <c r="CZ143" s="1178"/>
      <c r="DA143" s="1179"/>
      <c r="DB143" s="1179"/>
    </row>
    <row s="1632" customFormat="1" customHeight="1" ht="16.5" hidden="1">
      <c r="A144" s="1443"/>
      <c r="B144" s="927"/>
      <c r="C144" s="1443"/>
      <c r="D144" s="1443"/>
      <c r="E144" s="797">
        <v>17.1</v>
      </c>
      <c r="F144" s="922" cm="1" t="str">
        <f t="array" ref="F144:F144">OFFSET(G144,-1,-1)</f>
        <v>1</v>
      </c>
      <c r="G144" s="965"/>
      <c r="H144" s="965"/>
      <c r="I144" s="965"/>
      <c r="J144" s="965"/>
      <c r="K144" s="965"/>
      <c r="L144" s="922" cm="1" t="str">
        <f t="array" ref="L144:L144">OFFSET(M144,-1,-1)</f>
        <v>false</v>
      </c>
      <c r="M144" s="965"/>
      <c r="N144" s="965"/>
      <c r="O144" s="965"/>
      <c r="P144" s="965"/>
      <c r="Q144" s="965"/>
      <c r="R144" s="922" t="s">
        <v>730</v>
      </c>
      <c r="S144" s="159" cm="1" t="str">
        <f t="array" ref="S144:S144">OFFSET(T144,-1,-1)</f>
        <v>true</v>
      </c>
      <c r="T144" s="159" cm="1" t="str">
        <f t="array" ref="T144:T144">T143</f>
        <v>false</v>
      </c>
      <c r="U144" s="819">
        <f>AND(S144,IF(ISBLANK(T144),TRUE,T144))</f>
        <v>0</v>
      </c>
      <c r="V144" s="1443"/>
      <c r="W144" s="1443"/>
      <c r="X144" s="1443"/>
      <c r="Y144" s="1443"/>
      <c r="Z144" s="1443"/>
      <c r="AA144" s="820"/>
      <c r="AB144" s="1523"/>
      <c r="AC144" s="0"/>
      <c r="AD144" s="160" t="s">
        <v>483</v>
      </c>
      <c r="AE144" s="1510" t="s">
        <v>741</v>
      </c>
      <c r="AF144" s="165"/>
      <c r="AG144" s="160" t="s">
        <v>733</v>
      </c>
      <c r="AH144" s="86"/>
      <c r="AI144" s="87"/>
      <c r="AJ144" s="87"/>
      <c r="AK144" s="87"/>
      <c r="AL144" s="862">
        <f>AM144+AN144</f>
        <v>0</v>
      </c>
      <c r="AM144" s="87"/>
      <c r="AN144" s="87"/>
      <c r="AO144" s="862">
        <f>AP144+AQ144</f>
        <v>0</v>
      </c>
      <c r="AP144" s="87"/>
      <c r="AQ144" s="87"/>
      <c r="AR144" s="862">
        <f>AS144+AT144</f>
        <v>0</v>
      </c>
      <c r="AS144" s="87"/>
      <c r="AT144" s="87"/>
      <c r="AU144" s="862">
        <f>AV144+AW144</f>
        <v>0</v>
      </c>
      <c r="AV144" s="87"/>
      <c r="AW144" s="87"/>
      <c r="AX144" s="862">
        <f>AY144+AZ144</f>
        <v>0</v>
      </c>
      <c r="AY144" s="87"/>
      <c r="AZ144" s="87"/>
      <c r="BA144" s="862">
        <f>BB144+BC144</f>
        <v>0</v>
      </c>
      <c r="BB144" s="87"/>
      <c r="BC144" s="87"/>
      <c r="BD144" s="862">
        <f>BE144+BF144</f>
        <v>0</v>
      </c>
      <c r="BE144" s="87"/>
      <c r="BF144" s="87"/>
      <c r="BG144" s="862">
        <f>BH144+BI144</f>
        <v>0</v>
      </c>
      <c r="BH144" s="87"/>
      <c r="BI144" s="87"/>
      <c r="BJ144" s="862">
        <f>BK144+BL144</f>
        <v>0</v>
      </c>
      <c r="BK144" s="87"/>
      <c r="BL144" s="87"/>
      <c r="BM144" s="862">
        <f>BN144+BO144</f>
        <v>0</v>
      </c>
      <c r="BN144" s="87"/>
      <c r="BO144" s="87"/>
      <c r="BP144" s="862">
        <f>BQ144+BR144</f>
        <v>0</v>
      </c>
      <c r="BQ144" s="1772"/>
      <c r="BR144" s="1772"/>
      <c r="BS144" s="862">
        <f>BT144+BU144</f>
        <v>0</v>
      </c>
      <c r="BT144" s="87"/>
      <c r="BU144" s="87"/>
      <c r="BV144" s="862">
        <f>BW144+BX144</f>
        <v>0</v>
      </c>
      <c r="BW144" s="87"/>
      <c r="BX144" s="87"/>
      <c r="BY144" s="862">
        <f>BZ144+CA144</f>
        <v>0</v>
      </c>
      <c r="BZ144" s="87"/>
      <c r="CA144" s="87"/>
      <c r="CB144" s="862">
        <f>CC144+CD144</f>
        <v>0</v>
      </c>
      <c r="CC144" s="87"/>
      <c r="CD144" s="87"/>
      <c r="CE144" s="862">
        <f>CF144+CG144</f>
        <v>0</v>
      </c>
      <c r="CF144" s="87"/>
      <c r="CG144" s="87"/>
      <c r="CH144" s="862">
        <f>CI144+CJ144</f>
        <v>0</v>
      </c>
      <c r="CI144" s="87"/>
      <c r="CJ144" s="87"/>
      <c r="CK144" s="862">
        <f>CL144+CM144</f>
        <v>0</v>
      </c>
      <c r="CL144" s="87"/>
      <c r="CM144" s="87"/>
      <c r="CN144" s="862">
        <f>CO144+CP144</f>
        <v>0</v>
      </c>
      <c r="CO144" s="87"/>
      <c r="CP144" s="87"/>
      <c r="CQ144" s="862">
        <f>CR144+CS144</f>
        <v>0</v>
      </c>
      <c r="CR144" s="87"/>
      <c r="CS144" s="87"/>
      <c r="CT144" s="73"/>
      <c r="CU144" s="0"/>
      <c r="CV144" s="1632"/>
      <c r="CW144" s="1173" t="s">
        <v>742</v>
      </c>
      <c r="CX144" s="1178"/>
      <c r="CY144" s="1178"/>
      <c r="CZ144" s="1178"/>
      <c r="DA144" s="1179"/>
      <c r="DB144" s="1179"/>
    </row>
    <row s="1632" customFormat="1" customHeight="1" ht="16.5" hidden="1">
      <c r="A145" s="1443"/>
      <c r="B145" s="927"/>
      <c r="C145" s="1443"/>
      <c r="D145" s="1443"/>
      <c r="E145" s="797">
        <v>17.1</v>
      </c>
      <c r="F145" s="922" cm="1" t="str">
        <f t="array" ref="F145:F145">OFFSET(G145,-1,-1)</f>
        <v>1</v>
      </c>
      <c r="G145" s="965"/>
      <c r="H145" s="965"/>
      <c r="I145" s="965"/>
      <c r="J145" s="965"/>
      <c r="K145" s="965"/>
      <c r="L145" s="922" cm="1" t="str">
        <f t="array" ref="L145:L145">OFFSET(M145,-1,-1)</f>
        <v>false</v>
      </c>
      <c r="M145" s="965"/>
      <c r="N145" s="965"/>
      <c r="O145" s="965"/>
      <c r="P145" s="965"/>
      <c r="Q145" s="965"/>
      <c r="R145" s="922" t="s">
        <v>730</v>
      </c>
      <c r="S145" s="159" cm="1" t="str">
        <f t="array" ref="S145:S145">OFFSET(T145,-1,-1)</f>
        <v>true</v>
      </c>
      <c r="T145" s="159" cm="1" t="str">
        <f t="array" ref="T145:T145">T144</f>
        <v>false</v>
      </c>
      <c r="U145" s="819">
        <f>AND(S145,IF(ISBLANK(T145),TRUE,T145))</f>
        <v>0</v>
      </c>
      <c r="V145" s="1443"/>
      <c r="W145" s="1443"/>
      <c r="X145" s="1443"/>
      <c r="Y145" s="1443"/>
      <c r="Z145" s="1443"/>
      <c r="AA145" s="820"/>
      <c r="AB145" s="1523"/>
      <c r="AC145" s="0"/>
      <c r="AD145" s="160" t="s">
        <v>743</v>
      </c>
      <c r="AE145" s="1515" t="s">
        <v>744</v>
      </c>
      <c r="AF145" s="166"/>
      <c r="AG145" s="160" t="s">
        <v>745</v>
      </c>
      <c r="AH145" s="86"/>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1772"/>
      <c r="BQ145" s="1772"/>
      <c r="BR145" s="1772"/>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2"/>
      <c r="CW145" s="1173" t="s">
        <v>746</v>
      </c>
      <c r="CX145" s="1178"/>
      <c r="CY145" s="1178"/>
      <c r="CZ145" s="1178"/>
      <c r="DA145" s="1179"/>
      <c r="DB145" s="1179"/>
    </row>
    <row s="1632" customFormat="1" customHeight="1" ht="16.5" hidden="1">
      <c r="A146" s="1443"/>
      <c r="B146" s="927"/>
      <c r="C146" s="1443"/>
      <c r="D146" s="1443"/>
      <c r="E146" s="797">
        <v>17.1</v>
      </c>
      <c r="F146" s="922" cm="1" t="str">
        <f t="array" ref="F146:F146">OFFSET(G146,-1,-1)</f>
        <v>1</v>
      </c>
      <c r="G146" s="965"/>
      <c r="H146" s="965"/>
      <c r="I146" s="965"/>
      <c r="J146" s="965"/>
      <c r="K146" s="965"/>
      <c r="L146" s="922" cm="1" t="str">
        <f t="array" ref="L146:L146">OFFSET(M146,-1,-1)</f>
        <v>false</v>
      </c>
      <c r="M146" s="965"/>
      <c r="N146" s="965"/>
      <c r="O146" s="965"/>
      <c r="P146" s="965"/>
      <c r="Q146" s="965"/>
      <c r="R146" s="922" t="s">
        <v>730</v>
      </c>
      <c r="S146" s="159" cm="1" t="str">
        <f t="array" ref="S146:S146">OFFSET(T146,-1,-1)</f>
        <v>true</v>
      </c>
      <c r="T146" s="159" cm="1" t="str">
        <f t="array" ref="T146:T146">T145</f>
        <v>false</v>
      </c>
      <c r="U146" s="819">
        <f>AND(S146,IF(ISBLANK(T146),TRUE,T146))</f>
        <v>0</v>
      </c>
      <c r="V146" s="1443"/>
      <c r="W146" s="1443"/>
      <c r="X146" s="1443"/>
      <c r="Y146" s="1443"/>
      <c r="Z146" s="1443"/>
      <c r="AA146" s="820"/>
      <c r="AB146" s="1523"/>
      <c r="AC146" s="0"/>
      <c r="AD146" s="160">
        <v>3</v>
      </c>
      <c r="AE146" s="1498" t="s">
        <v>747</v>
      </c>
      <c r="AF146" s="168"/>
      <c r="AG146" s="160" t="s">
        <v>733</v>
      </c>
      <c r="AH146" s="860">
        <f>AH140-AH141</f>
        <v>0</v>
      </c>
      <c r="AI146" s="862">
        <f>AI140-AI141</f>
        <v>0</v>
      </c>
      <c r="AJ146" s="862">
        <f>AJ140-AJ141</f>
        <v>0</v>
      </c>
      <c r="AK146" s="862">
        <f>AK140-AK141</f>
        <v>0</v>
      </c>
      <c r="AL146" s="862">
        <f>AL140-AL141</f>
        <v>0</v>
      </c>
      <c r="AM146" s="862">
        <f>AM140-AM141</f>
        <v>0</v>
      </c>
      <c r="AN146" s="862">
        <f>AN140-AN141</f>
        <v>0</v>
      </c>
      <c r="AO146" s="862">
        <f>AO140-AO141</f>
        <v>0</v>
      </c>
      <c r="AP146" s="862">
        <f>AP140-AP141</f>
        <v>0</v>
      </c>
      <c r="AQ146" s="862">
        <f>AQ140-AQ141</f>
        <v>0</v>
      </c>
      <c r="AR146" s="862">
        <f>AR140-AR141</f>
        <v>0</v>
      </c>
      <c r="AS146" s="862">
        <f>AS140-AS141</f>
        <v>0</v>
      </c>
      <c r="AT146" s="862">
        <f>AT140-AT141</f>
        <v>0</v>
      </c>
      <c r="AU146" s="862">
        <f>AU140-AU141</f>
        <v>0</v>
      </c>
      <c r="AV146" s="862">
        <f>AV140-AV141</f>
        <v>0</v>
      </c>
      <c r="AW146" s="862">
        <f>AW140-AW141</f>
        <v>0</v>
      </c>
      <c r="AX146" s="862">
        <f>AX140-AX141</f>
        <v>0</v>
      </c>
      <c r="AY146" s="862">
        <f>AY140-AY141</f>
        <v>0</v>
      </c>
      <c r="AZ146" s="862">
        <f>AZ140-AZ141</f>
        <v>0</v>
      </c>
      <c r="BA146" s="862">
        <f>BA140-BA141</f>
        <v>0</v>
      </c>
      <c r="BB146" s="862">
        <f>BB140-BB141</f>
        <v>0</v>
      </c>
      <c r="BC146" s="862">
        <f>BC140-BC141</f>
        <v>0</v>
      </c>
      <c r="BD146" s="862">
        <f>BD140-BD141</f>
        <v>0</v>
      </c>
      <c r="BE146" s="862">
        <f>BE140-BE141</f>
        <v>0</v>
      </c>
      <c r="BF146" s="862">
        <f>BF140-BF141</f>
        <v>0</v>
      </c>
      <c r="BG146" s="862">
        <f>BG140-BG141</f>
        <v>0</v>
      </c>
      <c r="BH146" s="862">
        <f>BH140-BH141</f>
        <v>0</v>
      </c>
      <c r="BI146" s="862">
        <f>BI140-BI141</f>
        <v>0</v>
      </c>
      <c r="BJ146" s="862">
        <f>BJ140-BJ141</f>
        <v>0</v>
      </c>
      <c r="BK146" s="862">
        <f>BK140-BK141</f>
        <v>0</v>
      </c>
      <c r="BL146" s="862">
        <f>BL140-BL141</f>
        <v>0</v>
      </c>
      <c r="BM146" s="862">
        <f>BM140-BM141</f>
        <v>0</v>
      </c>
      <c r="BN146" s="862">
        <f>BN140-BN141</f>
        <v>0</v>
      </c>
      <c r="BO146" s="862">
        <f>BO140-BO141</f>
        <v>0</v>
      </c>
      <c r="BP146" s="862">
        <f>BP140-BP141</f>
        <v>0</v>
      </c>
      <c r="BQ146" s="862">
        <f>BQ140-BQ141</f>
        <v>0</v>
      </c>
      <c r="BR146" s="862">
        <f>BR140-BR141</f>
        <v>0</v>
      </c>
      <c r="BS146" s="862">
        <f>BS140-BS141</f>
        <v>0</v>
      </c>
      <c r="BT146" s="862">
        <f>BT140-BT141</f>
        <v>0</v>
      </c>
      <c r="BU146" s="862">
        <f>BU140-BU141</f>
        <v>0</v>
      </c>
      <c r="BV146" s="862">
        <f>BV140-BV141</f>
        <v>0</v>
      </c>
      <c r="BW146" s="862">
        <f>BW140-BW141</f>
        <v>0</v>
      </c>
      <c r="BX146" s="862">
        <f>BX140-BX141</f>
        <v>0</v>
      </c>
      <c r="BY146" s="862">
        <f>BY140-BY141</f>
        <v>0</v>
      </c>
      <c r="BZ146" s="862">
        <f>BZ140-BZ141</f>
        <v>0</v>
      </c>
      <c r="CA146" s="862">
        <f>CA140-CA141</f>
        <v>0</v>
      </c>
      <c r="CB146" s="862">
        <f>CB140-CB141</f>
        <v>0</v>
      </c>
      <c r="CC146" s="862">
        <f>CC140-CC141</f>
        <v>0</v>
      </c>
      <c r="CD146" s="862">
        <f>CD140-CD141</f>
        <v>0</v>
      </c>
      <c r="CE146" s="862">
        <f>CE140-CE141</f>
        <v>0</v>
      </c>
      <c r="CF146" s="862">
        <f>CF140-CF141</f>
        <v>0</v>
      </c>
      <c r="CG146" s="862">
        <f>CG140-CG141</f>
        <v>0</v>
      </c>
      <c r="CH146" s="862">
        <f>CH140-CH141</f>
        <v>0</v>
      </c>
      <c r="CI146" s="862">
        <f>CI140-CI141</f>
        <v>0</v>
      </c>
      <c r="CJ146" s="862">
        <f>CJ140-CJ141</f>
        <v>0</v>
      </c>
      <c r="CK146" s="862">
        <f>CK140-CK141</f>
        <v>0</v>
      </c>
      <c r="CL146" s="862">
        <f>CL140-CL141</f>
        <v>0</v>
      </c>
      <c r="CM146" s="862">
        <f>CM140-CM141</f>
        <v>0</v>
      </c>
      <c r="CN146" s="862">
        <f>CN140-CN141</f>
        <v>0</v>
      </c>
      <c r="CO146" s="862">
        <f>CO140-CO141</f>
        <v>0</v>
      </c>
      <c r="CP146" s="862">
        <f>CP140-CP141</f>
        <v>0</v>
      </c>
      <c r="CQ146" s="862">
        <f>CQ140-CQ141</f>
        <v>0</v>
      </c>
      <c r="CR146" s="862">
        <f>CR140-CR141</f>
        <v>0</v>
      </c>
      <c r="CS146" s="862">
        <f>CS140-CS141</f>
        <v>0</v>
      </c>
      <c r="CT146" s="73"/>
      <c r="CU146" s="0"/>
      <c r="CV146" s="1632"/>
      <c r="CW146" s="1173" t="s">
        <v>748</v>
      </c>
      <c r="CX146" s="1178"/>
      <c r="CY146" s="1178"/>
      <c r="CZ146" s="1178"/>
      <c r="DA146" s="1179"/>
      <c r="DB146" s="1179"/>
    </row>
    <row s="1632" customFormat="1" customHeight="1" ht="16.5" hidden="1">
      <c r="A147" s="1443"/>
      <c r="B147" s="927"/>
      <c r="C147" s="1443"/>
      <c r="D147" s="1443"/>
      <c r="E147" s="797">
        <v>17.1</v>
      </c>
      <c r="F147" s="922" cm="1" t="str">
        <f t="array" ref="F147:F147">OFFSET(G147,-1,-1)</f>
        <v>1</v>
      </c>
      <c r="G147" s="965"/>
      <c r="H147" s="965"/>
      <c r="I147" s="965"/>
      <c r="J147" s="965"/>
      <c r="K147" s="965"/>
      <c r="L147" s="922" cm="1" t="str">
        <f t="array" ref="L147:L147">OFFSET(M147,-1,-1)</f>
        <v>false</v>
      </c>
      <c r="M147" s="965"/>
      <c r="N147" s="965"/>
      <c r="O147" s="965"/>
      <c r="P147" s="965"/>
      <c r="Q147" s="965"/>
      <c r="R147" s="922" t="s">
        <v>730</v>
      </c>
      <c r="S147" s="159" cm="1" t="str">
        <f t="array" ref="S147:S147">OFFSET(T147,-1,-1)</f>
        <v>true</v>
      </c>
      <c r="T147" s="159" cm="1" t="str">
        <f t="array" ref="T147:T147">T146</f>
        <v>false</v>
      </c>
      <c r="U147" s="819">
        <f>AND(S147,IF(ISBLANK(T147),TRUE,T147))</f>
        <v>0</v>
      </c>
      <c r="V147" s="1443"/>
      <c r="W147" s="1443"/>
      <c r="X147" s="1443"/>
      <c r="Y147" s="1443"/>
      <c r="Z147" s="1443"/>
      <c r="AA147" s="820"/>
      <c r="AB147" s="1523"/>
      <c r="AC147" s="0"/>
      <c r="AD147" s="160">
        <v>4</v>
      </c>
      <c r="AE147" s="1498" t="s">
        <v>749</v>
      </c>
      <c r="AF147" s="168"/>
      <c r="AG147" s="160" t="s">
        <v>733</v>
      </c>
      <c r="AH147" s="86"/>
      <c r="AI147" s="87"/>
      <c r="AJ147" s="87"/>
      <c r="AK147" s="87"/>
      <c r="AL147" s="862">
        <f>AM147+AN147</f>
        <v>0</v>
      </c>
      <c r="AM147" s="87"/>
      <c r="AN147" s="87"/>
      <c r="AO147" s="862">
        <f>AP147+AQ147</f>
        <v>0</v>
      </c>
      <c r="AP147" s="87"/>
      <c r="AQ147" s="87"/>
      <c r="AR147" s="862">
        <f>AS147+AT147</f>
        <v>0</v>
      </c>
      <c r="AS147" s="87"/>
      <c r="AT147" s="87"/>
      <c r="AU147" s="862">
        <f>AV147+AW147</f>
        <v>0</v>
      </c>
      <c r="AV147" s="87"/>
      <c r="AW147" s="87"/>
      <c r="AX147" s="862">
        <f>AY147+AZ147</f>
        <v>0</v>
      </c>
      <c r="AY147" s="87"/>
      <c r="AZ147" s="87"/>
      <c r="BA147" s="862">
        <f>BB147+BC147</f>
        <v>0</v>
      </c>
      <c r="BB147" s="87"/>
      <c r="BC147" s="87"/>
      <c r="BD147" s="862">
        <f>BE147+BF147</f>
        <v>0</v>
      </c>
      <c r="BE147" s="87"/>
      <c r="BF147" s="87"/>
      <c r="BG147" s="862">
        <f>BH147+BI147</f>
        <v>0</v>
      </c>
      <c r="BH147" s="87"/>
      <c r="BI147" s="87"/>
      <c r="BJ147" s="862">
        <f>BK147+BL147</f>
        <v>0</v>
      </c>
      <c r="BK147" s="87"/>
      <c r="BL147" s="87"/>
      <c r="BM147" s="862">
        <f>BN147+BO147</f>
        <v>0</v>
      </c>
      <c r="BN147" s="87"/>
      <c r="BO147" s="87"/>
      <c r="BP147" s="862">
        <f>BQ147+BR147</f>
        <v>0</v>
      </c>
      <c r="BQ147" s="1772"/>
      <c r="BR147" s="1772"/>
      <c r="BS147" s="862">
        <f>BT147+BU147</f>
        <v>0</v>
      </c>
      <c r="BT147" s="87"/>
      <c r="BU147" s="87"/>
      <c r="BV147" s="862">
        <f>BW147+BX147</f>
        <v>0</v>
      </c>
      <c r="BW147" s="87"/>
      <c r="BX147" s="87"/>
      <c r="BY147" s="862">
        <f>BZ147+CA147</f>
        <v>0</v>
      </c>
      <c r="BZ147" s="87"/>
      <c r="CA147" s="87"/>
      <c r="CB147" s="862">
        <f>CC147+CD147</f>
        <v>0</v>
      </c>
      <c r="CC147" s="87"/>
      <c r="CD147" s="87"/>
      <c r="CE147" s="862">
        <f>CF147+CG147</f>
        <v>0</v>
      </c>
      <c r="CF147" s="87"/>
      <c r="CG147" s="87"/>
      <c r="CH147" s="862">
        <f>CI147+CJ147</f>
        <v>0</v>
      </c>
      <c r="CI147" s="87"/>
      <c r="CJ147" s="87"/>
      <c r="CK147" s="862">
        <f>CL147+CM147</f>
        <v>0</v>
      </c>
      <c r="CL147" s="87"/>
      <c r="CM147" s="87"/>
      <c r="CN147" s="862">
        <f>CO147+CP147</f>
        <v>0</v>
      </c>
      <c r="CO147" s="87"/>
      <c r="CP147" s="87"/>
      <c r="CQ147" s="862">
        <f>CR147+CS147</f>
        <v>0</v>
      </c>
      <c r="CR147" s="87"/>
      <c r="CS147" s="87"/>
      <c r="CT147" s="73"/>
      <c r="CU147" s="0"/>
      <c r="CV147" s="1632"/>
      <c r="CW147" s="1173" t="s">
        <v>750</v>
      </c>
      <c r="CX147" s="1178"/>
      <c r="CY147" s="1178"/>
      <c r="CZ147" s="1178"/>
      <c r="DA147" s="1179"/>
      <c r="DB147" s="1179"/>
    </row>
    <row s="1632" customFormat="1" customHeight="1" ht="16.5" hidden="1">
      <c r="A148" s="1443"/>
      <c r="B148" s="927"/>
      <c r="C148" s="1443"/>
      <c r="D148" s="1443"/>
      <c r="E148" s="797">
        <v>17.1</v>
      </c>
      <c r="F148" s="922" cm="1" t="str">
        <f t="array" ref="F148:F148">OFFSET(G148,-1,-1)</f>
        <v>1</v>
      </c>
      <c r="G148" s="965"/>
      <c r="H148" s="965"/>
      <c r="I148" s="965"/>
      <c r="J148" s="965"/>
      <c r="K148" s="965"/>
      <c r="L148" s="922" cm="1" t="str">
        <f t="array" ref="L148:L148">OFFSET(M148,-1,-1)</f>
        <v>false</v>
      </c>
      <c r="M148" s="965"/>
      <c r="N148" s="965"/>
      <c r="O148" s="965"/>
      <c r="P148" s="965"/>
      <c r="Q148" s="965"/>
      <c r="R148" s="922" t="s">
        <v>730</v>
      </c>
      <c r="S148" s="159" cm="1" t="str">
        <f t="array" ref="S148:S148">OFFSET(T148,-1,-1)</f>
        <v>true</v>
      </c>
      <c r="T148" s="159" cm="1" t="str">
        <f t="array" ref="T148:T148">T147</f>
        <v>false</v>
      </c>
      <c r="U148" s="819">
        <f>AND(S148,IF(ISBLANK(T148),TRUE,T148))</f>
        <v>0</v>
      </c>
      <c r="V148" s="1443"/>
      <c r="W148" s="1443"/>
      <c r="X148" s="1443"/>
      <c r="Y148" s="1443"/>
      <c r="Z148" s="1443"/>
      <c r="AA148" s="820"/>
      <c r="AB148" s="1523"/>
      <c r="AC148" s="0"/>
      <c r="AD148" s="160" t="s">
        <v>751</v>
      </c>
      <c r="AE148" s="1510" t="s">
        <v>752</v>
      </c>
      <c r="AF148" s="165"/>
      <c r="AG148" s="160" t="s">
        <v>498</v>
      </c>
      <c r="AH148" s="866">
        <f>_xlfn.IFERROR(AH147/AH146,0)</f>
        <v>0</v>
      </c>
      <c r="AI148" s="867">
        <f>_xlfn.IFERROR(AI147/AI146,0)</f>
        <v>0</v>
      </c>
      <c r="AJ148" s="867">
        <f>_xlfn.IFERROR(AJ147/AJ146,0)</f>
        <v>0</v>
      </c>
      <c r="AK148" s="867">
        <f>_xlfn.IFERROR(AK147/AK146,0)</f>
        <v>0</v>
      </c>
      <c r="AL148" s="867">
        <f>_xlfn.IFERROR(AL147/AL146,0)</f>
        <v>0</v>
      </c>
      <c r="AM148" s="867">
        <f>_xlfn.IFERROR(AM147/AM146,0)</f>
        <v>0</v>
      </c>
      <c r="AN148" s="867">
        <f>_xlfn.IFERROR(AN147/AN146,0)</f>
        <v>0</v>
      </c>
      <c r="AO148" s="867">
        <f>_xlfn.IFERROR(AO147/AO146,0)</f>
        <v>0</v>
      </c>
      <c r="AP148" s="867">
        <f>_xlfn.IFERROR(AP147/AP146,0)</f>
        <v>0</v>
      </c>
      <c r="AQ148" s="867">
        <f>_xlfn.IFERROR(AQ147/AQ146,0)</f>
        <v>0</v>
      </c>
      <c r="AR148" s="867">
        <f>_xlfn.IFERROR(AR147/AR146,0)</f>
        <v>0</v>
      </c>
      <c r="AS148" s="867">
        <f>_xlfn.IFERROR(AS147/AS146,0)</f>
        <v>0</v>
      </c>
      <c r="AT148" s="867">
        <f>_xlfn.IFERROR(AT147/AT146,0)</f>
        <v>0</v>
      </c>
      <c r="AU148" s="867">
        <f>_xlfn.IFERROR(AU147/AU146,0)</f>
        <v>0</v>
      </c>
      <c r="AV148" s="867">
        <f>_xlfn.IFERROR(AV147/AV146,0)</f>
        <v>0</v>
      </c>
      <c r="AW148" s="867">
        <f>_xlfn.IFERROR(AW147/AW146,0)</f>
        <v>0</v>
      </c>
      <c r="AX148" s="867">
        <f>_xlfn.IFERROR(AX147/AX146,0)</f>
        <v>0</v>
      </c>
      <c r="AY148" s="867">
        <f>_xlfn.IFERROR(AY147/AY146,0)</f>
        <v>0</v>
      </c>
      <c r="AZ148" s="867">
        <f>_xlfn.IFERROR(AZ147/AZ146,0)</f>
        <v>0</v>
      </c>
      <c r="BA148" s="867">
        <f>_xlfn.IFERROR(BA147/BA146,0)</f>
        <v>0</v>
      </c>
      <c r="BB148" s="867">
        <f>_xlfn.IFERROR(BB147/BB146,0)</f>
        <v>0</v>
      </c>
      <c r="BC148" s="867">
        <f>_xlfn.IFERROR(BC147/BC146,0)</f>
        <v>0</v>
      </c>
      <c r="BD148" s="867">
        <f>_xlfn.IFERROR(BD147/BD146,0)</f>
        <v>0</v>
      </c>
      <c r="BE148" s="867">
        <f>_xlfn.IFERROR(BE147/BE146,0)</f>
        <v>0</v>
      </c>
      <c r="BF148" s="867">
        <f>_xlfn.IFERROR(BF147/BF146,0)</f>
        <v>0</v>
      </c>
      <c r="BG148" s="867">
        <f>_xlfn.IFERROR(BG147/BG146,0)</f>
        <v>0</v>
      </c>
      <c r="BH148" s="867">
        <f>_xlfn.IFERROR(BH147/BH146,0)</f>
        <v>0</v>
      </c>
      <c r="BI148" s="867">
        <f>_xlfn.IFERROR(BI147/BI146,0)</f>
        <v>0</v>
      </c>
      <c r="BJ148" s="867">
        <f>_xlfn.IFERROR(BJ147/BJ146,0)</f>
        <v>0</v>
      </c>
      <c r="BK148" s="867">
        <f>_xlfn.IFERROR(BK147/BK146,0)</f>
        <v>0</v>
      </c>
      <c r="BL148" s="867">
        <f>_xlfn.IFERROR(BL147/BL146,0)</f>
        <v>0</v>
      </c>
      <c r="BM148" s="867">
        <f>_xlfn.IFERROR(BM147/BM146,0)</f>
        <v>0</v>
      </c>
      <c r="BN148" s="867">
        <f>_xlfn.IFERROR(BN147/BN146,0)</f>
        <v>0</v>
      </c>
      <c r="BO148" s="867">
        <f>_xlfn.IFERROR(BO147/BO146,0)</f>
        <v>0</v>
      </c>
      <c r="BP148" s="867">
        <f>_xlfn.IFERROR(BP147/BP146,0)</f>
        <v>0</v>
      </c>
      <c r="BQ148" s="867">
        <f>_xlfn.IFERROR(BQ147/BQ146,0)</f>
        <v>0</v>
      </c>
      <c r="BR148" s="867">
        <f>_xlfn.IFERROR(BR147/BR146,0)</f>
        <v>0</v>
      </c>
      <c r="BS148" s="867">
        <f>_xlfn.IFERROR(BS147/BS146,0)</f>
        <v>0</v>
      </c>
      <c r="BT148" s="867">
        <f>_xlfn.IFERROR(BT147/BT146,0)</f>
        <v>0</v>
      </c>
      <c r="BU148" s="867">
        <f>_xlfn.IFERROR(BU147/BU146,0)</f>
        <v>0</v>
      </c>
      <c r="BV148" s="867">
        <f>_xlfn.IFERROR(BV147/BV146,0)</f>
        <v>0</v>
      </c>
      <c r="BW148" s="867">
        <f>_xlfn.IFERROR(BW147/BW146,0)</f>
        <v>0</v>
      </c>
      <c r="BX148" s="867">
        <f>_xlfn.IFERROR(BX147/BX146,0)</f>
        <v>0</v>
      </c>
      <c r="BY148" s="867">
        <f>_xlfn.IFERROR(BY147/BY146,0)</f>
        <v>0</v>
      </c>
      <c r="BZ148" s="867">
        <f>_xlfn.IFERROR(BZ147/BZ146,0)</f>
        <v>0</v>
      </c>
      <c r="CA148" s="867">
        <f>_xlfn.IFERROR(CA147/CA146,0)</f>
        <v>0</v>
      </c>
      <c r="CB148" s="867">
        <f>_xlfn.IFERROR(CB147/CB146,0)</f>
        <v>0</v>
      </c>
      <c r="CC148" s="867">
        <f>_xlfn.IFERROR(CC147/CC146,0)</f>
        <v>0</v>
      </c>
      <c r="CD148" s="867">
        <f>_xlfn.IFERROR(CD147/CD146,0)</f>
        <v>0</v>
      </c>
      <c r="CE148" s="867">
        <f>_xlfn.IFERROR(CE147/CE146,0)</f>
        <v>0</v>
      </c>
      <c r="CF148" s="867">
        <f>_xlfn.IFERROR(CF147/CF146,0)</f>
        <v>0</v>
      </c>
      <c r="CG148" s="867">
        <f>_xlfn.IFERROR(CG147/CG146,0)</f>
        <v>0</v>
      </c>
      <c r="CH148" s="867">
        <f>_xlfn.IFERROR(CH147/CH146,0)</f>
        <v>0</v>
      </c>
      <c r="CI148" s="867">
        <f>_xlfn.IFERROR(CI147/CI146,0)</f>
        <v>0</v>
      </c>
      <c r="CJ148" s="867">
        <f>_xlfn.IFERROR(CJ147/CJ146,0)</f>
        <v>0</v>
      </c>
      <c r="CK148" s="867">
        <f>_xlfn.IFERROR(CK147/CK146,0)</f>
        <v>0</v>
      </c>
      <c r="CL148" s="867">
        <f>_xlfn.IFERROR(CL147/CL146,0)</f>
        <v>0</v>
      </c>
      <c r="CM148" s="867">
        <f>_xlfn.IFERROR(CM147/CM146,0)</f>
        <v>0</v>
      </c>
      <c r="CN148" s="867">
        <f>_xlfn.IFERROR(CN147/CN146,0)</f>
        <v>0</v>
      </c>
      <c r="CO148" s="867">
        <f>_xlfn.IFERROR(CO147/CO146,0)</f>
        <v>0</v>
      </c>
      <c r="CP148" s="867">
        <f>_xlfn.IFERROR(CP147/CP146,0)</f>
        <v>0</v>
      </c>
      <c r="CQ148" s="867">
        <f>_xlfn.IFERROR(CQ147/CQ146,0)</f>
        <v>0</v>
      </c>
      <c r="CR148" s="867">
        <f>_xlfn.IFERROR(CR147/CR146,0)</f>
        <v>0</v>
      </c>
      <c r="CS148" s="867">
        <f>_xlfn.IFERROR(CS147/CS146,0)</f>
        <v>0</v>
      </c>
      <c r="CT148" s="73"/>
      <c r="CU148" s="0"/>
      <c r="CV148" s="1632"/>
      <c r="CW148" s="1173" t="s">
        <v>753</v>
      </c>
      <c r="CX148" s="1178"/>
      <c r="CY148" s="1178"/>
      <c r="CZ148" s="1178"/>
      <c r="DA148" s="1179"/>
      <c r="DB148" s="1179"/>
    </row>
    <row s="1632" customFormat="1" customHeight="1" ht="16.5" hidden="1">
      <c r="A149" s="1443"/>
      <c r="B149" s="927"/>
      <c r="C149" s="1443"/>
      <c r="D149" s="1443"/>
      <c r="E149" s="797">
        <v>17.1</v>
      </c>
      <c r="F149" s="922" cm="1" t="str">
        <f t="array" ref="F149:F149">OFFSET(G149,-1,-1)</f>
        <v>1</v>
      </c>
      <c r="G149" s="965"/>
      <c r="H149" s="965"/>
      <c r="I149" s="965"/>
      <c r="J149" s="965"/>
      <c r="K149" s="965"/>
      <c r="L149" s="922" cm="1" t="str">
        <f t="array" ref="L149:L149">OFFSET(M149,-1,-1)</f>
        <v>false</v>
      </c>
      <c r="M149" s="965"/>
      <c r="N149" s="965"/>
      <c r="O149" s="965"/>
      <c r="P149" s="965"/>
      <c r="Q149" s="965"/>
      <c r="R149" s="922" t="s">
        <v>730</v>
      </c>
      <c r="S149" s="159" cm="1" t="str">
        <f t="array" ref="S149:S149">OFFSET(T149,-1,-1)</f>
        <v>true</v>
      </c>
      <c r="T149" s="159" cm="1" t="str">
        <f t="array" ref="T149:T149">T148</f>
        <v>false</v>
      </c>
      <c r="U149" s="819">
        <f>AND(S149,IF(ISBLANK(T149),TRUE,T149))</f>
        <v>0</v>
      </c>
      <c r="V149" s="1443"/>
      <c r="W149" s="1443"/>
      <c r="X149" s="1443"/>
      <c r="Y149" s="1443"/>
      <c r="Z149" s="1443"/>
      <c r="AA149" s="820"/>
      <c r="AB149" s="1523"/>
      <c r="AC149" s="0"/>
      <c r="AD149" s="160">
        <v>5</v>
      </c>
      <c r="AE149" s="1517" t="s">
        <v>754</v>
      </c>
      <c r="AF149" s="1518"/>
      <c r="AG149" s="160" t="s">
        <v>733</v>
      </c>
      <c r="AH149" s="86"/>
      <c r="AI149" s="87"/>
      <c r="AJ149" s="87"/>
      <c r="AK149" s="87"/>
      <c r="AL149" s="862">
        <f>AM149+AN149</f>
        <v>0</v>
      </c>
      <c r="AM149" s="87"/>
      <c r="AN149" s="87"/>
      <c r="AO149" s="862">
        <f>AP149+AQ149</f>
        <v>0</v>
      </c>
      <c r="AP149" s="87"/>
      <c r="AQ149" s="87"/>
      <c r="AR149" s="862">
        <f>AS149+AT149</f>
        <v>0</v>
      </c>
      <c r="AS149" s="87"/>
      <c r="AT149" s="87"/>
      <c r="AU149" s="862">
        <f>AV149+AW149</f>
        <v>0</v>
      </c>
      <c r="AV149" s="87"/>
      <c r="AW149" s="87"/>
      <c r="AX149" s="862">
        <f>AY149+AZ149</f>
        <v>0</v>
      </c>
      <c r="AY149" s="87"/>
      <c r="AZ149" s="87"/>
      <c r="BA149" s="862">
        <f>BB149+BC149</f>
        <v>0</v>
      </c>
      <c r="BB149" s="87"/>
      <c r="BC149" s="87"/>
      <c r="BD149" s="862">
        <f>BE149+BF149</f>
        <v>0</v>
      </c>
      <c r="BE149" s="87"/>
      <c r="BF149" s="87"/>
      <c r="BG149" s="862">
        <f>BH149+BI149</f>
        <v>0</v>
      </c>
      <c r="BH149" s="87"/>
      <c r="BI149" s="87"/>
      <c r="BJ149" s="862">
        <f>BK149+BL149</f>
        <v>0</v>
      </c>
      <c r="BK149" s="87"/>
      <c r="BL149" s="87"/>
      <c r="BM149" s="862">
        <f>BN149+BO149</f>
        <v>0</v>
      </c>
      <c r="BN149" s="87"/>
      <c r="BO149" s="87"/>
      <c r="BP149" s="862">
        <f>BQ149+BR149</f>
        <v>0</v>
      </c>
      <c r="BQ149" s="1772"/>
      <c r="BR149" s="1772"/>
      <c r="BS149" s="862">
        <f>BT149+BU149</f>
        <v>0</v>
      </c>
      <c r="BT149" s="87"/>
      <c r="BU149" s="87"/>
      <c r="BV149" s="862">
        <f>BW149+BX149</f>
        <v>0</v>
      </c>
      <c r="BW149" s="87"/>
      <c r="BX149" s="87"/>
      <c r="BY149" s="862">
        <f>BZ149+CA149</f>
        <v>0</v>
      </c>
      <c r="BZ149" s="87"/>
      <c r="CA149" s="87"/>
      <c r="CB149" s="862">
        <f>CC149+CD149</f>
        <v>0</v>
      </c>
      <c r="CC149" s="87"/>
      <c r="CD149" s="87"/>
      <c r="CE149" s="862">
        <f>CF149+CG149</f>
        <v>0</v>
      </c>
      <c r="CF149" s="87"/>
      <c r="CG149" s="87"/>
      <c r="CH149" s="862">
        <f>CI149+CJ149</f>
        <v>0</v>
      </c>
      <c r="CI149" s="87"/>
      <c r="CJ149" s="87"/>
      <c r="CK149" s="862">
        <f>CL149+CM149</f>
        <v>0</v>
      </c>
      <c r="CL149" s="87"/>
      <c r="CM149" s="87"/>
      <c r="CN149" s="862">
        <f>CO149+CP149</f>
        <v>0</v>
      </c>
      <c r="CO149" s="87"/>
      <c r="CP149" s="87"/>
      <c r="CQ149" s="862">
        <f>CR149+CS149</f>
        <v>0</v>
      </c>
      <c r="CR149" s="87"/>
      <c r="CS149" s="87"/>
      <c r="CT149" s="73"/>
      <c r="CU149" s="0"/>
      <c r="CV149" s="1632"/>
      <c r="CW149" s="1173" t="s">
        <v>755</v>
      </c>
      <c r="CX149" s="1178"/>
      <c r="CY149" s="1178"/>
      <c r="CZ149" s="1178"/>
      <c r="DA149" s="1179"/>
      <c r="DB149" s="1179"/>
    </row>
    <row s="1632" customFormat="1" customHeight="1" ht="16.5" hidden="1">
      <c r="A150" s="1443"/>
      <c r="B150" s="927"/>
      <c r="C150" s="1443"/>
      <c r="D150" s="1443"/>
      <c r="E150" s="797">
        <v>17.1</v>
      </c>
      <c r="F150" s="922" cm="1" t="str">
        <f t="array" ref="F150:F150">OFFSET(G150,-1,-1)</f>
        <v>1</v>
      </c>
      <c r="G150" s="965"/>
      <c r="H150" s="965"/>
      <c r="I150" s="965"/>
      <c r="J150" s="965"/>
      <c r="K150" s="965"/>
      <c r="L150" s="922" cm="1" t="str">
        <f t="array" ref="L150:L150">OFFSET(M150,-1,-1)</f>
        <v>false</v>
      </c>
      <c r="M150" s="965"/>
      <c r="N150" s="965"/>
      <c r="O150" s="965"/>
      <c r="P150" s="965"/>
      <c r="Q150" s="965"/>
      <c r="R150" s="922" t="s">
        <v>730</v>
      </c>
      <c r="S150" s="159" cm="1" t="str">
        <f t="array" ref="S150:S150">OFFSET(T150,-1,-1)</f>
        <v>true</v>
      </c>
      <c r="T150" s="159" cm="1" t="str">
        <f t="array" ref="T150:T150">T149</f>
        <v>false</v>
      </c>
      <c r="U150" s="819">
        <f>AND(S150,IF(ISBLANK(T150),TRUE,T150))</f>
        <v>0</v>
      </c>
      <c r="V150" s="1443"/>
      <c r="W150" s="1443"/>
      <c r="X150" s="1443"/>
      <c r="Y150" s="1443"/>
      <c r="Z150" s="1443"/>
      <c r="AA150" s="820"/>
      <c r="AB150" s="1523"/>
      <c r="AC150" s="0"/>
      <c r="AD150" s="160" t="s">
        <v>756</v>
      </c>
      <c r="AE150" s="1510" t="s">
        <v>752</v>
      </c>
      <c r="AF150" s="165"/>
      <c r="AG150" s="160" t="s">
        <v>498</v>
      </c>
      <c r="AH150" s="866">
        <f>_xlfn.IFERROR(AH149/AH146,0)</f>
        <v>0</v>
      </c>
      <c r="AI150" s="867">
        <f>_xlfn.IFERROR(AI149/AI146,0)</f>
        <v>0</v>
      </c>
      <c r="AJ150" s="867">
        <f>_xlfn.IFERROR(AJ149/AJ146,0)</f>
        <v>0</v>
      </c>
      <c r="AK150" s="867">
        <f>_xlfn.IFERROR(AK149/AK146,0)</f>
        <v>0</v>
      </c>
      <c r="AL150" s="867">
        <f>_xlfn.IFERROR(AL149/AL146,0)</f>
        <v>0</v>
      </c>
      <c r="AM150" s="867">
        <f>_xlfn.IFERROR(AM149/AM146,0)</f>
        <v>0</v>
      </c>
      <c r="AN150" s="867">
        <f>_xlfn.IFERROR(AN149/AN146,0)</f>
        <v>0</v>
      </c>
      <c r="AO150" s="867">
        <f>_xlfn.IFERROR(AO149/AO146,0)</f>
        <v>0</v>
      </c>
      <c r="AP150" s="867">
        <f>_xlfn.IFERROR(AP149/AP146,0)</f>
        <v>0</v>
      </c>
      <c r="AQ150" s="867">
        <f>_xlfn.IFERROR(AQ149/AQ146,0)</f>
        <v>0</v>
      </c>
      <c r="AR150" s="867">
        <f>_xlfn.IFERROR(AR149/AR146,0)</f>
        <v>0</v>
      </c>
      <c r="AS150" s="867">
        <f>_xlfn.IFERROR(AS149/AS146,0)</f>
        <v>0</v>
      </c>
      <c r="AT150" s="867">
        <f>_xlfn.IFERROR(AT149/AT146,0)</f>
        <v>0</v>
      </c>
      <c r="AU150" s="867">
        <f>_xlfn.IFERROR(AU149/AU146,0)</f>
        <v>0</v>
      </c>
      <c r="AV150" s="867">
        <f>_xlfn.IFERROR(AV149/AV146,0)</f>
        <v>0</v>
      </c>
      <c r="AW150" s="867">
        <f>_xlfn.IFERROR(AW149/AW146,0)</f>
        <v>0</v>
      </c>
      <c r="AX150" s="867">
        <f>_xlfn.IFERROR(AX149/AX146,0)</f>
        <v>0</v>
      </c>
      <c r="AY150" s="867">
        <f>_xlfn.IFERROR(AY149/AY146,0)</f>
        <v>0</v>
      </c>
      <c r="AZ150" s="867">
        <f>_xlfn.IFERROR(AZ149/AZ146,0)</f>
        <v>0</v>
      </c>
      <c r="BA150" s="867">
        <f>_xlfn.IFERROR(BA149/BA146,0)</f>
        <v>0</v>
      </c>
      <c r="BB150" s="867">
        <f>_xlfn.IFERROR(BB149/BB146,0)</f>
        <v>0</v>
      </c>
      <c r="BC150" s="867">
        <f>_xlfn.IFERROR(BC149/BC146,0)</f>
        <v>0</v>
      </c>
      <c r="BD150" s="867">
        <f>_xlfn.IFERROR(BD149/BD146,0)</f>
        <v>0</v>
      </c>
      <c r="BE150" s="867">
        <f>_xlfn.IFERROR(BE149/BE146,0)</f>
        <v>0</v>
      </c>
      <c r="BF150" s="867">
        <f>_xlfn.IFERROR(BF149/BF146,0)</f>
        <v>0</v>
      </c>
      <c r="BG150" s="867">
        <f>_xlfn.IFERROR(BG149/BG146,0)</f>
        <v>0</v>
      </c>
      <c r="BH150" s="867">
        <f>_xlfn.IFERROR(BH149/BH146,0)</f>
        <v>0</v>
      </c>
      <c r="BI150" s="867">
        <f>_xlfn.IFERROR(BI149/BI146,0)</f>
        <v>0</v>
      </c>
      <c r="BJ150" s="867">
        <f>_xlfn.IFERROR(BJ149/BJ146,0)</f>
        <v>0</v>
      </c>
      <c r="BK150" s="867">
        <f>_xlfn.IFERROR(BK149/BK146,0)</f>
        <v>0</v>
      </c>
      <c r="BL150" s="867">
        <f>_xlfn.IFERROR(BL149/BL146,0)</f>
        <v>0</v>
      </c>
      <c r="BM150" s="867">
        <f>_xlfn.IFERROR(BM149/BM146,0)</f>
        <v>0</v>
      </c>
      <c r="BN150" s="867">
        <f>_xlfn.IFERROR(BN149/BN146,0)</f>
        <v>0</v>
      </c>
      <c r="BO150" s="867">
        <f>_xlfn.IFERROR(BO149/BO146,0)</f>
        <v>0</v>
      </c>
      <c r="BP150" s="867">
        <f>_xlfn.IFERROR(BP149/BP146,0)</f>
        <v>0</v>
      </c>
      <c r="BQ150" s="867">
        <f>_xlfn.IFERROR(BQ149/BQ146,0)</f>
        <v>0</v>
      </c>
      <c r="BR150" s="867">
        <f>_xlfn.IFERROR(BR149/BR146,0)</f>
        <v>0</v>
      </c>
      <c r="BS150" s="867">
        <f>_xlfn.IFERROR(BS149/BS146,0)</f>
        <v>0</v>
      </c>
      <c r="BT150" s="867">
        <f>_xlfn.IFERROR(BT149/BT146,0)</f>
        <v>0</v>
      </c>
      <c r="BU150" s="867">
        <f>_xlfn.IFERROR(BU149/BU146,0)</f>
        <v>0</v>
      </c>
      <c r="BV150" s="867">
        <f>_xlfn.IFERROR(BV149/BV146,0)</f>
        <v>0</v>
      </c>
      <c r="BW150" s="867">
        <f>_xlfn.IFERROR(BW149/BW146,0)</f>
        <v>0</v>
      </c>
      <c r="BX150" s="867">
        <f>_xlfn.IFERROR(BX149/BX146,0)</f>
        <v>0</v>
      </c>
      <c r="BY150" s="867">
        <f>_xlfn.IFERROR(BY149/BY146,0)</f>
        <v>0</v>
      </c>
      <c r="BZ150" s="867">
        <f>_xlfn.IFERROR(BZ149/BZ146,0)</f>
        <v>0</v>
      </c>
      <c r="CA150" s="867">
        <f>_xlfn.IFERROR(CA149/CA146,0)</f>
        <v>0</v>
      </c>
      <c r="CB150" s="867">
        <f>_xlfn.IFERROR(CB149/CB146,0)</f>
        <v>0</v>
      </c>
      <c r="CC150" s="867">
        <f>_xlfn.IFERROR(CC149/CC146,0)</f>
        <v>0</v>
      </c>
      <c r="CD150" s="867">
        <f>_xlfn.IFERROR(CD149/CD146,0)</f>
        <v>0</v>
      </c>
      <c r="CE150" s="867">
        <f>_xlfn.IFERROR(CE149/CE146,0)</f>
        <v>0</v>
      </c>
      <c r="CF150" s="867">
        <f>_xlfn.IFERROR(CF149/CF146,0)</f>
        <v>0</v>
      </c>
      <c r="CG150" s="867">
        <f>_xlfn.IFERROR(CG149/CG146,0)</f>
        <v>0</v>
      </c>
      <c r="CH150" s="867">
        <f>_xlfn.IFERROR(CH149/CH146,0)</f>
        <v>0</v>
      </c>
      <c r="CI150" s="867">
        <f>_xlfn.IFERROR(CI149/CI146,0)</f>
        <v>0</v>
      </c>
      <c r="CJ150" s="867">
        <f>_xlfn.IFERROR(CJ149/CJ146,0)</f>
        <v>0</v>
      </c>
      <c r="CK150" s="867">
        <f>_xlfn.IFERROR(CK149/CK146,0)</f>
        <v>0</v>
      </c>
      <c r="CL150" s="867">
        <f>_xlfn.IFERROR(CL149/CL146,0)</f>
        <v>0</v>
      </c>
      <c r="CM150" s="867">
        <f>_xlfn.IFERROR(CM149/CM146,0)</f>
        <v>0</v>
      </c>
      <c r="CN150" s="867">
        <f>_xlfn.IFERROR(CN149/CN146,0)</f>
        <v>0</v>
      </c>
      <c r="CO150" s="867">
        <f>_xlfn.IFERROR(CO149/CO146,0)</f>
        <v>0</v>
      </c>
      <c r="CP150" s="867">
        <f>_xlfn.IFERROR(CP149/CP146,0)</f>
        <v>0</v>
      </c>
      <c r="CQ150" s="867">
        <f>_xlfn.IFERROR(CQ149/CQ146,0)</f>
        <v>0</v>
      </c>
      <c r="CR150" s="867">
        <f>_xlfn.IFERROR(CR149/CR146,0)</f>
        <v>0</v>
      </c>
      <c r="CS150" s="867">
        <f>_xlfn.IFERROR(CS149/CS146,0)</f>
        <v>0</v>
      </c>
      <c r="CT150" s="73"/>
      <c r="CU150" s="0"/>
      <c r="CV150" s="1632"/>
      <c r="CW150" s="1173" t="s">
        <v>757</v>
      </c>
      <c r="CX150" s="1178"/>
      <c r="CY150" s="1178"/>
      <c r="CZ150" s="1178"/>
      <c r="DA150" s="1179"/>
      <c r="DB150" s="1179"/>
    </row>
    <row s="1632" customFormat="1" customHeight="1" ht="16.5" hidden="1">
      <c r="A151" s="1443"/>
      <c r="B151" s="927"/>
      <c r="C151" s="1443"/>
      <c r="D151" s="1443"/>
      <c r="E151" s="797">
        <v>17.1</v>
      </c>
      <c r="F151" s="922" cm="1" t="str">
        <f t="array" ref="F151:F151">OFFSET(G151,-1,-1)</f>
        <v>1</v>
      </c>
      <c r="G151" s="965"/>
      <c r="H151" s="965"/>
      <c r="I151" s="965"/>
      <c r="J151" s="965"/>
      <c r="K151" s="965"/>
      <c r="L151" s="922" cm="1" t="str">
        <f t="array" ref="L151:L151">OFFSET(M151,-1,-1)</f>
        <v>false</v>
      </c>
      <c r="M151" s="965"/>
      <c r="N151" s="965"/>
      <c r="O151" s="965"/>
      <c r="P151" s="965"/>
      <c r="Q151" s="965"/>
      <c r="R151" s="922" t="s">
        <v>730</v>
      </c>
      <c r="S151" s="159" cm="1" t="str">
        <f t="array" ref="S151:S151">OFFSET(T151,-1,-1)</f>
        <v>true</v>
      </c>
      <c r="T151" s="159" cm="1" t="str">
        <f t="array" ref="T151:T151">T150</f>
        <v>false</v>
      </c>
      <c r="U151" s="819">
        <f>AND(S151,IF(ISBLANK(T151),TRUE,T151))</f>
        <v>0</v>
      </c>
      <c r="V151" s="1443"/>
      <c r="W151" s="1443"/>
      <c r="X151" s="1443"/>
      <c r="Y151" s="1443"/>
      <c r="Z151" s="1443"/>
      <c r="AA151" s="820"/>
      <c r="AB151" s="1523"/>
      <c r="AC151" s="0"/>
      <c r="AD151" s="160">
        <v>6</v>
      </c>
      <c r="AE151" s="1517" t="s">
        <v>758</v>
      </c>
      <c r="AF151" s="1518"/>
      <c r="AG151" s="160" t="s">
        <v>733</v>
      </c>
      <c r="AH151" s="860">
        <f>AH146-AH147-AH149</f>
        <v>0</v>
      </c>
      <c r="AI151" s="862">
        <f>AI146-AI147-AI149</f>
        <v>0</v>
      </c>
      <c r="AJ151" s="862">
        <f>AJ146-AJ147-AJ149</f>
        <v>0</v>
      </c>
      <c r="AK151" s="862">
        <f>AK146-AK147-AK149</f>
        <v>0</v>
      </c>
      <c r="AL151" s="862">
        <f>AL146-AL147-AL149</f>
        <v>0</v>
      </c>
      <c r="AM151" s="862">
        <f>AM146-AM147-AM149</f>
        <v>0</v>
      </c>
      <c r="AN151" s="862">
        <f>AN146-AN147-AN149</f>
        <v>0</v>
      </c>
      <c r="AO151" s="862">
        <f>AO146-AO147-AO149</f>
        <v>0</v>
      </c>
      <c r="AP151" s="862">
        <f>AP146-AP147-AP149</f>
        <v>0</v>
      </c>
      <c r="AQ151" s="862">
        <f>AQ146-AQ147-AQ149</f>
        <v>0</v>
      </c>
      <c r="AR151" s="862">
        <f>AR146-AR147-AR149</f>
        <v>0</v>
      </c>
      <c r="AS151" s="862">
        <f>AS146-AS147-AS149</f>
        <v>0</v>
      </c>
      <c r="AT151" s="862">
        <f>AT146-AT147-AT149</f>
        <v>0</v>
      </c>
      <c r="AU151" s="862">
        <f>AU146-AU147-AU149</f>
        <v>0</v>
      </c>
      <c r="AV151" s="862">
        <f>AV146-AV147-AV149</f>
        <v>0</v>
      </c>
      <c r="AW151" s="862">
        <f>AW146-AW147-AW149</f>
        <v>0</v>
      </c>
      <c r="AX151" s="862">
        <f>AX146-AX147-AX149</f>
        <v>0</v>
      </c>
      <c r="AY151" s="862">
        <f>AY146-AY147-AY149</f>
        <v>0</v>
      </c>
      <c r="AZ151" s="862">
        <f>AZ146-AZ147-AZ149</f>
        <v>0</v>
      </c>
      <c r="BA151" s="862">
        <f>BA146-BA147-BA149</f>
        <v>0</v>
      </c>
      <c r="BB151" s="862">
        <f>BB146-BB147-BB149</f>
        <v>0</v>
      </c>
      <c r="BC151" s="862">
        <f>BC146-BC147-BC149</f>
        <v>0</v>
      </c>
      <c r="BD151" s="862">
        <f>BD146-BD147-BD149</f>
        <v>0</v>
      </c>
      <c r="BE151" s="862">
        <f>BE146-BE147-BE149</f>
        <v>0</v>
      </c>
      <c r="BF151" s="862">
        <f>BF146-BF147-BF149</f>
        <v>0</v>
      </c>
      <c r="BG151" s="862">
        <f>BG146-BG147-BG149</f>
        <v>0</v>
      </c>
      <c r="BH151" s="862">
        <f>BH146-BH147-BH149</f>
        <v>0</v>
      </c>
      <c r="BI151" s="862">
        <f>BI146-BI147-BI149</f>
        <v>0</v>
      </c>
      <c r="BJ151" s="862">
        <f>BJ146-BJ147-BJ149</f>
        <v>0</v>
      </c>
      <c r="BK151" s="862">
        <f>BK146-BK147-BK149</f>
        <v>0</v>
      </c>
      <c r="BL151" s="862">
        <f>BL146-BL147-BL149</f>
        <v>0</v>
      </c>
      <c r="BM151" s="862">
        <f>BM146-BM147-BM149</f>
        <v>0</v>
      </c>
      <c r="BN151" s="862">
        <f>BN146-BN147-BN149</f>
        <v>0</v>
      </c>
      <c r="BO151" s="862">
        <f>BO146-BO147-BO149</f>
        <v>0</v>
      </c>
      <c r="BP151" s="862">
        <f>BP146-BP147-BP149</f>
        <v>0</v>
      </c>
      <c r="BQ151" s="862">
        <f>BQ146-BQ147-BQ149</f>
        <v>0</v>
      </c>
      <c r="BR151" s="862">
        <f>BR146-BR147-BR149</f>
        <v>0</v>
      </c>
      <c r="BS151" s="862">
        <f>BS146-BS147-BS149</f>
        <v>0</v>
      </c>
      <c r="BT151" s="862">
        <f>BT146-BT147-BT149</f>
        <v>0</v>
      </c>
      <c r="BU151" s="862">
        <f>BU146-BU147-BU149</f>
        <v>0</v>
      </c>
      <c r="BV151" s="862">
        <f>BV146-BV147-BV149</f>
        <v>0</v>
      </c>
      <c r="BW151" s="862">
        <f>BW146-BW147-BW149</f>
        <v>0</v>
      </c>
      <c r="BX151" s="862">
        <f>BX146-BX147-BX149</f>
        <v>0</v>
      </c>
      <c r="BY151" s="862">
        <f>BY146-BY147-BY149</f>
        <v>0</v>
      </c>
      <c r="BZ151" s="862">
        <f>BZ146-BZ147-BZ149</f>
        <v>0</v>
      </c>
      <c r="CA151" s="862">
        <f>CA146-CA147-CA149</f>
        <v>0</v>
      </c>
      <c r="CB151" s="862">
        <f>CB146-CB147-CB149</f>
        <v>0</v>
      </c>
      <c r="CC151" s="862">
        <f>CC146-CC147-CC149</f>
        <v>0</v>
      </c>
      <c r="CD151" s="862">
        <f>CD146-CD147-CD149</f>
        <v>0</v>
      </c>
      <c r="CE151" s="862">
        <f>CE146-CE147-CE149</f>
        <v>0</v>
      </c>
      <c r="CF151" s="862">
        <f>CF146-CF147-CF149</f>
        <v>0</v>
      </c>
      <c r="CG151" s="862">
        <f>CG146-CG147-CG149</f>
        <v>0</v>
      </c>
      <c r="CH151" s="862">
        <f>CH146-CH147-CH149</f>
        <v>0</v>
      </c>
      <c r="CI151" s="862">
        <f>CI146-CI147-CI149</f>
        <v>0</v>
      </c>
      <c r="CJ151" s="862">
        <f>CJ146-CJ147-CJ149</f>
        <v>0</v>
      </c>
      <c r="CK151" s="862">
        <f>CK146-CK147-CK149</f>
        <v>0</v>
      </c>
      <c r="CL151" s="862">
        <f>CL146-CL147-CL149</f>
        <v>0</v>
      </c>
      <c r="CM151" s="862">
        <f>CM146-CM147-CM149</f>
        <v>0</v>
      </c>
      <c r="CN151" s="862">
        <f>CN146-CN147-CN149</f>
        <v>0</v>
      </c>
      <c r="CO151" s="862">
        <f>CO146-CO147-CO149</f>
        <v>0</v>
      </c>
      <c r="CP151" s="862">
        <f>CP146-CP147-CP149</f>
        <v>0</v>
      </c>
      <c r="CQ151" s="862">
        <f>CQ146-CQ147-CQ149</f>
        <v>0</v>
      </c>
      <c r="CR151" s="862">
        <f>CR146-CR147-CR149</f>
        <v>0</v>
      </c>
      <c r="CS151" s="862">
        <f>CS146-CS147-CS149</f>
        <v>0</v>
      </c>
      <c r="CT151" s="73"/>
      <c r="CU151" s="0"/>
      <c r="CV151" s="1632"/>
      <c r="CW151" s="1173" t="s">
        <v>759</v>
      </c>
      <c r="CX151" s="1178"/>
      <c r="CY151" s="1178"/>
      <c r="CZ151" s="1178"/>
      <c r="DA151" s="1179"/>
      <c r="DB151" s="1179"/>
    </row>
    <row s="1632" customFormat="1" customHeight="1" ht="29.25">
      <c r="A152" s="1443"/>
      <c r="B152" s="927"/>
      <c r="C152" s="1443"/>
      <c r="D152" s="1443"/>
      <c r="E152" s="797">
        <v>30</v>
      </c>
      <c r="F152" s="922" cm="1" t="str">
        <f t="array" ref="F152:F152">OFFSET(G152,-1,-1)</f>
        <v>1</v>
      </c>
      <c r="G152" s="965"/>
      <c r="H152" s="965"/>
      <c r="I152" s="965"/>
      <c r="J152" s="965"/>
      <c r="K152" s="965"/>
      <c r="L152" s="922" cm="1" t="str">
        <f t="array" ref="L152:L152">OFFSET(M152,-1,-1)</f>
        <v>false</v>
      </c>
      <c r="M152" s="965"/>
      <c r="N152" s="965"/>
      <c r="O152" s="965"/>
      <c r="P152" s="965"/>
      <c r="Q152" s="965"/>
      <c r="R152" s="1443"/>
      <c r="S152" s="159" cm="1" t="str">
        <f t="array" ref="S152:S152">OFFSET(T152,-1,-1)</f>
        <v>true</v>
      </c>
      <c r="T152" s="1443"/>
      <c r="U152" s="819">
        <f>AND(S152,IF(ISBLANK(T152),TRUE,T152))</f>
        <v>1</v>
      </c>
      <c r="V152" s="1443"/>
      <c r="W152" s="1443"/>
      <c r="X152" s="1443"/>
      <c r="Y152" s="1443"/>
      <c r="Z152" s="1443"/>
      <c r="AA152" s="820"/>
      <c r="AB152" s="1523"/>
      <c r="AC152" s="0"/>
      <c r="AD152" s="160">
        <v>7</v>
      </c>
      <c r="AE152" s="1513" t="s">
        <v>760</v>
      </c>
      <c r="AF152" s="167"/>
      <c r="AG152" s="872" t="s">
        <v>599</v>
      </c>
      <c r="AH152" s="860">
        <f>_xlfn.SUMIFS('Баланс Пр'!AE$27:AE$165,'Баланс Пр'!$AB$27:$AB$165,"3.1",'Баланс Пр'!$F$27:$F$165,$F152)+_xlfn.SUMIFS('Баланс Пр'!AE$27:AE$165,'Баланс Пр'!$AB$27:$AB$165,"3.2",'Баланс Пр'!$F$27:$F$165,$F152)</f>
        <v>8443.64</v>
      </c>
      <c r="AI152" s="860">
        <f>_xlfn.SUMIFS('Баланс Пр'!AF$27:AF$165,'Баланс Пр'!$AB$27:$AB$165,"3.1",'Баланс Пр'!$F$27:$F$165,$F152)+_xlfn.SUMIFS('Баланс Пр'!AF$27:AF$165,'Баланс Пр'!$AB$27:$AB$165,"3.2",'Баланс Пр'!$F$27:$F$165,$F152)</f>
        <v>8456.95</v>
      </c>
      <c r="AJ152" s="860">
        <f>_xlfn.SUMIFS('Баланс Пр'!AG$27:AG$165,'Баланс Пр'!$AB$27:$AB$165,"3.1",'Баланс Пр'!$F$27:$F$165,$F152)+_xlfn.SUMIFS('Баланс Пр'!AG$27:AG$165,'Баланс Пр'!$AB$27:$AB$165,"3.2",'Баланс Пр'!$F$27:$F$165,$F152)</f>
        <v>8456.95</v>
      </c>
      <c r="AK152" s="860">
        <f>_xlfn.SUMIFS('Баланс Пр'!AH$27:AH$165,'Баланс Пр'!$AB$27:$AB$165,"3.1",'Баланс Пр'!$F$27:$F$165,$F152)+_xlfn.SUMIFS('Баланс Пр'!AH$27:AH$165,'Баланс Пр'!$AB$27:$AB$165,"3.2",'Баланс Пр'!$F$27:$F$165,$F152)</f>
        <v>7326.65</v>
      </c>
      <c r="AL152" s="860">
        <f>_xlfn.SUMIFS('Баланс Пр'!AI$27:AI$165,'Баланс Пр'!$AB$27:$AB$165,"3.1",'Баланс Пр'!$F$27:$F$165,$F152)+_xlfn.SUMIFS('Баланс Пр'!AI$27:AI$165,'Баланс Пр'!$AB$27:$AB$165,"3.2",'Баланс Пр'!$F$27:$F$165,$F152)</f>
        <v>8296.9</v>
      </c>
      <c r="AM152" s="1772"/>
      <c r="AN152" s="862">
        <f>AL152-AM152</f>
        <v>8296.9</v>
      </c>
      <c r="AO152" s="860">
        <f>_xlfn.SUMIFS('Баланс Пр'!AJ$27:AJ$165,'Баланс Пр'!$AB$27:$AB$165,"3.1",'Баланс Пр'!$F$27:$F$165,$F152)+_xlfn.SUMIFS('Баланс Пр'!AJ$27:AJ$165,'Баланс Пр'!$AB$27:$AB$165,"3.2",'Баланс Пр'!$F$27:$F$165,$F152)</f>
        <v>7326.65</v>
      </c>
      <c r="AP152" s="1772"/>
      <c r="AQ152" s="862">
        <f>AO152-AP152</f>
        <v>7326.65</v>
      </c>
      <c r="AR152" s="860">
        <f>_xlfn.SUMIFS('Баланс Пр'!AK$27:AK$165,'Баланс Пр'!$AB$27:$AB$165,"3.1",'Баланс Пр'!$F$27:$F$165,$F152)+_xlfn.SUMIFS('Баланс Пр'!AK$27:AK$165,'Баланс Пр'!$AB$27:$AB$165,"3.2",'Баланс Пр'!$F$27:$F$165,$F152)</f>
        <v>0</v>
      </c>
      <c r="AS152" s="1772"/>
      <c r="AT152" s="862">
        <f>AR152-AS152</f>
        <v>0</v>
      </c>
      <c r="AU152" s="860">
        <f>_xlfn.SUMIFS('Баланс Пр'!AL$27:AL$165,'Баланс Пр'!$AB$27:$AB$165,"3.1",'Баланс Пр'!$F$27:$F$165,$F152)+_xlfn.SUMIFS('Баланс Пр'!AL$27:AL$165,'Баланс Пр'!$AB$27:$AB$165,"3.2",'Баланс Пр'!$F$27:$F$165,$F152)</f>
        <v>0</v>
      </c>
      <c r="AV152" s="1772"/>
      <c r="AW152" s="862">
        <f>AU152-AV152</f>
        <v>0</v>
      </c>
      <c r="AX152" s="860">
        <f>_xlfn.SUMIFS('Баланс Пр'!AM$27:AM$165,'Баланс Пр'!$AB$27:$AB$165,"3.1",'Баланс Пр'!$F$27:$F$165,$F152)+_xlfn.SUMIFS('Баланс Пр'!AM$27:AM$165,'Баланс Пр'!$AB$27:$AB$165,"3.2",'Баланс Пр'!$F$27:$F$165,$F152)</f>
        <v>0</v>
      </c>
      <c r="AY152" s="1772"/>
      <c r="AZ152" s="862">
        <f>AX152-AY152</f>
        <v>0</v>
      </c>
      <c r="BA152" s="860">
        <f>_xlfn.SUMIFS('Баланс Пр'!AN$27:AN$165,'Баланс Пр'!$AB$27:$AB$165,"3.1",'Баланс Пр'!$F$27:$F$165,$F152)+_xlfn.SUMIFS('Баланс Пр'!AN$27:AN$165,'Баланс Пр'!$AB$27:$AB$165,"3.2",'Баланс Пр'!$F$27:$F$165,$F152)</f>
        <v>0</v>
      </c>
      <c r="BB152" s="1772"/>
      <c r="BC152" s="862">
        <f>BA152-BB152</f>
        <v>0</v>
      </c>
      <c r="BD152" s="860">
        <f>_xlfn.SUMIFS('Баланс Пр'!AO$27:AO$165,'Баланс Пр'!$AB$27:$AB$165,"3.1",'Баланс Пр'!$F$27:$F$165,$F152)+_xlfn.SUMIFS('Баланс Пр'!AO$27:AO$165,'Баланс Пр'!$AB$27:$AB$165,"3.2",'Баланс Пр'!$F$27:$F$165,$F152)</f>
        <v>0</v>
      </c>
      <c r="BE152" s="1772"/>
      <c r="BF152" s="862">
        <f>BD152-BE152</f>
        <v>0</v>
      </c>
      <c r="BG152" s="860">
        <f>_xlfn.SUMIFS('Баланс Пр'!AP$27:AP$165,'Баланс Пр'!$AB$27:$AB$165,"3.1",'Баланс Пр'!$F$27:$F$165,$F152)+_xlfn.SUMIFS('Баланс Пр'!AP$27:AP$165,'Баланс Пр'!$AB$27:$AB$165,"3.2",'Баланс Пр'!$F$27:$F$165,$F152)</f>
        <v>0</v>
      </c>
      <c r="BH152" s="1772"/>
      <c r="BI152" s="862">
        <f>BG152-BH152</f>
        <v>0</v>
      </c>
      <c r="BJ152" s="860">
        <f>_xlfn.SUMIFS('Баланс Пр'!AQ$27:AQ$165,'Баланс Пр'!$AB$27:$AB$165,"3.1",'Баланс Пр'!$F$27:$F$165,$F152)+_xlfn.SUMIFS('Баланс Пр'!AQ$27:AQ$165,'Баланс Пр'!$AB$27:$AB$165,"3.2",'Баланс Пр'!$F$27:$F$165,$F152)</f>
        <v>0</v>
      </c>
      <c r="BK152" s="1772"/>
      <c r="BL152" s="862">
        <f>BJ152-BK152</f>
        <v>0</v>
      </c>
      <c r="BM152" s="860">
        <f>_xlfn.SUMIFS('Баланс Пр'!AR$27:AR$165,'Баланс Пр'!$AB$27:$AB$165,"3.1",'Баланс Пр'!$F$27:$F$165,$F152)+_xlfn.SUMIFS('Баланс Пр'!AR$27:AR$165,'Баланс Пр'!$AB$27:$AB$165,"3.2",'Баланс Пр'!$F$27:$F$165,$F152)</f>
        <v>0</v>
      </c>
      <c r="BN152" s="1772"/>
      <c r="BO152" s="862">
        <f>BM152-BN152</f>
        <v>0</v>
      </c>
      <c r="BP152" s="860">
        <f>_xlfn.SUMIFS('Баланс Пр'!AS$27:AS$165,'Баланс Пр'!$AB$27:$AB$165,"3.1",'Баланс Пр'!$F$27:$F$165,$F152)+_xlfn.SUMIFS('Баланс Пр'!AS$27:AS$165,'Баланс Пр'!$AB$27:$AB$165,"3.2",'Баланс Пр'!$F$27:$F$165,$F152)</f>
        <v>7326.65</v>
      </c>
      <c r="BQ152" s="1772"/>
      <c r="BR152" s="862">
        <f>BP152-BQ152</f>
        <v>7326.65</v>
      </c>
      <c r="BS152" s="860">
        <f>_xlfn.SUMIFS('Баланс Пр'!AT$27:AT$165,'Баланс Пр'!$AB$27:$AB$165,"3.1",'Баланс Пр'!$F$27:$F$165,$F152)+_xlfn.SUMIFS('Баланс Пр'!AT$27:AT$165,'Баланс Пр'!$AB$27:$AB$165,"3.2",'Баланс Пр'!$F$27:$F$165,$F152)</f>
        <v>0</v>
      </c>
      <c r="BT152" s="1772"/>
      <c r="BU152" s="862">
        <f>BS152-BT152</f>
        <v>0</v>
      </c>
      <c r="BV152" s="860">
        <f>_xlfn.SUMIFS('Баланс Пр'!AU$27:AU$165,'Баланс Пр'!$AB$27:$AB$165,"3.1",'Баланс Пр'!$F$27:$F$165,$F152)+_xlfn.SUMIFS('Баланс Пр'!AU$27:AU$165,'Баланс Пр'!$AB$27:$AB$165,"3.2",'Баланс Пр'!$F$27:$F$165,$F152)</f>
        <v>0</v>
      </c>
      <c r="BW152" s="1772"/>
      <c r="BX152" s="862">
        <f>BV152-BW152</f>
        <v>0</v>
      </c>
      <c r="BY152" s="860">
        <f>_xlfn.SUMIFS('Баланс Пр'!AV$27:AV$165,'Баланс Пр'!$AB$27:$AB$165,"3.1",'Баланс Пр'!$F$27:$F$165,$F152)+_xlfn.SUMIFS('Баланс Пр'!AV$27:AV$165,'Баланс Пр'!$AB$27:$AB$165,"3.2",'Баланс Пр'!$F$27:$F$165,$F152)</f>
        <v>0</v>
      </c>
      <c r="BZ152" s="1772"/>
      <c r="CA152" s="862">
        <f>BY152-BZ152</f>
        <v>0</v>
      </c>
      <c r="CB152" s="860">
        <f>_xlfn.SUMIFS('Баланс Пр'!AW$27:AW$165,'Баланс Пр'!$AB$27:$AB$165,"3.1",'Баланс Пр'!$F$27:$F$165,$F152)+_xlfn.SUMIFS('Баланс Пр'!AW$27:AW$165,'Баланс Пр'!$AB$27:$AB$165,"3.2",'Баланс Пр'!$F$27:$F$165,$F152)</f>
        <v>0</v>
      </c>
      <c r="CC152" s="1772"/>
      <c r="CD152" s="862">
        <f>CB152-CC152</f>
        <v>0</v>
      </c>
      <c r="CE152" s="860">
        <f>_xlfn.SUMIFS('Баланс Пр'!AX$27:AX$165,'Баланс Пр'!$AB$27:$AB$165,"3.1",'Баланс Пр'!$F$27:$F$165,$F152)+_xlfn.SUMIFS('Баланс Пр'!AX$27:AX$165,'Баланс Пр'!$AB$27:$AB$165,"3.2",'Баланс Пр'!$F$27:$F$165,$F152)</f>
        <v>0</v>
      </c>
      <c r="CF152" s="1772"/>
      <c r="CG152" s="862">
        <f>CE152-CF152</f>
        <v>0</v>
      </c>
      <c r="CH152" s="860">
        <f>_xlfn.SUMIFS('Баланс Пр'!AY$27:AY$165,'Баланс Пр'!$AB$27:$AB$165,"3.1",'Баланс Пр'!$F$27:$F$165,$F152)+_xlfn.SUMIFS('Баланс Пр'!AY$27:AY$165,'Баланс Пр'!$AB$27:$AB$165,"3.2",'Баланс Пр'!$F$27:$F$165,$F152)</f>
        <v>0</v>
      </c>
      <c r="CI152" s="1772"/>
      <c r="CJ152" s="862">
        <f>CH152-CI152</f>
        <v>0</v>
      </c>
      <c r="CK152" s="860">
        <f>_xlfn.SUMIFS('Баланс Пр'!AZ$27:AZ$165,'Баланс Пр'!$AB$27:$AB$165,"3.1",'Баланс Пр'!$F$27:$F$165,$F152)+_xlfn.SUMIFS('Баланс Пр'!AZ$27:AZ$165,'Баланс Пр'!$AB$27:$AB$165,"3.2",'Баланс Пр'!$F$27:$F$165,$F152)</f>
        <v>0</v>
      </c>
      <c r="CL152" s="1772"/>
      <c r="CM152" s="862">
        <f>CK152-CL152</f>
        <v>0</v>
      </c>
      <c r="CN152" s="860">
        <f>_xlfn.SUMIFS('Баланс Пр'!BA$27:BA$165,'Баланс Пр'!$AB$27:$AB$165,"3.1",'Баланс Пр'!$F$27:$F$165,$F152)+_xlfn.SUMIFS('Баланс Пр'!BA$27:BA$165,'Баланс Пр'!$AB$27:$AB$165,"3.2",'Баланс Пр'!$F$27:$F$165,$F152)</f>
        <v>0</v>
      </c>
      <c r="CO152" s="1772"/>
      <c r="CP152" s="862">
        <f>CN152-CO152</f>
        <v>0</v>
      </c>
      <c r="CQ152" s="860">
        <f>_xlfn.SUMIFS('Баланс Пр'!BB$27:BB$165,'Баланс Пр'!$AB$27:$AB$165,"3.1",'Баланс Пр'!$F$27:$F$165,$F152)+_xlfn.SUMIFS('Баланс Пр'!BB$27:BB$165,'Баланс Пр'!$AB$27:$AB$165,"3.2",'Баланс Пр'!$F$27:$F$165,$F152)</f>
        <v>0</v>
      </c>
      <c r="CR152" s="1772"/>
      <c r="CS152" s="862">
        <f>CQ152-CR152</f>
        <v>0</v>
      </c>
      <c r="CT152" s="1719"/>
      <c r="CU152" s="0"/>
      <c r="CV152" s="1632"/>
      <c r="CW152" s="1173" t="s">
        <v>761</v>
      </c>
      <c r="CX152" s="1178"/>
      <c r="CY152" s="1178"/>
      <c r="CZ152" s="1178"/>
      <c r="DA152" s="1179"/>
      <c r="DB152" s="1179"/>
    </row>
    <row s="1632" customFormat="1" customHeight="1" ht="16.5">
      <c r="A153" s="1443"/>
      <c r="B153" s="927"/>
      <c r="C153" s="1443"/>
      <c r="D153" s="1443"/>
      <c r="E153" s="797">
        <v>17.1</v>
      </c>
      <c r="F153" s="922" cm="1" t="str">
        <f t="array" ref="F153:F153">OFFSET(G153,-1,-1)</f>
        <v>1</v>
      </c>
      <c r="G153" s="965"/>
      <c r="H153" s="965"/>
      <c r="I153" s="965"/>
      <c r="J153" s="965"/>
      <c r="K153" s="965"/>
      <c r="L153" s="922" cm="1" t="str">
        <f t="array" ref="L153:L153">OFFSET(M153,-1,-1)</f>
        <v>false</v>
      </c>
      <c r="M153" s="965"/>
      <c r="N153" s="965"/>
      <c r="O153" s="965"/>
      <c r="P153" s="965"/>
      <c r="Q153" s="965"/>
      <c r="R153" s="1443"/>
      <c r="S153" s="159" cm="1" t="str">
        <f t="array" ref="S153:S153">OFFSET(T153,-1,-1)</f>
        <v>true</v>
      </c>
      <c r="T153" s="1443"/>
      <c r="U153" s="819">
        <f>AND(S153,IF(ISBLANK(T153),TRUE,T153))</f>
        <v>1</v>
      </c>
      <c r="V153" s="1443"/>
      <c r="W153" s="1443"/>
      <c r="X153" s="1443"/>
      <c r="Y153" s="1443"/>
      <c r="Z153" s="1443"/>
      <c r="AA153" s="820"/>
      <c r="AB153" s="1523"/>
      <c r="AC153" s="0"/>
      <c r="AD153" s="160">
        <v>8</v>
      </c>
      <c r="AE153" s="1513" t="s">
        <v>762</v>
      </c>
      <c r="AF153" s="167"/>
      <c r="AG153" s="872" t="s">
        <v>599</v>
      </c>
      <c r="AH153" s="860">
        <f>_xlfn.SUMIFS('Баланс Пр'!AE$27:AE$165,'Баланс Пр'!$AB$27:$AB$165,"5",'Баланс Пр'!$F$27:$F$165,$F152)</f>
        <v>372.36</v>
      </c>
      <c r="AI153" s="860">
        <f>_xlfn.SUMIFS('Баланс Пр'!AF$27:AF$165,'Баланс Пр'!$AB$27:$AB$165,"5",'Баланс Пр'!$F$27:$F$165,$F152)</f>
        <v>372.36</v>
      </c>
      <c r="AJ153" s="860">
        <f>_xlfn.SUMIFS('Баланс Пр'!AG$27:AG$165,'Баланс Пр'!$AB$27:$AB$165,"5",'Баланс Пр'!$F$27:$F$165,$F152)</f>
        <v>372.98</v>
      </c>
      <c r="AK153" s="860">
        <f>_xlfn.SUMIFS('Баланс Пр'!AH$27:AH$165,'Баланс Пр'!$AB$27:$AB$165,"5",'Баланс Пр'!$F$27:$F$165,$F152)</f>
        <v>323.11</v>
      </c>
      <c r="AL153" s="860">
        <f>_xlfn.SUMIFS('Баланс Пр'!AI$27:AI$165,'Баланс Пр'!$AB$27:$AB$165,"5",'Баланс Пр'!$F$27:$F$165,$F152)</f>
        <v>532.8</v>
      </c>
      <c r="AM153" s="1772"/>
      <c r="AN153" s="862">
        <f>AL153-AM153</f>
        <v>532.8</v>
      </c>
      <c r="AO153" s="860">
        <f>_xlfn.SUMIFS('Баланс Пр'!AJ$27:AJ$165,'Баланс Пр'!$AB$27:$AB$165,"5",'Баланс Пр'!$F$27:$F$165,$F152)</f>
        <v>323.11</v>
      </c>
      <c r="AP153" s="1772"/>
      <c r="AQ153" s="862">
        <f>AO153-AP153</f>
        <v>323.11</v>
      </c>
      <c r="AR153" s="860">
        <f>_xlfn.SUMIFS('Баланс Пр'!AK$27:AK$165,'Баланс Пр'!$AB$27:$AB$165,"5",'Баланс Пр'!$F$27:$F$165,$F152)</f>
        <v>0</v>
      </c>
      <c r="AS153" s="1772"/>
      <c r="AT153" s="862">
        <f>AR153-AS153</f>
        <v>0</v>
      </c>
      <c r="AU153" s="860">
        <f>_xlfn.SUMIFS('Баланс Пр'!AL$27:AL$165,'Баланс Пр'!$AB$27:$AB$165,"5",'Баланс Пр'!$F$27:$F$165,$F152)</f>
        <v>0</v>
      </c>
      <c r="AV153" s="1772"/>
      <c r="AW153" s="862">
        <f>AU153-AV153</f>
        <v>0</v>
      </c>
      <c r="AX153" s="860">
        <f>_xlfn.SUMIFS('Баланс Пр'!AM$27:AM$165,'Баланс Пр'!$AB$27:$AB$165,"5",'Баланс Пр'!$F$27:$F$165,$F152)</f>
        <v>0</v>
      </c>
      <c r="AY153" s="1772"/>
      <c r="AZ153" s="862">
        <f>AX153-AY153</f>
        <v>0</v>
      </c>
      <c r="BA153" s="860">
        <f>_xlfn.SUMIFS('Баланс Пр'!AN$27:AN$165,'Баланс Пр'!$AB$27:$AB$165,"5",'Баланс Пр'!$F$27:$F$165,$F152)</f>
        <v>0</v>
      </c>
      <c r="BB153" s="1772"/>
      <c r="BC153" s="862">
        <f>BA153-BB153</f>
        <v>0</v>
      </c>
      <c r="BD153" s="860">
        <f>_xlfn.SUMIFS('Баланс Пр'!AO$27:AO$165,'Баланс Пр'!$AB$27:$AB$165,"5",'Баланс Пр'!$F$27:$F$165,$F152)</f>
        <v>0</v>
      </c>
      <c r="BE153" s="1772"/>
      <c r="BF153" s="862">
        <f>BD153-BE153</f>
        <v>0</v>
      </c>
      <c r="BG153" s="860">
        <f>_xlfn.SUMIFS('Баланс Пр'!AP$27:AP$165,'Баланс Пр'!$AB$27:$AB$165,"5",'Баланс Пр'!$F$27:$F$165,$F152)</f>
        <v>0</v>
      </c>
      <c r="BH153" s="1772"/>
      <c r="BI153" s="862">
        <f>BG153-BH153</f>
        <v>0</v>
      </c>
      <c r="BJ153" s="860">
        <f>_xlfn.SUMIFS('Баланс Пр'!AQ$27:AQ$165,'Баланс Пр'!$AB$27:$AB$165,"5",'Баланс Пр'!$F$27:$F$165,$F152)</f>
        <v>0</v>
      </c>
      <c r="BK153" s="1772"/>
      <c r="BL153" s="862">
        <f>BJ153-BK153</f>
        <v>0</v>
      </c>
      <c r="BM153" s="860">
        <f>_xlfn.SUMIFS('Баланс Пр'!AR$27:AR$165,'Баланс Пр'!$AB$27:$AB$165,"5",'Баланс Пр'!$F$27:$F$165,$F152)</f>
        <v>0</v>
      </c>
      <c r="BN153" s="1772"/>
      <c r="BO153" s="862">
        <f>BM153-BN153</f>
        <v>0</v>
      </c>
      <c r="BP153" s="860">
        <f>_xlfn.SUMIFS('Баланс Пр'!AS$27:AS$165,'Баланс Пр'!$AB$27:$AB$165,"5",'Баланс Пр'!$F$27:$F$165,$F152)</f>
        <v>323.11</v>
      </c>
      <c r="BQ153" s="1772"/>
      <c r="BR153" s="862">
        <f>BP153-BQ153</f>
        <v>323.11</v>
      </c>
      <c r="BS153" s="860">
        <f>_xlfn.SUMIFS('Баланс Пр'!AT$27:AT$165,'Баланс Пр'!$AB$27:$AB$165,"5",'Баланс Пр'!$F$27:$F$165,$F152)</f>
        <v>0</v>
      </c>
      <c r="BT153" s="1772"/>
      <c r="BU153" s="862">
        <f>BS153-BT153</f>
        <v>0</v>
      </c>
      <c r="BV153" s="860">
        <f>_xlfn.SUMIFS('Баланс Пр'!AU$27:AU$165,'Баланс Пр'!$AB$27:$AB$165,"5",'Баланс Пр'!$F$27:$F$165,$F152)</f>
        <v>0</v>
      </c>
      <c r="BW153" s="1772"/>
      <c r="BX153" s="862">
        <f>BV153-BW153</f>
        <v>0</v>
      </c>
      <c r="BY153" s="860">
        <f>_xlfn.SUMIFS('Баланс Пр'!AV$27:AV$165,'Баланс Пр'!$AB$27:$AB$165,"5",'Баланс Пр'!$F$27:$F$165,$F152)</f>
        <v>0</v>
      </c>
      <c r="BZ153" s="1772"/>
      <c r="CA153" s="862">
        <f>BY153-BZ153</f>
        <v>0</v>
      </c>
      <c r="CB153" s="860">
        <f>_xlfn.SUMIFS('Баланс Пр'!AW$27:AW$165,'Баланс Пр'!$AB$27:$AB$165,"5",'Баланс Пр'!$F$27:$F$165,$F152)</f>
        <v>0</v>
      </c>
      <c r="CC153" s="1772"/>
      <c r="CD153" s="862">
        <f>CB153-CC153</f>
        <v>0</v>
      </c>
      <c r="CE153" s="860">
        <f>_xlfn.SUMIFS('Баланс Пр'!AX$27:AX$165,'Баланс Пр'!$AB$27:$AB$165,"5",'Баланс Пр'!$F$27:$F$165,$F152)</f>
        <v>0</v>
      </c>
      <c r="CF153" s="1772"/>
      <c r="CG153" s="862">
        <f>CE153-CF153</f>
        <v>0</v>
      </c>
      <c r="CH153" s="860">
        <f>_xlfn.SUMIFS('Баланс Пр'!AY$27:AY$165,'Баланс Пр'!$AB$27:$AB$165,"5",'Баланс Пр'!$F$27:$F$165,$F152)</f>
        <v>0</v>
      </c>
      <c r="CI153" s="1772"/>
      <c r="CJ153" s="862">
        <f>CH153-CI153</f>
        <v>0</v>
      </c>
      <c r="CK153" s="860">
        <f>_xlfn.SUMIFS('Баланс Пр'!AZ$27:AZ$165,'Баланс Пр'!$AB$27:$AB$165,"5",'Баланс Пр'!$F$27:$F$165,$F152)</f>
        <v>0</v>
      </c>
      <c r="CL153" s="1772"/>
      <c r="CM153" s="862">
        <f>CK153-CL153</f>
        <v>0</v>
      </c>
      <c r="CN153" s="860">
        <f>_xlfn.SUMIFS('Баланс Пр'!BA$27:BA$165,'Баланс Пр'!$AB$27:$AB$165,"5",'Баланс Пр'!$F$27:$F$165,$F152)</f>
        <v>0</v>
      </c>
      <c r="CO153" s="1772"/>
      <c r="CP153" s="862">
        <f>CN153-CO153</f>
        <v>0</v>
      </c>
      <c r="CQ153" s="860">
        <f>_xlfn.SUMIFS('Баланс Пр'!BB$27:BB$165,'Баланс Пр'!$AB$27:$AB$165,"5",'Баланс Пр'!$F$27:$F$165,$F152)</f>
        <v>0</v>
      </c>
      <c r="CR153" s="1772"/>
      <c r="CS153" s="862">
        <f>CQ153-CR153</f>
        <v>0</v>
      </c>
      <c r="CT153" s="1719"/>
      <c r="CU153" s="0"/>
      <c r="CV153" s="1632"/>
      <c r="CW153" s="1173" t="s">
        <v>763</v>
      </c>
      <c r="CX153" s="1178"/>
      <c r="CY153" s="1178"/>
      <c r="CZ153" s="1178"/>
      <c r="DA153" s="1179"/>
      <c r="DB153" s="1179"/>
    </row>
    <row s="1632" customFormat="1" customHeight="1" ht="16.5">
      <c r="A154" s="1443"/>
      <c r="B154" s="927"/>
      <c r="C154" s="1443"/>
      <c r="D154" s="1443"/>
      <c r="E154" s="797">
        <v>17.1</v>
      </c>
      <c r="F154" s="922" cm="1" t="str">
        <f t="array" ref="F154:F154">OFFSET(G154,-1,-1)</f>
        <v>1</v>
      </c>
      <c r="G154" s="965"/>
      <c r="H154" s="965"/>
      <c r="I154" s="965"/>
      <c r="J154" s="965"/>
      <c r="K154" s="965"/>
      <c r="L154" s="922" cm="1" t="str">
        <f t="array" ref="L154:L154">OFFSET(M154,-1,-1)</f>
        <v>false</v>
      </c>
      <c r="M154" s="965"/>
      <c r="N154" s="965"/>
      <c r="O154" s="965"/>
      <c r="P154" s="965"/>
      <c r="Q154" s="965"/>
      <c r="R154" s="1443"/>
      <c r="S154" s="159" cm="1" t="str">
        <f t="array" ref="S154:S154">OFFSET(T154,-1,-1)</f>
        <v>true</v>
      </c>
      <c r="T154" s="1443"/>
      <c r="U154" s="819">
        <f>AND(S154,IF(ISBLANK(T154),TRUE,T154))</f>
        <v>1</v>
      </c>
      <c r="V154" s="1443"/>
      <c r="W154" s="1443"/>
      <c r="X154" s="1443"/>
      <c r="Y154" s="1443"/>
      <c r="Z154" s="1443"/>
      <c r="AA154" s="820"/>
      <c r="AB154" s="1523"/>
      <c r="AC154" s="0"/>
      <c r="AD154" s="160" t="s">
        <v>764</v>
      </c>
      <c r="AE154" s="1519" t="s">
        <v>765</v>
      </c>
      <c r="AF154" s="1520"/>
      <c r="AG154" s="651" t="s">
        <v>498</v>
      </c>
      <c r="AH154" s="866">
        <f>_xlfn.IFERROR(AH153/AH152,0)</f>
        <v>0.0440994642121171</v>
      </c>
      <c r="AI154" s="867">
        <f>_xlfn.IFERROR(AI153/AI152,0)</f>
        <v>0.0440300581178794</v>
      </c>
      <c r="AJ154" s="867">
        <f>_xlfn.IFERROR(AJ153/AJ152,0)</f>
        <v>0.044103370600512</v>
      </c>
      <c r="AK154" s="867">
        <f>_xlfn.IFERROR(AK153/AK152,0)</f>
        <v>0.0441006462708059</v>
      </c>
      <c r="AL154" s="867">
        <f>_xlfn.IFERROR(AL153/AL152,0)</f>
        <v>0.0642167556557268</v>
      </c>
      <c r="AM154" s="867">
        <f>_xlfn.IFERROR(AM153/AM152,0)</f>
        <v>0</v>
      </c>
      <c r="AN154" s="867">
        <f>_xlfn.IFERROR(AN153/AN152,0)</f>
        <v>0.0642167556557268</v>
      </c>
      <c r="AO154" s="867">
        <f>_xlfn.IFERROR(AO153/AO152,0)</f>
        <v>0.0441006462708059</v>
      </c>
      <c r="AP154" s="867">
        <f>_xlfn.IFERROR(AP153/AP152,0)</f>
        <v>0</v>
      </c>
      <c r="AQ154" s="867">
        <f>_xlfn.IFERROR(AQ153/AQ152,0)</f>
        <v>0.0441006462708059</v>
      </c>
      <c r="AR154" s="867">
        <f>_xlfn.IFERROR(AR153/AR152,0)</f>
        <v>0</v>
      </c>
      <c r="AS154" s="867">
        <f>_xlfn.IFERROR(AS153/AS152,0)</f>
        <v>0</v>
      </c>
      <c r="AT154" s="867">
        <f>_xlfn.IFERROR(AT153/AT152,0)</f>
        <v>0</v>
      </c>
      <c r="AU154" s="867">
        <f>_xlfn.IFERROR(AU153/AU152,0)</f>
        <v>0</v>
      </c>
      <c r="AV154" s="867">
        <f>_xlfn.IFERROR(AV153/AV152,0)</f>
        <v>0</v>
      </c>
      <c r="AW154" s="867">
        <f>_xlfn.IFERROR(AW153/AW152,0)</f>
        <v>0</v>
      </c>
      <c r="AX154" s="867">
        <f>_xlfn.IFERROR(AX153/AX152,0)</f>
        <v>0</v>
      </c>
      <c r="AY154" s="867">
        <f>_xlfn.IFERROR(AY153/AY152,0)</f>
        <v>0</v>
      </c>
      <c r="AZ154" s="867">
        <f>_xlfn.IFERROR(AZ153/AZ152,0)</f>
        <v>0</v>
      </c>
      <c r="BA154" s="867">
        <f>_xlfn.IFERROR(BA153/BA152,0)</f>
        <v>0</v>
      </c>
      <c r="BB154" s="867">
        <f>_xlfn.IFERROR(BB153/BB152,0)</f>
        <v>0</v>
      </c>
      <c r="BC154" s="867">
        <f>_xlfn.IFERROR(BC153/BC152,0)</f>
        <v>0</v>
      </c>
      <c r="BD154" s="867">
        <f>_xlfn.IFERROR(BD153/BD152,0)</f>
        <v>0</v>
      </c>
      <c r="BE154" s="867">
        <f>_xlfn.IFERROR(BE153/BE152,0)</f>
        <v>0</v>
      </c>
      <c r="BF154" s="867">
        <f>_xlfn.IFERROR(BF153/BF152,0)</f>
        <v>0</v>
      </c>
      <c r="BG154" s="867">
        <f>_xlfn.IFERROR(BG153/BG152,0)</f>
        <v>0</v>
      </c>
      <c r="BH154" s="867">
        <f>_xlfn.IFERROR(BH153/BH152,0)</f>
        <v>0</v>
      </c>
      <c r="BI154" s="867">
        <f>_xlfn.IFERROR(BI153/BI152,0)</f>
        <v>0</v>
      </c>
      <c r="BJ154" s="867">
        <f>_xlfn.IFERROR(BJ153/BJ152,0)</f>
        <v>0</v>
      </c>
      <c r="BK154" s="867">
        <f>_xlfn.IFERROR(BK153/BK152,0)</f>
        <v>0</v>
      </c>
      <c r="BL154" s="867">
        <f>_xlfn.IFERROR(BL153/BL152,0)</f>
        <v>0</v>
      </c>
      <c r="BM154" s="867">
        <f>_xlfn.IFERROR(BM153/BM152,0)</f>
        <v>0</v>
      </c>
      <c r="BN154" s="867">
        <f>_xlfn.IFERROR(BN153/BN152,0)</f>
        <v>0</v>
      </c>
      <c r="BO154" s="867">
        <f>_xlfn.IFERROR(BO153/BO152,0)</f>
        <v>0</v>
      </c>
      <c r="BP154" s="867">
        <f>_xlfn.IFERROR(BP153/BP152,0)</f>
        <v>0.0441006462708059</v>
      </c>
      <c r="BQ154" s="867">
        <f>_xlfn.IFERROR(BQ153/BQ152,0)</f>
        <v>0</v>
      </c>
      <c r="BR154" s="867">
        <f>_xlfn.IFERROR(BR153/BR152,0)</f>
        <v>0.0441006462708059</v>
      </c>
      <c r="BS154" s="867">
        <f>_xlfn.IFERROR(BS153/BS152,0)</f>
        <v>0</v>
      </c>
      <c r="BT154" s="867">
        <f>_xlfn.IFERROR(BT153/BT152,0)</f>
        <v>0</v>
      </c>
      <c r="BU154" s="867">
        <f>_xlfn.IFERROR(BU153/BU152,0)</f>
        <v>0</v>
      </c>
      <c r="BV154" s="867">
        <f>_xlfn.IFERROR(BV153/BV152,0)</f>
        <v>0</v>
      </c>
      <c r="BW154" s="867">
        <f>_xlfn.IFERROR(BW153/BW152,0)</f>
        <v>0</v>
      </c>
      <c r="BX154" s="867">
        <f>_xlfn.IFERROR(BX153/BX152,0)</f>
        <v>0</v>
      </c>
      <c r="BY154" s="867">
        <f>_xlfn.IFERROR(BY153/BY152,0)</f>
        <v>0</v>
      </c>
      <c r="BZ154" s="867">
        <f>_xlfn.IFERROR(BZ153/BZ152,0)</f>
        <v>0</v>
      </c>
      <c r="CA154" s="867">
        <f>_xlfn.IFERROR(CA153/CA152,0)</f>
        <v>0</v>
      </c>
      <c r="CB154" s="867">
        <f>_xlfn.IFERROR(CB153/CB152,0)</f>
        <v>0</v>
      </c>
      <c r="CC154" s="867">
        <f>_xlfn.IFERROR(CC153/CC152,0)</f>
        <v>0</v>
      </c>
      <c r="CD154" s="867">
        <f>_xlfn.IFERROR(CD153/CD152,0)</f>
        <v>0</v>
      </c>
      <c r="CE154" s="867">
        <f>_xlfn.IFERROR(CE153/CE152,0)</f>
        <v>0</v>
      </c>
      <c r="CF154" s="867">
        <f>_xlfn.IFERROR(CF153/CF152,0)</f>
        <v>0</v>
      </c>
      <c r="CG154" s="867">
        <f>_xlfn.IFERROR(CG153/CG152,0)</f>
        <v>0</v>
      </c>
      <c r="CH154" s="867">
        <f>_xlfn.IFERROR(CH153/CH152,0)</f>
        <v>0</v>
      </c>
      <c r="CI154" s="867">
        <f>_xlfn.IFERROR(CI153/CI152,0)</f>
        <v>0</v>
      </c>
      <c r="CJ154" s="867">
        <f>_xlfn.IFERROR(CJ153/CJ152,0)</f>
        <v>0</v>
      </c>
      <c r="CK154" s="867">
        <f>_xlfn.IFERROR(CK153/CK152,0)</f>
        <v>0</v>
      </c>
      <c r="CL154" s="867">
        <f>_xlfn.IFERROR(CL153/CL152,0)</f>
        <v>0</v>
      </c>
      <c r="CM154" s="867">
        <f>_xlfn.IFERROR(CM153/CM152,0)</f>
        <v>0</v>
      </c>
      <c r="CN154" s="867">
        <f>_xlfn.IFERROR(CN153/CN152,0)</f>
        <v>0</v>
      </c>
      <c r="CO154" s="867">
        <f>_xlfn.IFERROR(CO153/CO152,0)</f>
        <v>0</v>
      </c>
      <c r="CP154" s="867">
        <f>_xlfn.IFERROR(CP153/CP152,0)</f>
        <v>0</v>
      </c>
      <c r="CQ154" s="867">
        <f>_xlfn.IFERROR(CQ153/CQ152,0)</f>
        <v>0</v>
      </c>
      <c r="CR154" s="867">
        <f>_xlfn.IFERROR(CR153/CR152,0)</f>
        <v>0</v>
      </c>
      <c r="CS154" s="867">
        <f>_xlfn.IFERROR(CS153/CS152,0)</f>
        <v>0</v>
      </c>
      <c r="CT154" s="1719"/>
      <c r="CU154" s="0"/>
      <c r="CV154" s="1632"/>
      <c r="CW154" s="1173" t="s">
        <v>766</v>
      </c>
      <c r="CX154" s="1178"/>
      <c r="CY154" s="1178"/>
      <c r="CZ154" s="1178"/>
      <c r="DA154" s="1179"/>
      <c r="DB154" s="1179"/>
    </row>
    <row s="1632" customFormat="1" customHeight="1" ht="29.25">
      <c r="A155" s="1443"/>
      <c r="B155" s="927"/>
      <c r="C155" s="1443"/>
      <c r="D155" s="1443"/>
      <c r="E155" s="797">
        <v>30</v>
      </c>
      <c r="F155" s="922" cm="1" t="str">
        <f t="array" ref="F155:F155">OFFSET(G155,-1,-1)</f>
        <v>1</v>
      </c>
      <c r="G155" s="965"/>
      <c r="H155" s="965"/>
      <c r="I155" s="965"/>
      <c r="J155" s="965"/>
      <c r="K155" s="965"/>
      <c r="L155" s="922" cm="1" t="str">
        <f t="array" ref="L155:L155">OFFSET(M155,-1,-1)</f>
        <v>false</v>
      </c>
      <c r="M155" s="965"/>
      <c r="N155" s="965"/>
      <c r="O155" s="965"/>
      <c r="P155" s="965"/>
      <c r="Q155" s="965"/>
      <c r="R155" s="1443"/>
      <c r="S155" s="159" cm="1" t="str">
        <f t="array" ref="S155:S155">OFFSET(T155,-1,-1)</f>
        <v>true</v>
      </c>
      <c r="T155" s="1443"/>
      <c r="U155" s="819">
        <f>AND(S155,IF(ISBLANK(T155),TRUE,T155))</f>
        <v>1</v>
      </c>
      <c r="V155" s="1443"/>
      <c r="W155" s="1443"/>
      <c r="X155" s="1443"/>
      <c r="Y155" s="1443"/>
      <c r="Z155" s="1443"/>
      <c r="AA155" s="820"/>
      <c r="AB155" s="1523"/>
      <c r="AC155" s="0"/>
      <c r="AD155" s="160">
        <v>9</v>
      </c>
      <c r="AE155" s="1498" t="s">
        <v>767</v>
      </c>
      <c r="AF155" s="168"/>
      <c r="AG155" s="872" t="s">
        <v>599</v>
      </c>
      <c r="AH155" s="860">
        <f>AH152-AH153</f>
        <v>8071.28</v>
      </c>
      <c r="AI155" s="862">
        <f>AI152-AI153</f>
        <v>8084.59</v>
      </c>
      <c r="AJ155" s="862">
        <f>AJ152-AJ153</f>
        <v>8083.97</v>
      </c>
      <c r="AK155" s="862">
        <f>AK152-AK153</f>
        <v>7003.54</v>
      </c>
      <c r="AL155" s="862">
        <f>AL152-AL153</f>
        <v>7764.1</v>
      </c>
      <c r="AM155" s="862">
        <f>AM152-AM153</f>
        <v>0</v>
      </c>
      <c r="AN155" s="862">
        <f>AN152-AN153</f>
        <v>7764.1</v>
      </c>
      <c r="AO155" s="862">
        <f>AO152-AO153</f>
        <v>7003.54</v>
      </c>
      <c r="AP155" s="862">
        <f>AP152-AP153</f>
        <v>0</v>
      </c>
      <c r="AQ155" s="862">
        <f>AQ152-AQ153</f>
        <v>7003.54</v>
      </c>
      <c r="AR155" s="862">
        <f>AR152-AR153</f>
        <v>0</v>
      </c>
      <c r="AS155" s="862">
        <f>AS152-AS153</f>
        <v>0</v>
      </c>
      <c r="AT155" s="862">
        <f>AT152-AT153</f>
        <v>0</v>
      </c>
      <c r="AU155" s="862">
        <f>AU152-AU153</f>
        <v>0</v>
      </c>
      <c r="AV155" s="862">
        <f>AV152-AV153</f>
        <v>0</v>
      </c>
      <c r="AW155" s="862">
        <f>AW152-AW153</f>
        <v>0</v>
      </c>
      <c r="AX155" s="862">
        <f>AX152-AX153</f>
        <v>0</v>
      </c>
      <c r="AY155" s="862">
        <f>AY152-AY153</f>
        <v>0</v>
      </c>
      <c r="AZ155" s="862">
        <f>AZ152-AZ153</f>
        <v>0</v>
      </c>
      <c r="BA155" s="862">
        <f>BA152-BA153</f>
        <v>0</v>
      </c>
      <c r="BB155" s="862">
        <f>BB152-BB153</f>
        <v>0</v>
      </c>
      <c r="BC155" s="862">
        <f>BC152-BC153</f>
        <v>0</v>
      </c>
      <c r="BD155" s="862">
        <f>BD152-BD153</f>
        <v>0</v>
      </c>
      <c r="BE155" s="862">
        <f>BE152-BE153</f>
        <v>0</v>
      </c>
      <c r="BF155" s="862">
        <f>BF152-BF153</f>
        <v>0</v>
      </c>
      <c r="BG155" s="862">
        <f>BG152-BG153</f>
        <v>0</v>
      </c>
      <c r="BH155" s="862">
        <f>BH152-BH153</f>
        <v>0</v>
      </c>
      <c r="BI155" s="862">
        <f>BI152-BI153</f>
        <v>0</v>
      </c>
      <c r="BJ155" s="862">
        <f>BJ152-BJ153</f>
        <v>0</v>
      </c>
      <c r="BK155" s="862">
        <f>BK152-BK153</f>
        <v>0</v>
      </c>
      <c r="BL155" s="862">
        <f>BL152-BL153</f>
        <v>0</v>
      </c>
      <c r="BM155" s="862">
        <f>BM152-BM153</f>
        <v>0</v>
      </c>
      <c r="BN155" s="862">
        <f>BN152-BN153</f>
        <v>0</v>
      </c>
      <c r="BO155" s="862">
        <f>BO152-BO153</f>
        <v>0</v>
      </c>
      <c r="BP155" s="862">
        <f>BP152-BP153</f>
        <v>7003.54</v>
      </c>
      <c r="BQ155" s="862">
        <f>BQ152-BQ153</f>
        <v>0</v>
      </c>
      <c r="BR155" s="862">
        <f>BR152-BR153</f>
        <v>7003.54</v>
      </c>
      <c r="BS155" s="862">
        <f>BS152-BS153</f>
        <v>0</v>
      </c>
      <c r="BT155" s="862">
        <f>BT152-BT153</f>
        <v>0</v>
      </c>
      <c r="BU155" s="862">
        <f>BU152-BU153</f>
        <v>0</v>
      </c>
      <c r="BV155" s="862">
        <f>BV152-BV153</f>
        <v>0</v>
      </c>
      <c r="BW155" s="862">
        <f>BW152-BW153</f>
        <v>0</v>
      </c>
      <c r="BX155" s="862">
        <f>BX152-BX153</f>
        <v>0</v>
      </c>
      <c r="BY155" s="862">
        <f>BY152-BY153</f>
        <v>0</v>
      </c>
      <c r="BZ155" s="862">
        <f>BZ152-BZ153</f>
        <v>0</v>
      </c>
      <c r="CA155" s="862">
        <f>CA152-CA153</f>
        <v>0</v>
      </c>
      <c r="CB155" s="862">
        <f>CB152-CB153</f>
        <v>0</v>
      </c>
      <c r="CC155" s="862">
        <f>CC152-CC153</f>
        <v>0</v>
      </c>
      <c r="CD155" s="862">
        <f>CD152-CD153</f>
        <v>0</v>
      </c>
      <c r="CE155" s="862">
        <f>CE152-CE153</f>
        <v>0</v>
      </c>
      <c r="CF155" s="862">
        <f>CF152-CF153</f>
        <v>0</v>
      </c>
      <c r="CG155" s="862">
        <f>CG152-CG153</f>
        <v>0</v>
      </c>
      <c r="CH155" s="862">
        <f>CH152-CH153</f>
        <v>0</v>
      </c>
      <c r="CI155" s="862">
        <f>CI152-CI153</f>
        <v>0</v>
      </c>
      <c r="CJ155" s="862">
        <f>CJ152-CJ153</f>
        <v>0</v>
      </c>
      <c r="CK155" s="862">
        <f>CK152-CK153</f>
        <v>0</v>
      </c>
      <c r="CL155" s="862">
        <f>CL152-CL153</f>
        <v>0</v>
      </c>
      <c r="CM155" s="862">
        <f>CM152-CM153</f>
        <v>0</v>
      </c>
      <c r="CN155" s="862">
        <f>CN152-CN153</f>
        <v>0</v>
      </c>
      <c r="CO155" s="862">
        <f>CO152-CO153</f>
        <v>0</v>
      </c>
      <c r="CP155" s="862">
        <f>CP152-CP153</f>
        <v>0</v>
      </c>
      <c r="CQ155" s="862">
        <f>CQ152-CQ153</f>
        <v>0</v>
      </c>
      <c r="CR155" s="862">
        <f>CR152-CR153</f>
        <v>0</v>
      </c>
      <c r="CS155" s="862">
        <f>CS152-CS153</f>
        <v>0</v>
      </c>
      <c r="CT155" s="1719"/>
      <c r="CU155" s="0"/>
      <c r="CV155" s="1632"/>
      <c r="CW155" s="1173" t="s">
        <v>768</v>
      </c>
      <c r="CX155" s="1178"/>
      <c r="CY155" s="1178"/>
      <c r="CZ155" s="1178"/>
      <c r="DA155" s="1179"/>
      <c r="DB155" s="1179"/>
    </row>
    <row s="1632" customFormat="1" customHeight="1" ht="16.5" hidden="1">
      <c r="A156" s="1443"/>
      <c r="B156" s="927"/>
      <c r="C156" s="1443"/>
      <c r="D156" s="1443"/>
      <c r="E156" s="797">
        <v>17.1</v>
      </c>
      <c r="F156" s="922" cm="1" t="str">
        <f t="array" ref="F156:F156">OFFSET(G156,-1,-1)</f>
        <v>1</v>
      </c>
      <c r="G156" s="965"/>
      <c r="H156" s="965"/>
      <c r="I156" s="965"/>
      <c r="J156" s="965"/>
      <c r="K156" s="965"/>
      <c r="L156" s="922" cm="1" t="str">
        <f t="array" ref="L156:L156">OFFSET(M156,-1,-1)</f>
        <v>false</v>
      </c>
      <c r="M156" s="965"/>
      <c r="N156" s="965"/>
      <c r="O156" s="965"/>
      <c r="P156" s="965"/>
      <c r="Q156" s="965"/>
      <c r="R156" s="922" t="s">
        <v>730</v>
      </c>
      <c r="S156" s="159" cm="1" t="str">
        <f t="array" ref="S156:S156">OFFSET(T156,-1,-1)</f>
        <v>true</v>
      </c>
      <c r="T156" s="159" cm="1" t="str">
        <f t="array" ref="T156:T156">L156</f>
        <v>false</v>
      </c>
      <c r="U156" s="819">
        <f>AND(S156,IF(ISBLANK(T156),TRUE,T156))</f>
        <v>0</v>
      </c>
      <c r="V156" s="1443"/>
      <c r="W156" s="1443"/>
      <c r="X156" s="1443"/>
      <c r="Y156" s="1443"/>
      <c r="Z156" s="1443"/>
      <c r="AA156" s="820"/>
      <c r="AB156" s="1523"/>
      <c r="AC156" s="0"/>
      <c r="AD156" s="160">
        <v>10</v>
      </c>
      <c r="AE156" s="1498" t="s">
        <v>747</v>
      </c>
      <c r="AF156" s="168"/>
      <c r="AG156" s="651" t="s">
        <v>733</v>
      </c>
      <c r="AH156" s="86"/>
      <c r="AI156" s="87"/>
      <c r="AJ156" s="87"/>
      <c r="AK156" s="87"/>
      <c r="AL156" s="862">
        <f>AM156+AN156</f>
        <v>0</v>
      </c>
      <c r="AM156" s="87"/>
      <c r="AN156" s="87"/>
      <c r="AO156" s="862">
        <f>AP156+AQ156</f>
        <v>0</v>
      </c>
      <c r="AP156" s="87"/>
      <c r="AQ156" s="87"/>
      <c r="AR156" s="862">
        <f>AS156+AT156</f>
        <v>0</v>
      </c>
      <c r="AS156" s="87"/>
      <c r="AT156" s="87"/>
      <c r="AU156" s="862">
        <f>AV156+AW156</f>
        <v>0</v>
      </c>
      <c r="AV156" s="87"/>
      <c r="AW156" s="87"/>
      <c r="AX156" s="862">
        <f>AY156+AZ156</f>
        <v>0</v>
      </c>
      <c r="AY156" s="87"/>
      <c r="AZ156" s="87"/>
      <c r="BA156" s="862">
        <f>BB156+BC156</f>
        <v>0</v>
      </c>
      <c r="BB156" s="87"/>
      <c r="BC156" s="87"/>
      <c r="BD156" s="862">
        <f>BE156+BF156</f>
        <v>0</v>
      </c>
      <c r="BE156" s="87"/>
      <c r="BF156" s="87"/>
      <c r="BG156" s="862">
        <f>BH156+BI156</f>
        <v>0</v>
      </c>
      <c r="BH156" s="87"/>
      <c r="BI156" s="87"/>
      <c r="BJ156" s="862">
        <f>BK156+BL156</f>
        <v>0</v>
      </c>
      <c r="BK156" s="87"/>
      <c r="BL156" s="87"/>
      <c r="BM156" s="862">
        <f>BN156+BO156</f>
        <v>0</v>
      </c>
      <c r="BN156" s="87"/>
      <c r="BO156" s="87"/>
      <c r="BP156" s="862">
        <f>BQ156+BR156</f>
        <v>0</v>
      </c>
      <c r="BQ156" s="1772"/>
      <c r="BR156" s="1772"/>
      <c r="BS156" s="862">
        <f>BT156+BU156</f>
        <v>0</v>
      </c>
      <c r="BT156" s="87"/>
      <c r="BU156" s="87"/>
      <c r="BV156" s="862">
        <f>BW156+BX156</f>
        <v>0</v>
      </c>
      <c r="BW156" s="87"/>
      <c r="BX156" s="87"/>
      <c r="BY156" s="862">
        <f>BZ156+CA156</f>
        <v>0</v>
      </c>
      <c r="BZ156" s="87"/>
      <c r="CA156" s="87"/>
      <c r="CB156" s="862">
        <f>CC156+CD156</f>
        <v>0</v>
      </c>
      <c r="CC156" s="87"/>
      <c r="CD156" s="87"/>
      <c r="CE156" s="862">
        <f>CF156+CG156</f>
        <v>0</v>
      </c>
      <c r="CF156" s="87"/>
      <c r="CG156" s="87"/>
      <c r="CH156" s="862">
        <f>CI156+CJ156</f>
        <v>0</v>
      </c>
      <c r="CI156" s="87"/>
      <c r="CJ156" s="87"/>
      <c r="CK156" s="862">
        <f>CL156+CM156</f>
        <v>0</v>
      </c>
      <c r="CL156" s="87"/>
      <c r="CM156" s="87"/>
      <c r="CN156" s="862">
        <f>CO156+CP156</f>
        <v>0</v>
      </c>
      <c r="CO156" s="87"/>
      <c r="CP156" s="87"/>
      <c r="CQ156" s="862">
        <f>CR156+CS156</f>
        <v>0</v>
      </c>
      <c r="CR156" s="87"/>
      <c r="CS156" s="87"/>
      <c r="CT156" s="73"/>
      <c r="CU156" s="0"/>
      <c r="CV156" s="1632"/>
      <c r="CW156" s="1173" t="s">
        <v>769</v>
      </c>
      <c r="CX156" s="1178"/>
      <c r="CY156" s="1178"/>
      <c r="CZ156" s="1178"/>
      <c r="DA156" s="1179"/>
      <c r="DB156" s="1179"/>
    </row>
    <row s="1632" customFormat="1" customHeight="1" ht="29.25" hidden="1">
      <c r="A157" s="1443"/>
      <c r="B157" s="927"/>
      <c r="C157" s="1443"/>
      <c r="D157" s="1443"/>
      <c r="E157" s="797">
        <v>30</v>
      </c>
      <c r="F157" s="922" cm="1" t="str">
        <f t="array" ref="F157:F157">OFFSET(G157,-1,-1)</f>
        <v>1</v>
      </c>
      <c r="G157" s="965"/>
      <c r="H157" s="965"/>
      <c r="I157" s="965"/>
      <c r="J157" s="965"/>
      <c r="K157" s="965"/>
      <c r="L157" s="922" cm="1" t="str">
        <f t="array" ref="L157:L157">OFFSET(M157,-1,-1)</f>
        <v>false</v>
      </c>
      <c r="M157" s="965"/>
      <c r="N157" s="965"/>
      <c r="O157" s="965"/>
      <c r="P157" s="965"/>
      <c r="Q157" s="965"/>
      <c r="R157" s="922" t="s">
        <v>730</v>
      </c>
      <c r="S157" s="159" cm="1" t="str">
        <f t="array" ref="S157:S157">OFFSET(T157,-1,-1)</f>
        <v>true</v>
      </c>
      <c r="T157" s="159" cm="1" t="str">
        <f t="array" ref="T157:T157">L157</f>
        <v>false</v>
      </c>
      <c r="U157" s="819">
        <f>AND(S157,IF(ISBLANK(T157),TRUE,T157))</f>
        <v>0</v>
      </c>
      <c r="V157" s="1443"/>
      <c r="W157" s="1443"/>
      <c r="X157" s="1443"/>
      <c r="Y157" s="1443"/>
      <c r="Z157" s="1443"/>
      <c r="AA157" s="820"/>
      <c r="AB157" s="1523"/>
      <c r="AC157" s="0"/>
      <c r="AD157" s="160">
        <v>11</v>
      </c>
      <c r="AE157" s="1498" t="s">
        <v>770</v>
      </c>
      <c r="AF157" s="168"/>
      <c r="AG157" s="651" t="s">
        <v>771</v>
      </c>
      <c r="AH157" s="86"/>
      <c r="AI157" s="87"/>
      <c r="AJ157" s="87"/>
      <c r="AK157" s="87"/>
      <c r="AL157" s="862">
        <f>_xlfn.IFERROR(AL158*1000/AL156,0)</f>
        <v>0</v>
      </c>
      <c r="AM157" s="87"/>
      <c r="AN157" s="87" cm="1" t="str">
        <f t="array" ref="AN157:AN157">AM157</f>
        <v>0</v>
      </c>
      <c r="AO157" s="862">
        <f>_xlfn.IFERROR(AO158*1000/AO156,0)</f>
        <v>0</v>
      </c>
      <c r="AP157" s="87"/>
      <c r="AQ157" s="87" cm="1" t="str">
        <f t="array" ref="AQ157:AQ157">AP157</f>
        <v>0</v>
      </c>
      <c r="AR157" s="862">
        <f>_xlfn.IFERROR(AR158*1000/AR156,0)</f>
        <v>0</v>
      </c>
      <c r="AS157" s="87"/>
      <c r="AT157" s="87" cm="1" t="str">
        <f t="array" ref="AT157:AT157">AS157</f>
        <v>0</v>
      </c>
      <c r="AU157" s="862">
        <f>_xlfn.IFERROR(AU158*1000/AU156,0)</f>
        <v>0</v>
      </c>
      <c r="AV157" s="87"/>
      <c r="AW157" s="87" cm="1" t="str">
        <f t="array" ref="AW157:AW157">AV157</f>
        <v>0</v>
      </c>
      <c r="AX157" s="862">
        <f>_xlfn.IFERROR(AX158*1000/AX156,0)</f>
        <v>0</v>
      </c>
      <c r="AY157" s="87"/>
      <c r="AZ157" s="87" cm="1" t="str">
        <f t="array" ref="AZ157:AZ157">AY157</f>
        <v>0</v>
      </c>
      <c r="BA157" s="862">
        <f>_xlfn.IFERROR(BA158*1000/BA156,0)</f>
        <v>0</v>
      </c>
      <c r="BB157" s="87"/>
      <c r="BC157" s="87" cm="1" t="str">
        <f t="array" ref="BC157:BC157">BB157</f>
        <v>0</v>
      </c>
      <c r="BD157" s="862">
        <f>_xlfn.IFERROR(BD158*1000/BD156,0)</f>
        <v>0</v>
      </c>
      <c r="BE157" s="87"/>
      <c r="BF157" s="87" cm="1" t="str">
        <f t="array" ref="BF157:BF157">BE157</f>
        <v>0</v>
      </c>
      <c r="BG157" s="862">
        <f>_xlfn.IFERROR(BG158*1000/BG156,0)</f>
        <v>0</v>
      </c>
      <c r="BH157" s="87"/>
      <c r="BI157" s="87" cm="1" t="str">
        <f t="array" ref="BI157:BI157">BH157</f>
        <v>0</v>
      </c>
      <c r="BJ157" s="862">
        <f>_xlfn.IFERROR(BJ158*1000/BJ156,0)</f>
        <v>0</v>
      </c>
      <c r="BK157" s="87"/>
      <c r="BL157" s="87" cm="1" t="str">
        <f t="array" ref="BL157:BL157">BK157</f>
        <v>0</v>
      </c>
      <c r="BM157" s="862">
        <f>_xlfn.IFERROR(BM158*1000/BM156,0)</f>
        <v>0</v>
      </c>
      <c r="BN157" s="87"/>
      <c r="BO157" s="87" cm="1" t="str">
        <f t="array" ref="BO157:BO157">BN157</f>
        <v>0</v>
      </c>
      <c r="BP157" s="862">
        <f>_xlfn.IFERROR(BP158*1000/BP156,0)</f>
        <v>0</v>
      </c>
      <c r="BQ157" s="1772"/>
      <c r="BR157" s="1772" cm="1" t="str">
        <f t="array" ref="BR157:BR157">BQ157</f>
        <v>0</v>
      </c>
      <c r="BS157" s="862">
        <f>_xlfn.IFERROR(BS158*1000/BS156,0)</f>
        <v>0</v>
      </c>
      <c r="BT157" s="87"/>
      <c r="BU157" s="87" cm="1" t="str">
        <f t="array" ref="BU157:BU157">BT157</f>
        <v>0</v>
      </c>
      <c r="BV157" s="862">
        <f>_xlfn.IFERROR(BV158*1000/BV156,0)</f>
        <v>0</v>
      </c>
      <c r="BW157" s="87"/>
      <c r="BX157" s="87" cm="1" t="str">
        <f t="array" ref="BX157:BX157">BW157</f>
        <v>0</v>
      </c>
      <c r="BY157" s="862">
        <f>_xlfn.IFERROR(BY158*1000/BY156,0)</f>
        <v>0</v>
      </c>
      <c r="BZ157" s="87"/>
      <c r="CA157" s="87" cm="1" t="str">
        <f t="array" ref="CA157:CA157">BZ157</f>
        <v>0</v>
      </c>
      <c r="CB157" s="862">
        <f>_xlfn.IFERROR(CB158*1000/CB156,0)</f>
        <v>0</v>
      </c>
      <c r="CC157" s="87"/>
      <c r="CD157" s="87" cm="1" t="str">
        <f t="array" ref="CD157:CD157">CC157</f>
        <v>0</v>
      </c>
      <c r="CE157" s="862">
        <f>_xlfn.IFERROR(CE158*1000/CE156,0)</f>
        <v>0</v>
      </c>
      <c r="CF157" s="87"/>
      <c r="CG157" s="87" cm="1" t="str">
        <f t="array" ref="CG157:CG157">CF157</f>
        <v>0</v>
      </c>
      <c r="CH157" s="862">
        <f>_xlfn.IFERROR(CH158*1000/CH156,0)</f>
        <v>0</v>
      </c>
      <c r="CI157" s="87"/>
      <c r="CJ157" s="87" cm="1" t="str">
        <f t="array" ref="CJ157:CJ157">CI157</f>
        <v>0</v>
      </c>
      <c r="CK157" s="862">
        <f>_xlfn.IFERROR(CK158*1000/CK156,0)</f>
        <v>0</v>
      </c>
      <c r="CL157" s="87"/>
      <c r="CM157" s="87" cm="1" t="str">
        <f t="array" ref="CM157:CM157">CL157</f>
        <v>0</v>
      </c>
      <c r="CN157" s="862">
        <f>_xlfn.IFERROR(CN158*1000/CN156,0)</f>
        <v>0</v>
      </c>
      <c r="CO157" s="87"/>
      <c r="CP157" s="87" cm="1" t="str">
        <f t="array" ref="CP157:CP157">CO157</f>
        <v>0</v>
      </c>
      <c r="CQ157" s="862">
        <f>_xlfn.IFERROR(CQ158*1000/CQ156,0)</f>
        <v>0</v>
      </c>
      <c r="CR157" s="87"/>
      <c r="CS157" s="87" cm="1" t="str">
        <f t="array" ref="CS157:CS157">CR157</f>
        <v>0</v>
      </c>
      <c r="CT157" s="73"/>
      <c r="CU157" s="0"/>
      <c r="CV157" s="1632"/>
      <c r="CW157" s="1173" t="s">
        <v>772</v>
      </c>
      <c r="CX157" s="1178"/>
      <c r="CY157" s="1178"/>
      <c r="CZ157" s="1178"/>
      <c r="DA157" s="1179"/>
      <c r="DB157" s="1179"/>
    </row>
    <row s="1632" customFormat="1" customHeight="1" ht="16.5" hidden="1">
      <c r="A158" s="1443"/>
      <c r="B158" s="927"/>
      <c r="C158" s="1443"/>
      <c r="D158" s="1443"/>
      <c r="E158" s="797">
        <v>17.1</v>
      </c>
      <c r="F158" s="922" cm="1" t="str">
        <f t="array" ref="F158:F158">OFFSET(G158,-1,-1)</f>
        <v>1</v>
      </c>
      <c r="G158" s="965"/>
      <c r="H158" s="965"/>
      <c r="I158" s="965"/>
      <c r="J158" s="965"/>
      <c r="K158" s="965"/>
      <c r="L158" s="922" cm="1" t="str">
        <f t="array" ref="L158:L158">OFFSET(M158,-1,-1)</f>
        <v>false</v>
      </c>
      <c r="M158" s="965"/>
      <c r="N158" s="965"/>
      <c r="O158" s="965"/>
      <c r="P158" s="965"/>
      <c r="Q158" s="965"/>
      <c r="R158" s="922" t="s">
        <v>730</v>
      </c>
      <c r="S158" s="159" cm="1" t="str">
        <f t="array" ref="S158:S158">OFFSET(T158,-1,-1)</f>
        <v>true</v>
      </c>
      <c r="T158" s="159" cm="1" t="str">
        <f t="array" ref="T158:T158">L158</f>
        <v>false</v>
      </c>
      <c r="U158" s="819">
        <f>AND(S158,IF(ISBLANK(T158),TRUE,T158))</f>
        <v>0</v>
      </c>
      <c r="V158" s="1443"/>
      <c r="W158" s="1443"/>
      <c r="X158" s="1443"/>
      <c r="Y158" s="1443"/>
      <c r="Z158" s="1443"/>
      <c r="AA158" s="820"/>
      <c r="AB158" s="1523"/>
      <c r="AC158" s="0"/>
      <c r="AD158" s="160">
        <v>12</v>
      </c>
      <c r="AE158" s="1498" t="s">
        <v>773</v>
      </c>
      <c r="AF158" s="168"/>
      <c r="AG158" s="651" t="s">
        <v>774</v>
      </c>
      <c r="AH158" s="557">
        <f>AH156*AH157/1000</f>
        <v>0</v>
      </c>
      <c r="AI158" s="367">
        <f>AI156*AI157/1000</f>
        <v>0</v>
      </c>
      <c r="AJ158" s="367">
        <f>AJ156*AJ157/1000</f>
        <v>0</v>
      </c>
      <c r="AK158" s="367">
        <f>AK156*AK157/1000</f>
        <v>0</v>
      </c>
      <c r="AL158" s="862">
        <f>AM158+AN158</f>
        <v>0</v>
      </c>
      <c r="AM158" s="367">
        <f>AM156*AM157/1000</f>
        <v>0</v>
      </c>
      <c r="AN158" s="367">
        <f>AN156*AN157/1000</f>
        <v>0</v>
      </c>
      <c r="AO158" s="862">
        <f>AP158+AQ158</f>
        <v>0</v>
      </c>
      <c r="AP158" s="367">
        <f>AP156*AP157/1000</f>
        <v>0</v>
      </c>
      <c r="AQ158" s="367">
        <f>AQ156*AQ157/1000</f>
        <v>0</v>
      </c>
      <c r="AR158" s="862">
        <f>AS158+AT158</f>
        <v>0</v>
      </c>
      <c r="AS158" s="367">
        <f>AS156*AS157/1000</f>
        <v>0</v>
      </c>
      <c r="AT158" s="367">
        <f>AT156*AT157/1000</f>
        <v>0</v>
      </c>
      <c r="AU158" s="862">
        <f>AV158+AW158</f>
        <v>0</v>
      </c>
      <c r="AV158" s="367">
        <f>AV156*AV157/1000</f>
        <v>0</v>
      </c>
      <c r="AW158" s="367">
        <f>AW156*AW157/1000</f>
        <v>0</v>
      </c>
      <c r="AX158" s="862">
        <f>AY158+AZ158</f>
        <v>0</v>
      </c>
      <c r="AY158" s="367">
        <f>AY156*AY157/1000</f>
        <v>0</v>
      </c>
      <c r="AZ158" s="367">
        <f>AZ156*AZ157/1000</f>
        <v>0</v>
      </c>
      <c r="BA158" s="862">
        <f>BB158+BC158</f>
        <v>0</v>
      </c>
      <c r="BB158" s="367">
        <f>BB156*BB157/1000</f>
        <v>0</v>
      </c>
      <c r="BC158" s="367">
        <f>BC156*BC157/1000</f>
        <v>0</v>
      </c>
      <c r="BD158" s="862">
        <f>BE158+BF158</f>
        <v>0</v>
      </c>
      <c r="BE158" s="367">
        <f>BE156*BE157/1000</f>
        <v>0</v>
      </c>
      <c r="BF158" s="367">
        <f>BF156*BF157/1000</f>
        <v>0</v>
      </c>
      <c r="BG158" s="862">
        <f>BH158+BI158</f>
        <v>0</v>
      </c>
      <c r="BH158" s="367">
        <f>BH156*BH157/1000</f>
        <v>0</v>
      </c>
      <c r="BI158" s="367">
        <f>BI156*BI157/1000</f>
        <v>0</v>
      </c>
      <c r="BJ158" s="862">
        <f>BK158+BL158</f>
        <v>0</v>
      </c>
      <c r="BK158" s="367">
        <f>BK156*BK157/1000</f>
        <v>0</v>
      </c>
      <c r="BL158" s="367">
        <f>BL156*BL157/1000</f>
        <v>0</v>
      </c>
      <c r="BM158" s="862">
        <f>BN158+BO158</f>
        <v>0</v>
      </c>
      <c r="BN158" s="367">
        <f>BN156*BN157/1000</f>
        <v>0</v>
      </c>
      <c r="BO158" s="367">
        <f>BO156*BO157/1000</f>
        <v>0</v>
      </c>
      <c r="BP158" s="862">
        <f>BQ158+BR158</f>
        <v>0</v>
      </c>
      <c r="BQ158" s="367">
        <f>BQ156*BQ157/1000</f>
        <v>0</v>
      </c>
      <c r="BR158" s="367">
        <f>BR156*BR157/1000</f>
        <v>0</v>
      </c>
      <c r="BS158" s="862">
        <f>BT158+BU158</f>
        <v>0</v>
      </c>
      <c r="BT158" s="367">
        <f>BT156*BT157/1000</f>
        <v>0</v>
      </c>
      <c r="BU158" s="367">
        <f>BU156*BU157/1000</f>
        <v>0</v>
      </c>
      <c r="BV158" s="862">
        <f>BW158+BX158</f>
        <v>0</v>
      </c>
      <c r="BW158" s="367">
        <f>BW156*BW157/1000</f>
        <v>0</v>
      </c>
      <c r="BX158" s="367">
        <f>BX156*BX157/1000</f>
        <v>0</v>
      </c>
      <c r="BY158" s="862">
        <f>BZ158+CA158</f>
        <v>0</v>
      </c>
      <c r="BZ158" s="367">
        <f>BZ156*BZ157/1000</f>
        <v>0</v>
      </c>
      <c r="CA158" s="367">
        <f>CA156*CA157/1000</f>
        <v>0</v>
      </c>
      <c r="CB158" s="862">
        <f>CC158+CD158</f>
        <v>0</v>
      </c>
      <c r="CC158" s="367">
        <f>CC156*CC157/1000</f>
        <v>0</v>
      </c>
      <c r="CD158" s="367">
        <f>CD156*CD157/1000</f>
        <v>0</v>
      </c>
      <c r="CE158" s="862">
        <f>CF158+CG158</f>
        <v>0</v>
      </c>
      <c r="CF158" s="367">
        <f>CF156*CF157/1000</f>
        <v>0</v>
      </c>
      <c r="CG158" s="367">
        <f>CG156*CG157/1000</f>
        <v>0</v>
      </c>
      <c r="CH158" s="862">
        <f>CI158+CJ158</f>
        <v>0</v>
      </c>
      <c r="CI158" s="367">
        <f>CI156*CI157/1000</f>
        <v>0</v>
      </c>
      <c r="CJ158" s="367">
        <f>CJ156*CJ157/1000</f>
        <v>0</v>
      </c>
      <c r="CK158" s="862">
        <f>CL158+CM158</f>
        <v>0</v>
      </c>
      <c r="CL158" s="367">
        <f>CL156*CL157/1000</f>
        <v>0</v>
      </c>
      <c r="CM158" s="367">
        <f>CM156*CM157/1000</f>
        <v>0</v>
      </c>
      <c r="CN158" s="862">
        <f>CO158+CP158</f>
        <v>0</v>
      </c>
      <c r="CO158" s="367">
        <f>CO156*CO157/1000</f>
        <v>0</v>
      </c>
      <c r="CP158" s="367">
        <f>CP156*CP157/1000</f>
        <v>0</v>
      </c>
      <c r="CQ158" s="862">
        <f>CR158+CS158</f>
        <v>0</v>
      </c>
      <c r="CR158" s="367">
        <f>CR156*CR157/1000</f>
        <v>0</v>
      </c>
      <c r="CS158" s="367">
        <f>CS156*CS157/1000</f>
        <v>0</v>
      </c>
      <c r="CT158" s="73"/>
      <c r="CU158" s="0"/>
      <c r="CV158" s="1632"/>
      <c r="CW158" s="1173" t="s">
        <v>775</v>
      </c>
      <c r="CX158" s="1178"/>
      <c r="CY158" s="1178"/>
      <c r="CZ158" s="1178"/>
      <c r="DA158" s="1179"/>
      <c r="DB158" s="1179"/>
    </row>
    <row s="1632" customFormat="1" customHeight="1" ht="29.25">
      <c r="A159" s="1443"/>
      <c r="B159" s="927"/>
      <c r="C159" s="1443"/>
      <c r="D159" s="1443"/>
      <c r="E159" s="797">
        <v>30</v>
      </c>
      <c r="F159" s="922" cm="1" t="str">
        <f t="array" ref="F159:F159">OFFSET(G159,-1,-1)</f>
        <v>1</v>
      </c>
      <c r="G159" s="965"/>
      <c r="H159" s="965"/>
      <c r="I159" s="965"/>
      <c r="J159" s="965"/>
      <c r="K159" s="965"/>
      <c r="L159" s="922" cm="1" t="str">
        <f t="array" ref="L159:L159">OFFSET(M159,-1,-1)</f>
        <v>false</v>
      </c>
      <c r="M159" s="965"/>
      <c r="N159" s="965"/>
      <c r="O159" s="965"/>
      <c r="P159" s="965"/>
      <c r="Q159" s="965"/>
      <c r="R159" s="1443"/>
      <c r="S159" s="159" cm="1" t="str">
        <f t="array" ref="S159:S159">OFFSET(T159,-1,-1)</f>
        <v>true</v>
      </c>
      <c r="T159" s="1443"/>
      <c r="U159" s="819">
        <f>AND(S159,IF(ISBLANK(T159),TRUE,T159))</f>
        <v>1</v>
      </c>
      <c r="V159" s="1443"/>
      <c r="W159" s="1443"/>
      <c r="X159" s="1443"/>
      <c r="Y159" s="1443"/>
      <c r="Z159" s="1443"/>
      <c r="AA159" s="820"/>
      <c r="AB159" s="1523"/>
      <c r="AC159" s="0"/>
      <c r="AD159" s="160">
        <v>13</v>
      </c>
      <c r="AE159" s="1498" t="s">
        <v>760</v>
      </c>
      <c r="AF159" s="168"/>
      <c r="AG159" s="651" t="s">
        <v>599</v>
      </c>
      <c r="AH159" s="1791" cm="1" t="str">
        <f t="array" ref="AH159:AH159">AH152</f>
        <v>8443.64</v>
      </c>
      <c r="AI159" s="1791" cm="1" t="str">
        <f t="array" ref="AI159:AI159">AI152</f>
        <v>8456.95</v>
      </c>
      <c r="AJ159" s="1791" cm="1" t="str">
        <f t="array" ref="AJ159:AJ159">AJ152</f>
        <v>8456.95</v>
      </c>
      <c r="AK159" s="1791" cm="1" t="str">
        <f t="array" ref="AK159:AK159">AK152</f>
        <v>7326.65</v>
      </c>
      <c r="AL159" s="1791" cm="1" t="str">
        <f t="array" ref="AL159:AL159">AL152</f>
        <v>8296.9</v>
      </c>
      <c r="AM159" s="1791">
        <v>4611.42</v>
      </c>
      <c r="AN159" s="1791">
        <v>3685.48</v>
      </c>
      <c r="AO159" s="1791" cm="1" t="str">
        <f t="array" ref="AO159:AO159">AO152</f>
        <v>7326.65</v>
      </c>
      <c r="AP159" s="1791" cm="1" t="str">
        <f t="array" ref="AP159:AP159">AP152</f>
        <v>0</v>
      </c>
      <c r="AQ159" s="1791" cm="1" t="str">
        <f t="array" ref="AQ159:AQ159">AQ152</f>
        <v>7326.65</v>
      </c>
      <c r="AR159" s="1791" cm="1" t="str">
        <f t="array" ref="AR159:AR159">AR152</f>
        <v>0</v>
      </c>
      <c r="AS159" s="1791" cm="1" t="str">
        <f t="array" ref="AS159:AS159">AS152</f>
        <v>0</v>
      </c>
      <c r="AT159" s="1791" cm="1" t="str">
        <f t="array" ref="AT159:AT159">AT152</f>
        <v>0</v>
      </c>
      <c r="AU159" s="1791" cm="1" t="str">
        <f t="array" ref="AU159:AU159">AU152</f>
        <v>0</v>
      </c>
      <c r="AV159" s="1791" cm="1" t="str">
        <f t="array" ref="AV159:AV159">AV152</f>
        <v>0</v>
      </c>
      <c r="AW159" s="1791" cm="1" t="str">
        <f t="array" ref="AW159:AW159">AW152</f>
        <v>0</v>
      </c>
      <c r="AX159" s="1791" cm="1" t="str">
        <f t="array" ref="AX159:AX159">AX152</f>
        <v>0</v>
      </c>
      <c r="AY159" s="1791" cm="1" t="str">
        <f t="array" ref="AY159:AY159">AY152</f>
        <v>0</v>
      </c>
      <c r="AZ159" s="1791" cm="1" t="str">
        <f t="array" ref="AZ159:AZ159">AZ152</f>
        <v>0</v>
      </c>
      <c r="BA159" s="1791" cm="1" t="str">
        <f t="array" ref="BA159:BA159">BA152</f>
        <v>0</v>
      </c>
      <c r="BB159" s="1791" cm="1" t="str">
        <f t="array" ref="BB159:BB159">BB152</f>
        <v>0</v>
      </c>
      <c r="BC159" s="1791" cm="1" t="str">
        <f t="array" ref="BC159:BC159">BC152</f>
        <v>0</v>
      </c>
      <c r="BD159" s="1791" cm="1" t="str">
        <f t="array" ref="BD159:BD159">BD152</f>
        <v>0</v>
      </c>
      <c r="BE159" s="1791" cm="1" t="str">
        <f t="array" ref="BE159:BE159">BE152</f>
        <v>0</v>
      </c>
      <c r="BF159" s="1791" cm="1" t="str">
        <f t="array" ref="BF159:BF159">BF152</f>
        <v>0</v>
      </c>
      <c r="BG159" s="1791" cm="1" t="str">
        <f t="array" ref="BG159:BG159">BG152</f>
        <v>0</v>
      </c>
      <c r="BH159" s="1791" cm="1" t="str">
        <f t="array" ref="BH159:BH159">BH152</f>
        <v>0</v>
      </c>
      <c r="BI159" s="1791" cm="1" t="str">
        <f t="array" ref="BI159:BI159">BI152</f>
        <v>0</v>
      </c>
      <c r="BJ159" s="1791" cm="1" t="str">
        <f t="array" ref="BJ159:BJ159">BJ152</f>
        <v>0</v>
      </c>
      <c r="BK159" s="1791" cm="1" t="str">
        <f t="array" ref="BK159:BK159">BK152</f>
        <v>0</v>
      </c>
      <c r="BL159" s="1791" cm="1" t="str">
        <f t="array" ref="BL159:BL159">BL152</f>
        <v>0</v>
      </c>
      <c r="BM159" s="1791" cm="1" t="str">
        <f t="array" ref="BM159:BM159">BM152</f>
        <v>0</v>
      </c>
      <c r="BN159" s="1791" cm="1" t="str">
        <f t="array" ref="BN159:BN159">BN152</f>
        <v>0</v>
      </c>
      <c r="BO159" s="1791" cm="1" t="str">
        <f t="array" ref="BO159:BO159">BO152</f>
        <v>0</v>
      </c>
      <c r="BP159" s="1791" cm="1" t="str">
        <f t="array" ref="BP159:BP159">BP152</f>
        <v>7326.65</v>
      </c>
      <c r="BQ159" s="1791" cm="1" t="str">
        <f t="array" ref="BQ159:BQ159">BQ152</f>
        <v>0</v>
      </c>
      <c r="BR159" s="1791" cm="1" t="str">
        <f t="array" ref="BR159:BR159">BR152</f>
        <v>7326.65</v>
      </c>
      <c r="BS159" s="1791" cm="1" t="str">
        <f t="array" ref="BS159:BS159">BS152</f>
        <v>0</v>
      </c>
      <c r="BT159" s="1791" cm="1" t="str">
        <f t="array" ref="BT159:BT159">BT152</f>
        <v>0</v>
      </c>
      <c r="BU159" s="1791" cm="1" t="str">
        <f t="array" ref="BU159:BU159">BU152</f>
        <v>0</v>
      </c>
      <c r="BV159" s="1791" cm="1" t="str">
        <f t="array" ref="BV159:BV159">BV152</f>
        <v>0</v>
      </c>
      <c r="BW159" s="1791" cm="1" t="str">
        <f t="array" ref="BW159:BW159">BW152</f>
        <v>0</v>
      </c>
      <c r="BX159" s="1791" cm="1" t="str">
        <f t="array" ref="BX159:BX159">BX152</f>
        <v>0</v>
      </c>
      <c r="BY159" s="1791" cm="1" t="str">
        <f t="array" ref="BY159:BY159">BY152</f>
        <v>0</v>
      </c>
      <c r="BZ159" s="1791" cm="1" t="str">
        <f t="array" ref="BZ159:BZ159">BZ152</f>
        <v>0</v>
      </c>
      <c r="CA159" s="1791" cm="1" t="str">
        <f t="array" ref="CA159:CA159">CA152</f>
        <v>0</v>
      </c>
      <c r="CB159" s="1791" cm="1" t="str">
        <f t="array" ref="CB159:CB159">CB152</f>
        <v>0</v>
      </c>
      <c r="CC159" s="1791" cm="1" t="str">
        <f t="array" ref="CC159:CC159">CC152</f>
        <v>0</v>
      </c>
      <c r="CD159" s="1791" cm="1" t="str">
        <f t="array" ref="CD159:CD159">CD152</f>
        <v>0</v>
      </c>
      <c r="CE159" s="1791" cm="1" t="str">
        <f t="array" ref="CE159:CE159">CE152</f>
        <v>0</v>
      </c>
      <c r="CF159" s="1791" cm="1" t="str">
        <f t="array" ref="CF159:CF159">CF152</f>
        <v>0</v>
      </c>
      <c r="CG159" s="1791" cm="1" t="str">
        <f t="array" ref="CG159:CG159">CG152</f>
        <v>0</v>
      </c>
      <c r="CH159" s="1791" cm="1" t="str">
        <f t="array" ref="CH159:CH159">CH152</f>
        <v>0</v>
      </c>
      <c r="CI159" s="1791" cm="1" t="str">
        <f t="array" ref="CI159:CI159">CI152</f>
        <v>0</v>
      </c>
      <c r="CJ159" s="1791" cm="1" t="str">
        <f t="array" ref="CJ159:CJ159">CJ152</f>
        <v>0</v>
      </c>
      <c r="CK159" s="1791" cm="1" t="str">
        <f t="array" ref="CK159:CK159">CK152</f>
        <v>0</v>
      </c>
      <c r="CL159" s="1791" cm="1" t="str">
        <f t="array" ref="CL159:CL159">CL152</f>
        <v>0</v>
      </c>
      <c r="CM159" s="1791" cm="1" t="str">
        <f t="array" ref="CM159:CM159">CM152</f>
        <v>0</v>
      </c>
      <c r="CN159" s="1791" cm="1" t="str">
        <f t="array" ref="CN159:CN159">CN152</f>
        <v>0</v>
      </c>
      <c r="CO159" s="1791" cm="1" t="str">
        <f t="array" ref="CO159:CO159">CO152</f>
        <v>0</v>
      </c>
      <c r="CP159" s="1791" cm="1" t="str">
        <f t="array" ref="CP159:CP159">CP152</f>
        <v>0</v>
      </c>
      <c r="CQ159" s="1791" cm="1" t="str">
        <f t="array" ref="CQ159:CQ159">CQ152</f>
        <v>0</v>
      </c>
      <c r="CR159" s="1791" cm="1" t="str">
        <f t="array" ref="CR159:CR159">CR152</f>
        <v>0</v>
      </c>
      <c r="CS159" s="1791" cm="1" t="str">
        <f t="array" ref="CS159:CS159">CS152</f>
        <v>0</v>
      </c>
      <c r="CT159" s="1719"/>
      <c r="CU159" s="0"/>
      <c r="CV159" s="1632"/>
      <c r="CW159" s="1173" t="s">
        <v>776</v>
      </c>
      <c r="CX159" s="1178"/>
      <c r="CY159" s="1178"/>
      <c r="CZ159" s="1178"/>
      <c r="DA159" s="1179"/>
      <c r="DB159" s="1179"/>
    </row>
    <row s="1632" customFormat="1" customHeight="1" ht="29.25">
      <c r="A160" s="1443"/>
      <c r="B160" s="927"/>
      <c r="C160" s="1443"/>
      <c r="D160" s="1443"/>
      <c r="E160" s="797">
        <v>30</v>
      </c>
      <c r="F160" s="922" cm="1" t="str">
        <f t="array" ref="F160:F160">OFFSET(G160,-1,-1)</f>
        <v>1</v>
      </c>
      <c r="G160" s="965"/>
      <c r="H160" s="965"/>
      <c r="I160" s="965"/>
      <c r="J160" s="965"/>
      <c r="K160" s="965"/>
      <c r="L160" s="922" cm="1" t="str">
        <f t="array" ref="L160:L160">OFFSET(M160,-1,-1)</f>
        <v>false</v>
      </c>
      <c r="M160" s="965"/>
      <c r="N160" s="965"/>
      <c r="O160" s="965"/>
      <c r="P160" s="965"/>
      <c r="Q160" s="965"/>
      <c r="R160" s="1443"/>
      <c r="S160" s="159" cm="1" t="str">
        <f t="array" ref="S160:S160">OFFSET(T160,-1,-1)</f>
        <v>true</v>
      </c>
      <c r="T160" s="1443"/>
      <c r="U160" s="819">
        <f>AND(S160,IF(ISBLANK(T160),TRUE,T160))</f>
        <v>1</v>
      </c>
      <c r="V160" s="1443"/>
      <c r="W160" s="1443"/>
      <c r="X160" s="1443"/>
      <c r="Y160" s="1443"/>
      <c r="Z160" s="1443"/>
      <c r="AA160" s="820"/>
      <c r="AB160" s="1523"/>
      <c r="AC160" s="0"/>
      <c r="AD160" s="160">
        <v>14</v>
      </c>
      <c r="AE160" s="1498" t="s">
        <v>777</v>
      </c>
      <c r="AF160" s="168"/>
      <c r="AG160" s="160" t="s">
        <v>778</v>
      </c>
      <c r="AH160" s="1791">
        <v>230.07</v>
      </c>
      <c r="AI160" s="1791">
        <v>230.07</v>
      </c>
      <c r="AJ160" s="1791">
        <v>230.07</v>
      </c>
      <c r="AK160" s="1791">
        <v>230.07</v>
      </c>
      <c r="AL160" s="1791">
        <v>234</v>
      </c>
      <c r="AM160" s="1791" cm="1" t="str">
        <f t="array" ref="AM160:AM160">AL160</f>
        <v>234</v>
      </c>
      <c r="AN160" s="1791" cm="1" t="str">
        <f t="array" ref="AN160:AN160">AL160</f>
        <v>234</v>
      </c>
      <c r="AO160" s="1791"/>
      <c r="AP160" s="1791" cm="1" t="str">
        <f t="array" ref="AP160:AP160">AO160</f>
        <v>0</v>
      </c>
      <c r="AQ160" s="1791" cm="1" t="str">
        <f t="array" ref="AQ160:AQ160">AO160</f>
        <v>0</v>
      </c>
      <c r="AR160" s="1791"/>
      <c r="AS160" s="1791" cm="1" t="str">
        <f t="array" ref="AS160:AS160">AR160</f>
        <v>0</v>
      </c>
      <c r="AT160" s="1791" cm="1" t="str">
        <f t="array" ref="AT160:AT160">AR160</f>
        <v>0</v>
      </c>
      <c r="AU160" s="1791"/>
      <c r="AV160" s="1791" cm="1" t="str">
        <f t="array" ref="AV160:AV160">AU160</f>
        <v>0</v>
      </c>
      <c r="AW160" s="1791" cm="1" t="str">
        <f t="array" ref="AW160:AW160">AU160</f>
        <v>0</v>
      </c>
      <c r="AX160" s="1791"/>
      <c r="AY160" s="1791" cm="1" t="str">
        <f t="array" ref="AY160:AY160">AX160</f>
        <v>0</v>
      </c>
      <c r="AZ160" s="1791" cm="1" t="str">
        <f t="array" ref="AZ160:AZ160">AX160</f>
        <v>0</v>
      </c>
      <c r="BA160" s="1791"/>
      <c r="BB160" s="1791" cm="1" t="str">
        <f t="array" ref="BB160:BB160">BA160</f>
        <v>0</v>
      </c>
      <c r="BC160" s="1791" cm="1" t="str">
        <f t="array" ref="BC160:BC160">BA160</f>
        <v>0</v>
      </c>
      <c r="BD160" s="1791"/>
      <c r="BE160" s="1791" cm="1" t="str">
        <f t="array" ref="BE160:BE160">BD160</f>
        <v>0</v>
      </c>
      <c r="BF160" s="1791" cm="1" t="str">
        <f t="array" ref="BF160:BF160">BD160</f>
        <v>0</v>
      </c>
      <c r="BG160" s="1791"/>
      <c r="BH160" s="1791" cm="1" t="str">
        <f t="array" ref="BH160:BH160">BG160</f>
        <v>0</v>
      </c>
      <c r="BI160" s="1791" cm="1" t="str">
        <f t="array" ref="BI160:BI160">BG160</f>
        <v>0</v>
      </c>
      <c r="BJ160" s="1791"/>
      <c r="BK160" s="1791" cm="1" t="str">
        <f t="array" ref="BK160:BK160">BJ160</f>
        <v>0</v>
      </c>
      <c r="BL160" s="1791" cm="1" t="str">
        <f t="array" ref="BL160:BL160">BJ160</f>
        <v>0</v>
      </c>
      <c r="BM160" s="1791"/>
      <c r="BN160" s="1791" cm="1" t="str">
        <f t="array" ref="BN160:BN160">BM160</f>
        <v>0</v>
      </c>
      <c r="BO160" s="1791" cm="1" t="str">
        <f t="array" ref="BO160:BO160">BM160</f>
        <v>0</v>
      </c>
      <c r="BP160" s="1791">
        <v>230.07</v>
      </c>
      <c r="BQ160" s="1791" cm="1" t="str">
        <f t="array" ref="BQ160:BQ160">BP160</f>
        <v>230.07</v>
      </c>
      <c r="BR160" s="1791" cm="1" t="str">
        <f t="array" ref="BR160:BR160">BP160</f>
        <v>230.07</v>
      </c>
      <c r="BS160" s="1791"/>
      <c r="BT160" s="1791" cm="1" t="str">
        <f t="array" ref="BT160:BT160">BS160</f>
        <v>0</v>
      </c>
      <c r="BU160" s="1791" cm="1" t="str">
        <f t="array" ref="BU160:BU160">BS160</f>
        <v>0</v>
      </c>
      <c r="BV160" s="1791"/>
      <c r="BW160" s="1791" cm="1" t="str">
        <f t="array" ref="BW160:BW160">BV160</f>
        <v>0</v>
      </c>
      <c r="BX160" s="1791" cm="1" t="str">
        <f t="array" ref="BX160:BX160">BV160</f>
        <v>0</v>
      </c>
      <c r="BY160" s="1791"/>
      <c r="BZ160" s="1791" cm="1" t="str">
        <f t="array" ref="BZ160:BZ160">BY160</f>
        <v>0</v>
      </c>
      <c r="CA160" s="1791" cm="1" t="str">
        <f t="array" ref="CA160:CA160">BY160</f>
        <v>0</v>
      </c>
      <c r="CB160" s="1791"/>
      <c r="CC160" s="1791" cm="1" t="str">
        <f t="array" ref="CC160:CC160">CB160</f>
        <v>0</v>
      </c>
      <c r="CD160" s="1791" cm="1" t="str">
        <f t="array" ref="CD160:CD160">CB160</f>
        <v>0</v>
      </c>
      <c r="CE160" s="1791"/>
      <c r="CF160" s="1791" cm="1" t="str">
        <f t="array" ref="CF160:CF160">CE160</f>
        <v>0</v>
      </c>
      <c r="CG160" s="1791" cm="1" t="str">
        <f t="array" ref="CG160:CG160">CE160</f>
        <v>0</v>
      </c>
      <c r="CH160" s="1791"/>
      <c r="CI160" s="1791" cm="1" t="str">
        <f t="array" ref="CI160:CI160">CH160</f>
        <v>0</v>
      </c>
      <c r="CJ160" s="1791" cm="1" t="str">
        <f t="array" ref="CJ160:CJ160">CH160</f>
        <v>0</v>
      </c>
      <c r="CK160" s="1791"/>
      <c r="CL160" s="1791" cm="1" t="str">
        <f t="array" ref="CL160:CL160">CK160</f>
        <v>0</v>
      </c>
      <c r="CM160" s="1791" cm="1" t="str">
        <f t="array" ref="CM160:CM160">CK160</f>
        <v>0</v>
      </c>
      <c r="CN160" s="1791"/>
      <c r="CO160" s="1791" cm="1" t="str">
        <f t="array" ref="CO160:CO160">CN160</f>
        <v>0</v>
      </c>
      <c r="CP160" s="1791" cm="1" t="str">
        <f t="array" ref="CP160:CP160">CN160</f>
        <v>0</v>
      </c>
      <c r="CQ160" s="1791"/>
      <c r="CR160" s="1791" cm="1" t="str">
        <f t="array" ref="CR160:CR160">CQ160</f>
        <v>0</v>
      </c>
      <c r="CS160" s="1791" cm="1" t="str">
        <f t="array" ref="CS160:CS160">CQ160</f>
        <v>0</v>
      </c>
      <c r="CT160" s="1719"/>
      <c r="CU160" s="0"/>
      <c r="CV160" s="1632"/>
      <c r="CW160" s="1173" t="s">
        <v>779</v>
      </c>
      <c r="CX160" s="1178"/>
      <c r="CY160" s="1178"/>
      <c r="CZ160" s="1178"/>
      <c r="DA160" s="1179"/>
      <c r="DB160" s="1179"/>
    </row>
    <row s="1632" customFormat="1" customHeight="1" ht="16.5">
      <c r="A161" s="1443"/>
      <c r="B161" s="927"/>
      <c r="C161" s="1443"/>
      <c r="D161" s="1443"/>
      <c r="E161" s="797">
        <v>17.1</v>
      </c>
      <c r="F161" s="922" cm="1" t="str">
        <f t="array" ref="F161:F161">OFFSET(G161,-1,-1)</f>
        <v>1</v>
      </c>
      <c r="G161" s="965"/>
      <c r="H161" s="965"/>
      <c r="I161" s="965"/>
      <c r="J161" s="965"/>
      <c r="K161" s="965"/>
      <c r="L161" s="922" cm="1" t="str">
        <f t="array" ref="L161:L161">OFFSET(M161,-1,-1)</f>
        <v>false</v>
      </c>
      <c r="M161" s="965"/>
      <c r="N161" s="965"/>
      <c r="O161" s="965"/>
      <c r="P161" s="965"/>
      <c r="Q161" s="965"/>
      <c r="R161" s="1443"/>
      <c r="S161" s="159" cm="1" t="str">
        <f t="array" ref="S161:S161">OFFSET(T161,-1,-1)</f>
        <v>true</v>
      </c>
      <c r="T161" s="1443"/>
      <c r="U161" s="819">
        <f>AND(S161,IF(ISBLANK(T161),TRUE,T161))</f>
        <v>1</v>
      </c>
      <c r="V161" s="1443"/>
      <c r="W161" s="1443"/>
      <c r="X161" s="1443"/>
      <c r="Y161" s="1443"/>
      <c r="Z161" s="1443"/>
      <c r="AA161" s="820"/>
      <c r="AB161" s="1488" t="s">
        <v>780</v>
      </c>
      <c r="AC161" s="0"/>
      <c r="AD161" s="160">
        <v>15</v>
      </c>
      <c r="AE161" s="1498" t="s">
        <v>781</v>
      </c>
      <c r="AF161" s="168"/>
      <c r="AG161" s="160" t="s">
        <v>774</v>
      </c>
      <c r="AH161" s="1791">
        <v>1856.96</v>
      </c>
      <c r="AI161" s="1791">
        <v>2493.4</v>
      </c>
      <c r="AJ161" s="1791">
        <v>1860.02</v>
      </c>
      <c r="AK161" s="1791">
        <v>1611.3</v>
      </c>
      <c r="AL161" s="860">
        <f>AM161+AN161</f>
        <v>1941.47232</v>
      </c>
      <c r="AM161" s="1791">
        <v>1079.07</v>
      </c>
      <c r="AN161" s="1791">
        <f>AN160*AN159/1000</f>
        <v>862.40232</v>
      </c>
      <c r="AO161" s="860">
        <f>AP161+AQ161</f>
        <v>0</v>
      </c>
      <c r="AP161" s="1791">
        <f>AP160*AP159/1000</f>
        <v>0</v>
      </c>
      <c r="AQ161" s="1791">
        <f>AQ160*AQ159/1000</f>
        <v>0</v>
      </c>
      <c r="AR161" s="860">
        <f>AS161+AT161</f>
        <v>0</v>
      </c>
      <c r="AS161" s="1791">
        <f>AS160*AS159/1000</f>
        <v>0</v>
      </c>
      <c r="AT161" s="1791">
        <f>AT160*AT159/1000</f>
        <v>0</v>
      </c>
      <c r="AU161" s="860">
        <f>AV161+AW161</f>
        <v>0</v>
      </c>
      <c r="AV161" s="1791">
        <f>AV160*AV159/1000</f>
        <v>0</v>
      </c>
      <c r="AW161" s="1791">
        <f>AW160*AW159/1000</f>
        <v>0</v>
      </c>
      <c r="AX161" s="860">
        <f>AY161+AZ161</f>
        <v>0</v>
      </c>
      <c r="AY161" s="1791">
        <f>AY160*AY159/1000</f>
        <v>0</v>
      </c>
      <c r="AZ161" s="1791">
        <f>AZ160*AZ159/1000</f>
        <v>0</v>
      </c>
      <c r="BA161" s="860">
        <f>BB161+BC161</f>
        <v>0</v>
      </c>
      <c r="BB161" s="1791">
        <f>BB160*BB159/1000</f>
        <v>0</v>
      </c>
      <c r="BC161" s="1791">
        <f>BC160*BC159/1000</f>
        <v>0</v>
      </c>
      <c r="BD161" s="860">
        <f>BE161+BF161</f>
        <v>0</v>
      </c>
      <c r="BE161" s="1791">
        <f>BE160*BE159/1000</f>
        <v>0</v>
      </c>
      <c r="BF161" s="1791">
        <f>BF160*BF159/1000</f>
        <v>0</v>
      </c>
      <c r="BG161" s="860">
        <f>BH161+BI161</f>
        <v>0</v>
      </c>
      <c r="BH161" s="1791">
        <f>BH160*BH159/1000</f>
        <v>0</v>
      </c>
      <c r="BI161" s="1791">
        <f>BI160*BI159/1000</f>
        <v>0</v>
      </c>
      <c r="BJ161" s="860">
        <f>BK161+BL161</f>
        <v>0</v>
      </c>
      <c r="BK161" s="1791">
        <f>BK160*BK159/1000</f>
        <v>0</v>
      </c>
      <c r="BL161" s="1791">
        <f>BL160*BL159/1000</f>
        <v>0</v>
      </c>
      <c r="BM161" s="860">
        <f>BN161+BO161</f>
        <v>0</v>
      </c>
      <c r="BN161" s="1791">
        <f>BN160*BN159/1000</f>
        <v>0</v>
      </c>
      <c r="BO161" s="1791">
        <f>BO160*BO159/1000</f>
        <v>0</v>
      </c>
      <c r="BP161" s="860">
        <f>BQ161+BR161</f>
        <v>1611.3</v>
      </c>
      <c r="BQ161" s="1791">
        <v>895.56</v>
      </c>
      <c r="BR161" s="1791">
        <v>715.74</v>
      </c>
      <c r="BS161" s="860">
        <f>BT161+BU161</f>
        <v>0</v>
      </c>
      <c r="BT161" s="1791">
        <f>BT160*BT159/1000</f>
        <v>0</v>
      </c>
      <c r="BU161" s="1791">
        <f>BU160*BU159/1000</f>
        <v>0</v>
      </c>
      <c r="BV161" s="860">
        <f>BW161+BX161</f>
        <v>0</v>
      </c>
      <c r="BW161" s="1791">
        <f>BW160*BW159/1000</f>
        <v>0</v>
      </c>
      <c r="BX161" s="1791">
        <f>BX160*BX159/1000</f>
        <v>0</v>
      </c>
      <c r="BY161" s="860">
        <f>BZ161+CA161</f>
        <v>0</v>
      </c>
      <c r="BZ161" s="1791">
        <f>BZ160*BZ159/1000</f>
        <v>0</v>
      </c>
      <c r="CA161" s="1791">
        <f>CA160*CA159/1000</f>
        <v>0</v>
      </c>
      <c r="CB161" s="860">
        <f>CC161+CD161</f>
        <v>0</v>
      </c>
      <c r="CC161" s="1791">
        <f>CC160*CC159/1000</f>
        <v>0</v>
      </c>
      <c r="CD161" s="1791">
        <f>CD160*CD159/1000</f>
        <v>0</v>
      </c>
      <c r="CE161" s="860">
        <f>CF161+CG161</f>
        <v>0</v>
      </c>
      <c r="CF161" s="1791">
        <f>CF160*CF159/1000</f>
        <v>0</v>
      </c>
      <c r="CG161" s="1791">
        <f>CG160*CG159/1000</f>
        <v>0</v>
      </c>
      <c r="CH161" s="860">
        <f>CI161+CJ161</f>
        <v>0</v>
      </c>
      <c r="CI161" s="1791">
        <f>CI160*CI159/1000</f>
        <v>0</v>
      </c>
      <c r="CJ161" s="1791">
        <f>CJ160*CJ159/1000</f>
        <v>0</v>
      </c>
      <c r="CK161" s="860">
        <f>CL161+CM161</f>
        <v>0</v>
      </c>
      <c r="CL161" s="1791">
        <f>CL160*CL159/1000</f>
        <v>0</v>
      </c>
      <c r="CM161" s="1791">
        <f>CM160*CM159/1000</f>
        <v>0</v>
      </c>
      <c r="CN161" s="860">
        <f>CO161+CP161</f>
        <v>0</v>
      </c>
      <c r="CO161" s="1791">
        <f>CO160*CO159/1000</f>
        <v>0</v>
      </c>
      <c r="CP161" s="1791">
        <f>CP160*CP159/1000</f>
        <v>0</v>
      </c>
      <c r="CQ161" s="860">
        <f>CR161+CS161</f>
        <v>0</v>
      </c>
      <c r="CR161" s="1791">
        <f>CR160*CR159/1000</f>
        <v>0</v>
      </c>
      <c r="CS161" s="1791">
        <f>CS160*CS159/1000</f>
        <v>0</v>
      </c>
      <c r="CT161" s="1719"/>
      <c r="CU161" s="0"/>
      <c r="CV161" s="1632"/>
      <c r="CW161" s="1173" t="s">
        <v>782</v>
      </c>
      <c r="CX161" s="1178"/>
      <c r="CY161" s="1178"/>
      <c r="CZ161" s="1178"/>
      <c r="DA161" s="1179"/>
      <c r="DB161" s="1179"/>
    </row>
    <row s="1632" customFormat="1" customHeight="1" ht="16.5">
      <c r="A162" s="1443"/>
      <c r="B162" s="927"/>
      <c r="C162" s="1443"/>
      <c r="D162" s="1443"/>
      <c r="E162" s="797">
        <v>17.1</v>
      </c>
      <c r="F162" s="922" cm="1" t="str">
        <f t="array" ref="F162:F162">OFFSET(G162,-1,-1)</f>
        <v>1</v>
      </c>
      <c r="G162" s="965"/>
      <c r="H162" s="965"/>
      <c r="I162" s="965"/>
      <c r="J162" s="965"/>
      <c r="K162" s="965"/>
      <c r="L162" s="922" cm="1" t="str">
        <f t="array" ref="L162:L162">OFFSET(M162,-1,-1)</f>
        <v>false</v>
      </c>
      <c r="M162" s="965"/>
      <c r="N162" s="965"/>
      <c r="O162" s="965"/>
      <c r="P162" s="965"/>
      <c r="Q162" s="965"/>
      <c r="R162" s="1443"/>
      <c r="S162" s="159" cm="1" t="str">
        <f t="array" ref="S162:S162">OFFSET(T162,-1,-1)</f>
        <v>true</v>
      </c>
      <c r="T162" s="1443"/>
      <c r="U162" s="819">
        <f>AND(S162,IF(ISBLANK(T162),TRUE,T162))</f>
        <v>1</v>
      </c>
      <c r="V162" s="1443"/>
      <c r="W162" s="1443"/>
      <c r="X162" s="1443"/>
      <c r="Y162" s="1443"/>
      <c r="Z162" s="1443"/>
      <c r="AA162" s="820"/>
      <c r="AB162" s="1489"/>
      <c r="AC162" s="0"/>
      <c r="AD162" s="160">
        <v>16</v>
      </c>
      <c r="AE162" s="1498" t="s">
        <v>783</v>
      </c>
      <c r="AF162" s="168"/>
      <c r="AG162" s="160" t="s">
        <v>774</v>
      </c>
      <c r="AH162" s="860">
        <f>AH161+AH158</f>
        <v>1856.96</v>
      </c>
      <c r="AI162" s="860">
        <f>AI161+AI158</f>
        <v>2493.4</v>
      </c>
      <c r="AJ162" s="860">
        <f>AJ161+AJ158</f>
        <v>1860.02</v>
      </c>
      <c r="AK162" s="860">
        <f>AK161+AK158</f>
        <v>1611.3</v>
      </c>
      <c r="AL162" s="860">
        <f>AM162+AN162</f>
        <v>1941.47232</v>
      </c>
      <c r="AM162" s="860">
        <f>AM161+AM158</f>
        <v>1079.07</v>
      </c>
      <c r="AN162" s="860">
        <f>AN161+AN158</f>
        <v>862.40232</v>
      </c>
      <c r="AO162" s="860">
        <f>AP162+AQ162</f>
        <v>0</v>
      </c>
      <c r="AP162" s="860">
        <f>AP161+AP158</f>
        <v>0</v>
      </c>
      <c r="AQ162" s="860">
        <f>AQ161+AQ158</f>
        <v>0</v>
      </c>
      <c r="AR162" s="860">
        <f>AS162+AT162</f>
        <v>0</v>
      </c>
      <c r="AS162" s="860">
        <f>AS161+AS158</f>
        <v>0</v>
      </c>
      <c r="AT162" s="860">
        <f>AT161+AT158</f>
        <v>0</v>
      </c>
      <c r="AU162" s="860">
        <f>AV162+AW162</f>
        <v>0</v>
      </c>
      <c r="AV162" s="860">
        <f>AV161+AV158</f>
        <v>0</v>
      </c>
      <c r="AW162" s="860">
        <f>AW161+AW158</f>
        <v>0</v>
      </c>
      <c r="AX162" s="860">
        <f>AY162+AZ162</f>
        <v>0</v>
      </c>
      <c r="AY162" s="860">
        <f>AY161+AY158</f>
        <v>0</v>
      </c>
      <c r="AZ162" s="860">
        <f>AZ161+AZ158</f>
        <v>0</v>
      </c>
      <c r="BA162" s="860">
        <f>BB162+BC162</f>
        <v>0</v>
      </c>
      <c r="BB162" s="860">
        <f>BB161+BB158</f>
        <v>0</v>
      </c>
      <c r="BC162" s="860">
        <f>BC161+BC158</f>
        <v>0</v>
      </c>
      <c r="BD162" s="860">
        <f>BE162+BF162</f>
        <v>0</v>
      </c>
      <c r="BE162" s="860">
        <f>BE161+BE158</f>
        <v>0</v>
      </c>
      <c r="BF162" s="860">
        <f>BF161+BF158</f>
        <v>0</v>
      </c>
      <c r="BG162" s="860">
        <f>BH162+BI162</f>
        <v>0</v>
      </c>
      <c r="BH162" s="860">
        <f>BH161+BH158</f>
        <v>0</v>
      </c>
      <c r="BI162" s="860">
        <f>BI161+BI158</f>
        <v>0</v>
      </c>
      <c r="BJ162" s="860">
        <f>BK162+BL162</f>
        <v>0</v>
      </c>
      <c r="BK162" s="860">
        <f>BK161+BK158</f>
        <v>0</v>
      </c>
      <c r="BL162" s="860">
        <f>BL161+BL158</f>
        <v>0</v>
      </c>
      <c r="BM162" s="860">
        <f>BN162+BO162</f>
        <v>0</v>
      </c>
      <c r="BN162" s="860">
        <f>BN161+BN158</f>
        <v>0</v>
      </c>
      <c r="BO162" s="860">
        <f>BO161+BO158</f>
        <v>0</v>
      </c>
      <c r="BP162" s="860">
        <f>BQ162+BR162</f>
        <v>1611.3</v>
      </c>
      <c r="BQ162" s="860">
        <f>BQ161+BQ158</f>
        <v>895.56</v>
      </c>
      <c r="BR162" s="860">
        <f>BR161+BR158</f>
        <v>715.74</v>
      </c>
      <c r="BS162" s="860">
        <f>BT162+BU162</f>
        <v>0</v>
      </c>
      <c r="BT162" s="860">
        <f>BT161+BT158</f>
        <v>0</v>
      </c>
      <c r="BU162" s="860">
        <f>BU161+BU158</f>
        <v>0</v>
      </c>
      <c r="BV162" s="860">
        <f>BW162+BX162</f>
        <v>0</v>
      </c>
      <c r="BW162" s="860">
        <f>BW161+BW158</f>
        <v>0</v>
      </c>
      <c r="BX162" s="860">
        <f>BX161+BX158</f>
        <v>0</v>
      </c>
      <c r="BY162" s="860">
        <f>BZ162+CA162</f>
        <v>0</v>
      </c>
      <c r="BZ162" s="860">
        <f>BZ161+BZ158</f>
        <v>0</v>
      </c>
      <c r="CA162" s="860">
        <f>CA161+CA158</f>
        <v>0</v>
      </c>
      <c r="CB162" s="860">
        <f>CC162+CD162</f>
        <v>0</v>
      </c>
      <c r="CC162" s="860">
        <f>CC161+CC158</f>
        <v>0</v>
      </c>
      <c r="CD162" s="860">
        <f>CD161+CD158</f>
        <v>0</v>
      </c>
      <c r="CE162" s="860">
        <f>CF162+CG162</f>
        <v>0</v>
      </c>
      <c r="CF162" s="860">
        <f>CF161+CF158</f>
        <v>0</v>
      </c>
      <c r="CG162" s="860">
        <f>CG161+CG158</f>
        <v>0</v>
      </c>
      <c r="CH162" s="860">
        <f>CI162+CJ162</f>
        <v>0</v>
      </c>
      <c r="CI162" s="860">
        <f>CI161+CI158</f>
        <v>0</v>
      </c>
      <c r="CJ162" s="860">
        <f>CJ161+CJ158</f>
        <v>0</v>
      </c>
      <c r="CK162" s="860">
        <f>CL162+CM162</f>
        <v>0</v>
      </c>
      <c r="CL162" s="860">
        <f>CL161+CL158</f>
        <v>0</v>
      </c>
      <c r="CM162" s="860">
        <f>CM161+CM158</f>
        <v>0</v>
      </c>
      <c r="CN162" s="860">
        <f>CO162+CP162</f>
        <v>0</v>
      </c>
      <c r="CO162" s="860">
        <f>CO161+CO158</f>
        <v>0</v>
      </c>
      <c r="CP162" s="860">
        <f>CP161+CP158</f>
        <v>0</v>
      </c>
      <c r="CQ162" s="860">
        <f>CR162+CS162</f>
        <v>0</v>
      </c>
      <c r="CR162" s="860">
        <f>CR161+CR158</f>
        <v>0</v>
      </c>
      <c r="CS162" s="860">
        <f>CS161+CS158</f>
        <v>0</v>
      </c>
      <c r="CT162" s="1719"/>
      <c r="CU162" s="0"/>
      <c r="CV162" s="1632"/>
      <c r="CW162" s="1173" t="s">
        <v>784</v>
      </c>
      <c r="CX162" s="1178"/>
      <c r="CY162" s="1178"/>
      <c r="CZ162" s="1178"/>
      <c r="DA162" s="1179"/>
      <c r="DB162" s="1179"/>
    </row>
    <row s="1632" customFormat="1" customHeight="1" ht="16.5" hidden="1">
      <c r="A163" s="1443"/>
      <c r="B163" s="927"/>
      <c r="C163" s="1443"/>
      <c r="D163" s="1443"/>
      <c r="E163" s="797">
        <v>17.1</v>
      </c>
      <c r="F163" s="922" cm="1" t="str">
        <f t="array" ref="F163:F163">OFFSET(G163,-1,-1)</f>
        <v>1</v>
      </c>
      <c r="G163" s="965"/>
      <c r="H163" s="965"/>
      <c r="I163" s="965"/>
      <c r="J163" s="965"/>
      <c r="K163" s="965"/>
      <c r="L163" s="922" cm="1" t="str">
        <f t="array" ref="L163:L163">OFFSET(M163,-1,-1)</f>
        <v>false</v>
      </c>
      <c r="M163" s="965"/>
      <c r="N163" s="965"/>
      <c r="O163" s="965"/>
      <c r="P163" s="965"/>
      <c r="Q163" s="965"/>
      <c r="R163" s="922" t="s">
        <v>730</v>
      </c>
      <c r="S163" s="159" cm="1" t="str">
        <f t="array" ref="S163:S163">OFFSET(T163,-1,-1)</f>
        <v>true</v>
      </c>
      <c r="T163" s="159" cm="1" t="str">
        <f t="array" ref="T163:T163">L163</f>
        <v>false</v>
      </c>
      <c r="U163" s="819">
        <f>AND(S163,IF(ISBLANK(T163),TRUE,T163))</f>
        <v>0</v>
      </c>
      <c r="V163" s="1443"/>
      <c r="W163" s="1443"/>
      <c r="X163" s="1443"/>
      <c r="Y163" s="1443"/>
      <c r="Z163" s="1443"/>
      <c r="AA163" s="820"/>
      <c r="AB163" s="1489"/>
      <c r="AC163" s="0"/>
      <c r="AD163" s="160">
        <v>17</v>
      </c>
      <c r="AE163" s="1498" t="s">
        <v>785</v>
      </c>
      <c r="AF163" s="168"/>
      <c r="AG163" s="160" t="s">
        <v>498</v>
      </c>
      <c r="AH163" s="866">
        <f>_xlfn.IFERROR(AH161/AH162,0)</f>
        <v>1</v>
      </c>
      <c r="AI163" s="867">
        <f>_xlfn.IFERROR(AI161/AI162,0)</f>
        <v>1</v>
      </c>
      <c r="AJ163" s="867">
        <f>_xlfn.IFERROR(AJ161/AJ162,0)</f>
        <v>1</v>
      </c>
      <c r="AK163" s="867">
        <f>_xlfn.IFERROR(AK161/AK162,0)</f>
        <v>1</v>
      </c>
      <c r="AL163" s="867">
        <f>_xlfn.IFERROR(AL161/AL162,0)</f>
        <v>1</v>
      </c>
      <c r="AM163" s="867">
        <f>_xlfn.IFERROR(AM161/AM162,0)</f>
        <v>1</v>
      </c>
      <c r="AN163" s="867">
        <f>_xlfn.IFERROR(AN161/AN162,0)</f>
        <v>1</v>
      </c>
      <c r="AO163" s="867">
        <f>_xlfn.IFERROR(AO161/AO162,0)</f>
        <v>0</v>
      </c>
      <c r="AP163" s="867">
        <f>_xlfn.IFERROR(AP161/AP162,0)</f>
        <v>0</v>
      </c>
      <c r="AQ163" s="867">
        <f>_xlfn.IFERROR(AQ161/AQ162,0)</f>
        <v>0</v>
      </c>
      <c r="AR163" s="867">
        <f>_xlfn.IFERROR(AR161/AR162,0)</f>
        <v>0</v>
      </c>
      <c r="AS163" s="867">
        <f>_xlfn.IFERROR(AS161/AS162,0)</f>
        <v>0</v>
      </c>
      <c r="AT163" s="867">
        <f>_xlfn.IFERROR(AT161/AT162,0)</f>
        <v>0</v>
      </c>
      <c r="AU163" s="867">
        <f>_xlfn.IFERROR(AU161/AU162,0)</f>
        <v>0</v>
      </c>
      <c r="AV163" s="867">
        <f>_xlfn.IFERROR(AV161/AV162,0)</f>
        <v>0</v>
      </c>
      <c r="AW163" s="867">
        <f>_xlfn.IFERROR(AW161/AW162,0)</f>
        <v>0</v>
      </c>
      <c r="AX163" s="867">
        <f>_xlfn.IFERROR(AX161/AX162,0)</f>
        <v>0</v>
      </c>
      <c r="AY163" s="867">
        <f>_xlfn.IFERROR(AY161/AY162,0)</f>
        <v>0</v>
      </c>
      <c r="AZ163" s="867">
        <f>_xlfn.IFERROR(AZ161/AZ162,0)</f>
        <v>0</v>
      </c>
      <c r="BA163" s="867">
        <f>_xlfn.IFERROR(BA161/BA162,0)</f>
        <v>0</v>
      </c>
      <c r="BB163" s="867">
        <f>_xlfn.IFERROR(BB161/BB162,0)</f>
        <v>0</v>
      </c>
      <c r="BC163" s="867">
        <f>_xlfn.IFERROR(BC161/BC162,0)</f>
        <v>0</v>
      </c>
      <c r="BD163" s="867">
        <f>_xlfn.IFERROR(BD161/BD162,0)</f>
        <v>0</v>
      </c>
      <c r="BE163" s="867">
        <f>_xlfn.IFERROR(BE161/BE162,0)</f>
        <v>0</v>
      </c>
      <c r="BF163" s="867">
        <f>_xlfn.IFERROR(BF161/BF162,0)</f>
        <v>0</v>
      </c>
      <c r="BG163" s="867">
        <f>_xlfn.IFERROR(BG161/BG162,0)</f>
        <v>0</v>
      </c>
      <c r="BH163" s="867">
        <f>_xlfn.IFERROR(BH161/BH162,0)</f>
        <v>0</v>
      </c>
      <c r="BI163" s="867">
        <f>_xlfn.IFERROR(BI161/BI162,0)</f>
        <v>0</v>
      </c>
      <c r="BJ163" s="867">
        <f>_xlfn.IFERROR(BJ161/BJ162,0)</f>
        <v>0</v>
      </c>
      <c r="BK163" s="867">
        <f>_xlfn.IFERROR(BK161/BK162,0)</f>
        <v>0</v>
      </c>
      <c r="BL163" s="867">
        <f>_xlfn.IFERROR(BL161/BL162,0)</f>
        <v>0</v>
      </c>
      <c r="BM163" s="867">
        <f>_xlfn.IFERROR(BM161/BM162,0)</f>
        <v>0</v>
      </c>
      <c r="BN163" s="867">
        <f>_xlfn.IFERROR(BN161/BN162,0)</f>
        <v>0</v>
      </c>
      <c r="BO163" s="867">
        <f>_xlfn.IFERROR(BO161/BO162,0)</f>
        <v>0</v>
      </c>
      <c r="BP163" s="867">
        <f>_xlfn.IFERROR(BP161/BP162,0)</f>
        <v>1</v>
      </c>
      <c r="BQ163" s="867">
        <f>_xlfn.IFERROR(BQ161/BQ162,0)</f>
        <v>1</v>
      </c>
      <c r="BR163" s="867">
        <f>_xlfn.IFERROR(BR161/BR162,0)</f>
        <v>1</v>
      </c>
      <c r="BS163" s="867">
        <f>_xlfn.IFERROR(BS161/BS162,0)</f>
        <v>0</v>
      </c>
      <c r="BT163" s="867">
        <f>_xlfn.IFERROR(BT161/BT162,0)</f>
        <v>0</v>
      </c>
      <c r="BU163" s="867">
        <f>_xlfn.IFERROR(BU161/BU162,0)</f>
        <v>0</v>
      </c>
      <c r="BV163" s="867">
        <f>_xlfn.IFERROR(BV161/BV162,0)</f>
        <v>0</v>
      </c>
      <c r="BW163" s="867">
        <f>_xlfn.IFERROR(BW161/BW162,0)</f>
        <v>0</v>
      </c>
      <c r="BX163" s="867">
        <f>_xlfn.IFERROR(BX161/BX162,0)</f>
        <v>0</v>
      </c>
      <c r="BY163" s="867">
        <f>_xlfn.IFERROR(BY161/BY162,0)</f>
        <v>0</v>
      </c>
      <c r="BZ163" s="867">
        <f>_xlfn.IFERROR(BZ161/BZ162,0)</f>
        <v>0</v>
      </c>
      <c r="CA163" s="867">
        <f>_xlfn.IFERROR(CA161/CA162,0)</f>
        <v>0</v>
      </c>
      <c r="CB163" s="867">
        <f>_xlfn.IFERROR(CB161/CB162,0)</f>
        <v>0</v>
      </c>
      <c r="CC163" s="867">
        <f>_xlfn.IFERROR(CC161/CC162,0)</f>
        <v>0</v>
      </c>
      <c r="CD163" s="867">
        <f>_xlfn.IFERROR(CD161/CD162,0)</f>
        <v>0</v>
      </c>
      <c r="CE163" s="867">
        <f>_xlfn.IFERROR(CE161/CE162,0)</f>
        <v>0</v>
      </c>
      <c r="CF163" s="867">
        <f>_xlfn.IFERROR(CF161/CF162,0)</f>
        <v>0</v>
      </c>
      <c r="CG163" s="867">
        <f>_xlfn.IFERROR(CG161/CG162,0)</f>
        <v>0</v>
      </c>
      <c r="CH163" s="867">
        <f>_xlfn.IFERROR(CH161/CH162,0)</f>
        <v>0</v>
      </c>
      <c r="CI163" s="867">
        <f>_xlfn.IFERROR(CI161/CI162,0)</f>
        <v>0</v>
      </c>
      <c r="CJ163" s="867">
        <f>_xlfn.IFERROR(CJ161/CJ162,0)</f>
        <v>0</v>
      </c>
      <c r="CK163" s="867">
        <f>_xlfn.IFERROR(CK161/CK162,0)</f>
        <v>0</v>
      </c>
      <c r="CL163" s="867">
        <f>_xlfn.IFERROR(CL161/CL162,0)</f>
        <v>0</v>
      </c>
      <c r="CM163" s="867">
        <f>_xlfn.IFERROR(CM161/CM162,0)</f>
        <v>0</v>
      </c>
      <c r="CN163" s="867">
        <f>_xlfn.IFERROR(CN161/CN162,0)</f>
        <v>0</v>
      </c>
      <c r="CO163" s="867">
        <f>_xlfn.IFERROR(CO161/CO162,0)</f>
        <v>0</v>
      </c>
      <c r="CP163" s="867">
        <f>_xlfn.IFERROR(CP161/CP162,0)</f>
        <v>0</v>
      </c>
      <c r="CQ163" s="867">
        <f>_xlfn.IFERROR(CQ161/CQ162,0)</f>
        <v>0</v>
      </c>
      <c r="CR163" s="867">
        <f>_xlfn.IFERROR(CR161/CR162,0)</f>
        <v>0</v>
      </c>
      <c r="CS163" s="867">
        <f>_xlfn.IFERROR(CS161/CS162,0)</f>
        <v>0</v>
      </c>
      <c r="CT163" s="73"/>
      <c r="CU163" s="0"/>
      <c r="CV163" s="1632"/>
      <c r="CW163" s="1173" t="s">
        <v>786</v>
      </c>
      <c r="CX163" s="1178"/>
      <c r="CY163" s="1178"/>
      <c r="CZ163" s="1178"/>
      <c r="DA163" s="1179"/>
      <c r="DB163" s="1179"/>
    </row>
    <row s="1632" customFormat="1" customHeight="1" ht="16.5">
      <c r="A164" s="1443"/>
      <c r="B164" s="927"/>
      <c r="C164" s="1443"/>
      <c r="D164" s="1443"/>
      <c r="E164" s="797">
        <v>17.1</v>
      </c>
      <c r="F164" s="922" cm="1" t="str">
        <f t="array" ref="F164:F164">OFFSET(G164,-1,-1)</f>
        <v>1</v>
      </c>
      <c r="G164" s="965"/>
      <c r="H164" s="965"/>
      <c r="I164" s="965"/>
      <c r="J164" s="965"/>
      <c r="K164" s="965"/>
      <c r="L164" s="922" cm="1" t="str">
        <f t="array" ref="L164:L164">OFFSET(M164,-1,-1)</f>
        <v>false</v>
      </c>
      <c r="M164" s="965"/>
      <c r="N164" s="965"/>
      <c r="O164" s="965"/>
      <c r="P164" s="965"/>
      <c r="Q164" s="965"/>
      <c r="R164" s="1443"/>
      <c r="S164" s="159" cm="1" t="str">
        <f t="array" ref="S164:S164">OFFSET(T164,-1,-1)</f>
        <v>true</v>
      </c>
      <c r="T164" s="1443"/>
      <c r="U164" s="819">
        <f>AND(S164,IF(ISBLANK(T164),TRUE,T164))</f>
        <v>1</v>
      </c>
      <c r="V164" s="1443"/>
      <c r="W164" s="1443"/>
      <c r="X164" s="1443"/>
      <c r="Y164" s="1443"/>
      <c r="Z164" s="1443"/>
      <c r="AA164" s="820"/>
      <c r="AB164" s="1489"/>
      <c r="AC164" s="0"/>
      <c r="AD164" s="160">
        <v>18</v>
      </c>
      <c r="AE164" s="1498" t="s">
        <v>787</v>
      </c>
      <c r="AF164" s="168"/>
      <c r="AG164" s="160" t="s">
        <v>774</v>
      </c>
      <c r="AH164" s="860">
        <f>SUM(AH166:AH168)</f>
        <v>1856.96</v>
      </c>
      <c r="AI164" s="860">
        <f>SUM(AI166:AI168)</f>
        <v>2493.4</v>
      </c>
      <c r="AJ164" s="860">
        <f>SUM(AJ166:AJ168)</f>
        <v>1860.02</v>
      </c>
      <c r="AK164" s="860">
        <f>SUM(AK166:AK168)</f>
        <v>1611.3</v>
      </c>
      <c r="AL164" s="860">
        <f>SUM(AL166:AL168)</f>
        <v>1941.47232</v>
      </c>
      <c r="AM164" s="860">
        <f>SUM(AM166:AM168)</f>
        <v>1079.07</v>
      </c>
      <c r="AN164" s="860">
        <f>SUM(AN166:AN168)</f>
        <v>862.40232</v>
      </c>
      <c r="AO164" s="860">
        <f>SUM(AO166:AO168)</f>
        <v>0</v>
      </c>
      <c r="AP164" s="860">
        <f>SUM(AP166:AP168)</f>
        <v>0</v>
      </c>
      <c r="AQ164" s="860">
        <f>SUM(AQ166:AQ168)</f>
        <v>0</v>
      </c>
      <c r="AR164" s="860">
        <f>SUM(AR166:AR168)</f>
        <v>0</v>
      </c>
      <c r="AS164" s="860">
        <f>SUM(AS166:AS168)</f>
        <v>0</v>
      </c>
      <c r="AT164" s="860">
        <f>SUM(AT166:AT168)</f>
        <v>0</v>
      </c>
      <c r="AU164" s="860">
        <f>SUM(AU166:AU168)</f>
        <v>0</v>
      </c>
      <c r="AV164" s="860">
        <f>SUM(AV166:AV168)</f>
        <v>0</v>
      </c>
      <c r="AW164" s="860">
        <f>SUM(AW166:AW168)</f>
        <v>0</v>
      </c>
      <c r="AX164" s="860">
        <f>SUM(AX166:AX168)</f>
        <v>0</v>
      </c>
      <c r="AY164" s="860">
        <f>SUM(AY166:AY168)</f>
        <v>0</v>
      </c>
      <c r="AZ164" s="860">
        <f>SUM(AZ166:AZ168)</f>
        <v>0</v>
      </c>
      <c r="BA164" s="860">
        <f>SUM(BA166:BA168)</f>
        <v>0</v>
      </c>
      <c r="BB164" s="860">
        <f>SUM(BB166:BB168)</f>
        <v>0</v>
      </c>
      <c r="BC164" s="860">
        <f>SUM(BC166:BC168)</f>
        <v>0</v>
      </c>
      <c r="BD164" s="860">
        <f>SUM(BD166:BD168)</f>
        <v>0</v>
      </c>
      <c r="BE164" s="860">
        <f>SUM(BE166:BE168)</f>
        <v>0</v>
      </c>
      <c r="BF164" s="860">
        <f>SUM(BF166:BF168)</f>
        <v>0</v>
      </c>
      <c r="BG164" s="860">
        <f>SUM(BG166:BG168)</f>
        <v>0</v>
      </c>
      <c r="BH164" s="860">
        <f>SUM(BH166:BH168)</f>
        <v>0</v>
      </c>
      <c r="BI164" s="860">
        <f>SUM(BI166:BI168)</f>
        <v>0</v>
      </c>
      <c r="BJ164" s="860">
        <f>SUM(BJ166:BJ168)</f>
        <v>0</v>
      </c>
      <c r="BK164" s="860">
        <f>SUM(BK166:BK168)</f>
        <v>0</v>
      </c>
      <c r="BL164" s="860">
        <f>SUM(BL166:BL168)</f>
        <v>0</v>
      </c>
      <c r="BM164" s="860">
        <f>SUM(BM166:BM168)</f>
        <v>0</v>
      </c>
      <c r="BN164" s="860">
        <f>SUM(BN166:BN168)</f>
        <v>0</v>
      </c>
      <c r="BO164" s="860">
        <f>SUM(BO166:BO168)</f>
        <v>0</v>
      </c>
      <c r="BP164" s="860">
        <f>SUM(BP166:BP168)</f>
        <v>1611.3</v>
      </c>
      <c r="BQ164" s="860">
        <f>SUM(BQ166:BQ168)</f>
        <v>895.56</v>
      </c>
      <c r="BR164" s="860">
        <f>SUM(BR166:BR168)</f>
        <v>715.74</v>
      </c>
      <c r="BS164" s="860">
        <f>SUM(BS166:BS168)</f>
        <v>0</v>
      </c>
      <c r="BT164" s="860">
        <f>SUM(BT166:BT168)</f>
        <v>0</v>
      </c>
      <c r="BU164" s="860">
        <f>SUM(BU166:BU168)</f>
        <v>0</v>
      </c>
      <c r="BV164" s="860">
        <f>SUM(BV166:BV168)</f>
        <v>0</v>
      </c>
      <c r="BW164" s="860">
        <f>SUM(BW166:BW168)</f>
        <v>0</v>
      </c>
      <c r="BX164" s="860">
        <f>SUM(BX166:BX168)</f>
        <v>0</v>
      </c>
      <c r="BY164" s="860">
        <f>SUM(BY166:BY168)</f>
        <v>0</v>
      </c>
      <c r="BZ164" s="860">
        <f>SUM(BZ166:BZ168)</f>
        <v>0</v>
      </c>
      <c r="CA164" s="860">
        <f>SUM(CA166:CA168)</f>
        <v>0</v>
      </c>
      <c r="CB164" s="860">
        <f>SUM(CB166:CB168)</f>
        <v>0</v>
      </c>
      <c r="CC164" s="860">
        <f>SUM(CC166:CC168)</f>
        <v>0</v>
      </c>
      <c r="CD164" s="860">
        <f>SUM(CD166:CD168)</f>
        <v>0</v>
      </c>
      <c r="CE164" s="860">
        <f>SUM(CE166:CE168)</f>
        <v>0</v>
      </c>
      <c r="CF164" s="860">
        <f>SUM(CF166:CF168)</f>
        <v>0</v>
      </c>
      <c r="CG164" s="860">
        <f>SUM(CG166:CG168)</f>
        <v>0</v>
      </c>
      <c r="CH164" s="860">
        <f>SUM(CH166:CH168)</f>
        <v>0</v>
      </c>
      <c r="CI164" s="860">
        <f>SUM(CI166:CI168)</f>
        <v>0</v>
      </c>
      <c r="CJ164" s="860">
        <f>SUM(CJ166:CJ168)</f>
        <v>0</v>
      </c>
      <c r="CK164" s="860">
        <f>SUM(CK166:CK168)</f>
        <v>0</v>
      </c>
      <c r="CL164" s="860">
        <f>SUM(CL166:CL168)</f>
        <v>0</v>
      </c>
      <c r="CM164" s="860">
        <f>SUM(CM166:CM168)</f>
        <v>0</v>
      </c>
      <c r="CN164" s="860">
        <f>SUM(CN166:CN168)</f>
        <v>0</v>
      </c>
      <c r="CO164" s="860">
        <f>SUM(CO166:CO168)</f>
        <v>0</v>
      </c>
      <c r="CP164" s="860">
        <f>SUM(CP166:CP168)</f>
        <v>0</v>
      </c>
      <c r="CQ164" s="860">
        <f>SUM(CQ166:CQ168)</f>
        <v>0</v>
      </c>
      <c r="CR164" s="860">
        <f>SUM(CR166:CR168)</f>
        <v>0</v>
      </c>
      <c r="CS164" s="860">
        <f>SUM(CS166:CS168)</f>
        <v>0</v>
      </c>
      <c r="CT164" s="1719"/>
      <c r="CU164" s="0"/>
      <c r="CV164" s="1632"/>
      <c r="CW164" s="1173" t="s">
        <v>788</v>
      </c>
      <c r="CX164" s="1178"/>
      <c r="CY164" s="1178"/>
      <c r="CZ164" s="1178"/>
      <c r="DA164" s="1179"/>
      <c r="DB164" s="1179"/>
    </row>
    <row s="1632" customFormat="1" customHeight="1" ht="16.5" hidden="1">
      <c r="A165" s="1443"/>
      <c r="B165" s="927"/>
      <c r="C165" s="1443"/>
      <c r="D165" s="1443"/>
      <c r="E165" s="797">
        <v>17.1</v>
      </c>
      <c r="F165" s="922" cm="1" t="str">
        <f t="array" ref="F165:F165">OFFSET(G165,-1,-1)</f>
        <v>1</v>
      </c>
      <c r="G165" s="965"/>
      <c r="H165" s="965"/>
      <c r="I165" s="965"/>
      <c r="J165" s="965"/>
      <c r="K165" s="965"/>
      <c r="L165" s="922" cm="1" t="str">
        <f t="array" ref="L165:L165">OFFSET(M165,-1,-1)</f>
        <v>false</v>
      </c>
      <c r="M165" s="965"/>
      <c r="N165" s="965"/>
      <c r="O165" s="965"/>
      <c r="P165" s="965"/>
      <c r="Q165" s="965"/>
      <c r="R165" s="922" t="s">
        <v>730</v>
      </c>
      <c r="S165" s="159" cm="1" t="str">
        <f t="array" ref="S165:S165">OFFSET(T165,-1,-1)</f>
        <v>true</v>
      </c>
      <c r="T165" s="159" cm="1" t="str">
        <f t="array" ref="T165:T165">L165</f>
        <v>false</v>
      </c>
      <c r="U165" s="819">
        <f>AND(S165,IF(ISBLANK(T165),TRUE,T165))</f>
        <v>0</v>
      </c>
      <c r="V165" s="1443"/>
      <c r="W165" s="1443"/>
      <c r="X165" s="1443"/>
      <c r="Y165" s="1443"/>
      <c r="Z165" s="1443"/>
      <c r="AA165" s="820"/>
      <c r="AB165" s="1489"/>
      <c r="AC165" s="0"/>
      <c r="AD165" s="160" t="s">
        <v>789</v>
      </c>
      <c r="AE165" s="1498" t="s">
        <v>741</v>
      </c>
      <c r="AF165" s="168"/>
      <c r="AG165" s="160" t="s">
        <v>774</v>
      </c>
      <c r="AH165" s="86">
        <f>AH$163*AH164</f>
        <v>1856.96</v>
      </c>
      <c r="AI165" s="87">
        <f>AI$163*AI164</f>
        <v>2493.4</v>
      </c>
      <c r="AJ165" s="87">
        <f>AJ$163*AJ164</f>
        <v>1860.02</v>
      </c>
      <c r="AK165" s="87">
        <f>AK$163*AK164</f>
        <v>1611.3</v>
      </c>
      <c r="AL165" s="860">
        <f>AM165+AN165</f>
        <v>1941.47232</v>
      </c>
      <c r="AM165" s="87">
        <f>AM$163*AM164</f>
        <v>1079.07</v>
      </c>
      <c r="AN165" s="87">
        <f>AN$163*AN164</f>
        <v>862.40232</v>
      </c>
      <c r="AO165" s="860">
        <f>AP165+AQ165</f>
        <v>0</v>
      </c>
      <c r="AP165" s="87">
        <f>AP$163*AP164</f>
        <v>0</v>
      </c>
      <c r="AQ165" s="87">
        <f>AQ$163*AQ164</f>
        <v>0</v>
      </c>
      <c r="AR165" s="860">
        <f>AS165+AT165</f>
        <v>0</v>
      </c>
      <c r="AS165" s="87">
        <f>AS$163*AS164</f>
        <v>0</v>
      </c>
      <c r="AT165" s="87">
        <f>AT$163*AT164</f>
        <v>0</v>
      </c>
      <c r="AU165" s="860">
        <f>AV165+AW165</f>
        <v>0</v>
      </c>
      <c r="AV165" s="87">
        <f>AV$163*AV164</f>
        <v>0</v>
      </c>
      <c r="AW165" s="87">
        <f>AW$163*AW164</f>
        <v>0</v>
      </c>
      <c r="AX165" s="860">
        <f>AY165+AZ165</f>
        <v>0</v>
      </c>
      <c r="AY165" s="87">
        <f>AY$163*AY164</f>
        <v>0</v>
      </c>
      <c r="AZ165" s="87">
        <f>AZ$163*AZ164</f>
        <v>0</v>
      </c>
      <c r="BA165" s="860">
        <f>BB165+BC165</f>
        <v>0</v>
      </c>
      <c r="BB165" s="87">
        <f>BB$163*BB164</f>
        <v>0</v>
      </c>
      <c r="BC165" s="87">
        <f>BC$163*BC164</f>
        <v>0</v>
      </c>
      <c r="BD165" s="860">
        <f>BE165+BF165</f>
        <v>0</v>
      </c>
      <c r="BE165" s="87">
        <f>BE$163*BE164</f>
        <v>0</v>
      </c>
      <c r="BF165" s="87">
        <f>BF$163*BF164</f>
        <v>0</v>
      </c>
      <c r="BG165" s="860">
        <f>BH165+BI165</f>
        <v>0</v>
      </c>
      <c r="BH165" s="87">
        <f>BH$163*BH164</f>
        <v>0</v>
      </c>
      <c r="BI165" s="87">
        <f>BI$163*BI164</f>
        <v>0</v>
      </c>
      <c r="BJ165" s="860">
        <f>BK165+BL165</f>
        <v>0</v>
      </c>
      <c r="BK165" s="87">
        <f>BK$163*BK164</f>
        <v>0</v>
      </c>
      <c r="BL165" s="87">
        <f>BL$163*BL164</f>
        <v>0</v>
      </c>
      <c r="BM165" s="860">
        <f>BN165+BO165</f>
        <v>0</v>
      </c>
      <c r="BN165" s="87">
        <f>BN$163*BN164</f>
        <v>0</v>
      </c>
      <c r="BO165" s="87">
        <f>BO$163*BO164</f>
        <v>0</v>
      </c>
      <c r="BP165" s="860">
        <f>BQ165+BR165</f>
        <v>1611.3</v>
      </c>
      <c r="BQ165" s="1772">
        <f>BQ$163*BQ164</f>
        <v>895.56</v>
      </c>
      <c r="BR165" s="1772">
        <f>BR$163*BR164</f>
        <v>715.74</v>
      </c>
      <c r="BS165" s="860">
        <f>BT165+BU165</f>
        <v>0</v>
      </c>
      <c r="BT165" s="87">
        <f>BT$163*BT164</f>
        <v>0</v>
      </c>
      <c r="BU165" s="87">
        <f>BU$163*BU164</f>
        <v>0</v>
      </c>
      <c r="BV165" s="860">
        <f>BW165+BX165</f>
        <v>0</v>
      </c>
      <c r="BW165" s="87">
        <f>BW$163*BW164</f>
        <v>0</v>
      </c>
      <c r="BX165" s="87">
        <f>BX$163*BX164</f>
        <v>0</v>
      </c>
      <c r="BY165" s="860">
        <f>BZ165+CA165</f>
        <v>0</v>
      </c>
      <c r="BZ165" s="87">
        <f>BZ$163*BZ164</f>
        <v>0</v>
      </c>
      <c r="CA165" s="87">
        <f>CA$163*CA164</f>
        <v>0</v>
      </c>
      <c r="CB165" s="860">
        <f>CC165+CD165</f>
        <v>0</v>
      </c>
      <c r="CC165" s="87">
        <f>CC$163*CC164</f>
        <v>0</v>
      </c>
      <c r="CD165" s="87">
        <f>CD$163*CD164</f>
        <v>0</v>
      </c>
      <c r="CE165" s="860">
        <f>CF165+CG165</f>
        <v>0</v>
      </c>
      <c r="CF165" s="87">
        <f>CF$163*CF164</f>
        <v>0</v>
      </c>
      <c r="CG165" s="87">
        <f>CG$163*CG164</f>
        <v>0</v>
      </c>
      <c r="CH165" s="860">
        <f>CI165+CJ165</f>
        <v>0</v>
      </c>
      <c r="CI165" s="87">
        <f>CI$163*CI164</f>
        <v>0</v>
      </c>
      <c r="CJ165" s="87">
        <f>CJ$163*CJ164</f>
        <v>0</v>
      </c>
      <c r="CK165" s="860">
        <f>CL165+CM165</f>
        <v>0</v>
      </c>
      <c r="CL165" s="87">
        <f>CL$163*CL164</f>
        <v>0</v>
      </c>
      <c r="CM165" s="87">
        <f>CM$163*CM164</f>
        <v>0</v>
      </c>
      <c r="CN165" s="860">
        <f>CO165+CP165</f>
        <v>0</v>
      </c>
      <c r="CO165" s="87">
        <f>CO$163*CO164</f>
        <v>0</v>
      </c>
      <c r="CP165" s="87">
        <f>CP$163*CP164</f>
        <v>0</v>
      </c>
      <c r="CQ165" s="860">
        <f>CR165+CS165</f>
        <v>0</v>
      </c>
      <c r="CR165" s="87">
        <f>CR$163*CR164</f>
        <v>0</v>
      </c>
      <c r="CS165" s="87">
        <f>CS$163*CS164</f>
        <v>0</v>
      </c>
      <c r="CT165" s="73"/>
      <c r="CU165" s="0"/>
      <c r="CV165" s="1632"/>
      <c r="CW165" s="1173" t="s">
        <v>790</v>
      </c>
      <c r="CX165" s="1178"/>
      <c r="CY165" s="1178"/>
      <c r="CZ165" s="1178"/>
      <c r="DA165" s="1179"/>
      <c r="DB165" s="1179"/>
    </row>
    <row s="1632" customFormat="1" customHeight="1" ht="16.5" hidden="1">
      <c r="E166" s="797">
        <v>17.1</v>
      </c>
      <c r="F166" s="922" cm="1" t="str">
        <f t="array" ref="F166:F166">OFFSET(G166,-1,-1)</f>
        <v>1</v>
      </c>
      <c r="L166" s="922" cm="1" t="str">
        <f t="array" ref="L166:L166">OFFSET(M166,-1,-1)</f>
        <v>false</v>
      </c>
      <c r="S166" s="159" cm="1" t="str">
        <f t="array" ref="S166:S166">OFFSET(T166,-1,-1)</f>
        <v>true</v>
      </c>
      <c r="T166" s="159">
        <f>AD166&lt;&gt;"18.0"</f>
        <v>0</v>
      </c>
      <c r="U166" s="819">
        <f>AND(S166,IF(ISBLANK(T166),TRUE,T166))</f>
        <v>0</v>
      </c>
      <c r="X166" s="159" t="s">
        <v>234</v>
      </c>
      <c r="AB166" s="1489"/>
      <c r="AC166" s="1794" t="s">
        <v>218</v>
      </c>
      <c r="AD166" s="160" t="s">
        <v>789</v>
      </c>
      <c r="AE166" s="88"/>
      <c r="AF166" s="89"/>
      <c r="AG166" s="160" t="s">
        <v>774</v>
      </c>
      <c r="AH166" s="86">
        <f>AH$162*AH170</f>
        <v>0</v>
      </c>
      <c r="AI166" s="86">
        <f>AI178*AI174</f>
        <v>0</v>
      </c>
      <c r="AJ166" s="86">
        <f>AJ178*AJ174</f>
        <v>0</v>
      </c>
      <c r="AK166" s="86">
        <f>AK$162*AK170</f>
        <v>0</v>
      </c>
      <c r="AL166" s="860">
        <f>AM166+AN166</f>
        <v>0</v>
      </c>
      <c r="AM166" s="86">
        <f>AM$162*AM170</f>
        <v>0</v>
      </c>
      <c r="AN166" s="86">
        <f>AN$162*AN170</f>
        <v>0</v>
      </c>
      <c r="AO166" s="860">
        <f>AP166+AQ166</f>
        <v>0</v>
      </c>
      <c r="AP166" s="86">
        <f>AP$162*AP170</f>
        <v>0</v>
      </c>
      <c r="AQ166" s="86">
        <f>AQ$162*AQ170</f>
        <v>0</v>
      </c>
      <c r="AR166" s="860">
        <f>AS166+AT166</f>
        <v>0</v>
      </c>
      <c r="AS166" s="86">
        <f>AS$162*AS170</f>
        <v>0</v>
      </c>
      <c r="AT166" s="86">
        <f>AT$162*AT170</f>
        <v>0</v>
      </c>
      <c r="AU166" s="860">
        <f>AV166+AW166</f>
        <v>0</v>
      </c>
      <c r="AV166" s="86">
        <f>AV$162*AV170</f>
        <v>0</v>
      </c>
      <c r="AW166" s="86">
        <f>AW$162*AW170</f>
        <v>0</v>
      </c>
      <c r="AX166" s="860">
        <f>AY166+AZ166</f>
        <v>0</v>
      </c>
      <c r="AY166" s="86">
        <f>AY$162*AY170</f>
        <v>0</v>
      </c>
      <c r="AZ166" s="86">
        <f>AZ$162*AZ170</f>
        <v>0</v>
      </c>
      <c r="BA166" s="860">
        <f>BB166+BC166</f>
        <v>0</v>
      </c>
      <c r="BB166" s="86">
        <f>BB$162*BB170</f>
        <v>0</v>
      </c>
      <c r="BC166" s="86">
        <f>BC$162*BC170</f>
        <v>0</v>
      </c>
      <c r="BD166" s="860">
        <f>BE166+BF166</f>
        <v>0</v>
      </c>
      <c r="BE166" s="86">
        <f>BE$162*BE170</f>
        <v>0</v>
      </c>
      <c r="BF166" s="86">
        <f>BF$162*BF170</f>
        <v>0</v>
      </c>
      <c r="BG166" s="860">
        <f>BH166+BI166</f>
        <v>0</v>
      </c>
      <c r="BH166" s="86">
        <f>BH$162*BH170</f>
        <v>0</v>
      </c>
      <c r="BI166" s="86">
        <f>BI$162*BI170</f>
        <v>0</v>
      </c>
      <c r="BJ166" s="860">
        <f>BK166+BL166</f>
        <v>0</v>
      </c>
      <c r="BK166" s="86">
        <f>BK$162*BK170</f>
        <v>0</v>
      </c>
      <c r="BL166" s="86">
        <f>BL$162*BL170</f>
        <v>0</v>
      </c>
      <c r="BM166" s="860">
        <f>BN166+BO166</f>
        <v>0</v>
      </c>
      <c r="BN166" s="86">
        <f>BN$162*BN170</f>
        <v>0</v>
      </c>
      <c r="BO166" s="86">
        <f>BO$162*BO170</f>
        <v>0</v>
      </c>
      <c r="BP166" s="860">
        <f>BQ166+BR166</f>
        <v>0</v>
      </c>
      <c r="BQ166" s="1853">
        <f>BQ$162*BQ170</f>
        <v>0</v>
      </c>
      <c r="BR166" s="980">
        <f>BR$162*BR170</f>
        <v>0</v>
      </c>
      <c r="BS166" s="860">
        <f>BT166+BU166</f>
        <v>0</v>
      </c>
      <c r="BT166" s="86">
        <f>BT$162*BT170</f>
        <v>0</v>
      </c>
      <c r="BU166" s="86">
        <f>BU$162*BU170</f>
        <v>0</v>
      </c>
      <c r="BV166" s="860">
        <f>BW166+BX166</f>
        <v>0</v>
      </c>
      <c r="BW166" s="86">
        <f>BW$162*BW170</f>
        <v>0</v>
      </c>
      <c r="BX166" s="86">
        <f>BX$162*BX170</f>
        <v>0</v>
      </c>
      <c r="BY166" s="860">
        <f>BZ166+CA166</f>
        <v>0</v>
      </c>
      <c r="BZ166" s="86">
        <f>BZ$162*BZ170</f>
        <v>0</v>
      </c>
      <c r="CA166" s="86">
        <f>CA$162*CA170</f>
        <v>0</v>
      </c>
      <c r="CB166" s="860">
        <f>CC166+CD166</f>
        <v>0</v>
      </c>
      <c r="CC166" s="86">
        <f>CC$162*CC170</f>
        <v>0</v>
      </c>
      <c r="CD166" s="86">
        <f>CD$162*CD170</f>
        <v>0</v>
      </c>
      <c r="CE166" s="860">
        <f>CF166+CG166</f>
        <v>0</v>
      </c>
      <c r="CF166" s="86">
        <f>CF$162*CF170</f>
        <v>0</v>
      </c>
      <c r="CG166" s="86">
        <f>CG$162*CG170</f>
        <v>0</v>
      </c>
      <c r="CH166" s="860">
        <f>CI166+CJ166</f>
        <v>0</v>
      </c>
      <c r="CI166" s="86">
        <f>CI$162*CI170</f>
        <v>0</v>
      </c>
      <c r="CJ166" s="86">
        <f>CJ$162*CJ170</f>
        <v>0</v>
      </c>
      <c r="CK166" s="860">
        <f>CL166+CM166</f>
        <v>0</v>
      </c>
      <c r="CL166" s="86">
        <f>CL$162*CL170</f>
        <v>0</v>
      </c>
      <c r="CM166" s="86">
        <f>CM$162*CM170</f>
        <v>0</v>
      </c>
      <c r="CN166" s="860">
        <f>CO166+CP166</f>
        <v>0</v>
      </c>
      <c r="CO166" s="86">
        <f>CO$162*CO170</f>
        <v>0</v>
      </c>
      <c r="CP166" s="86">
        <f>CP$162*CP170</f>
        <v>0</v>
      </c>
      <c r="CQ166" s="860">
        <f>CR166+CS166</f>
        <v>0</v>
      </c>
      <c r="CR166" s="86">
        <f>CR$162*CR170</f>
        <v>0</v>
      </c>
      <c r="CS166" s="86">
        <f>CS$162*CS170</f>
        <v>0</v>
      </c>
      <c r="CT166" s="73"/>
      <c r="CW166" s="1173" t="s">
        <v>791</v>
      </c>
      <c r="CX166" s="1178" t="s">
        <v>792</v>
      </c>
      <c r="CY166" s="1182" cm="1" t="str">
        <f t="array" ref="CY166:CY166">AE166</f>
        <v>0</v>
      </c>
      <c r="CZ166" s="1182" cm="1" t="str">
        <f t="array" ref="CZ166:CZ166">AF166</f>
        <v>0</v>
      </c>
      <c r="DA166" s="1179"/>
      <c r="DB166" s="1179" t="b">
        <v>1</v>
      </c>
    </row>
    <row s="1632" customFormat="1" customHeight="1" ht="16.5">
      <c r="A167" s="1632"/>
      <c r="B167" s="1632"/>
      <c r="C167" s="1632"/>
      <c r="D167" s="1632"/>
      <c r="E167" s="797">
        <v>17.1</v>
      </c>
      <c r="F167" s="922" cm="1" t="str">
        <f t="array" ref="F167:F167">OFFSET(G167,-1,-1)</f>
        <v>1</v>
      </c>
      <c r="G167" s="1632"/>
      <c r="H167" s="1632"/>
      <c r="I167" s="1632"/>
      <c r="J167" s="1632"/>
      <c r="K167" s="1632"/>
      <c r="L167" s="922" cm="1" t="str">
        <f t="array" ref="L167:L167">OFFSET(M167,-1,-1)</f>
        <v>false</v>
      </c>
      <c r="M167" s="1632"/>
      <c r="N167" s="1632"/>
      <c r="O167" s="1632"/>
      <c r="P167" s="1632"/>
      <c r="Q167" s="1632"/>
      <c r="R167" s="1632"/>
      <c r="S167" s="159" cm="1" t="str">
        <f t="array" ref="S167:S167">OFFSET(T167,-1,-1)</f>
        <v>true</v>
      </c>
      <c r="T167" s="159">
        <f>AD167&lt;&gt;"18.0"</f>
        <v>1</v>
      </c>
      <c r="U167" s="819">
        <f>AND(S167,IF(ISBLANK(T167),TRUE,T167))</f>
        <v>1</v>
      </c>
      <c r="V167" s="1632"/>
      <c r="W167" s="1632"/>
      <c r="X167" s="159"/>
      <c r="Y167" s="1632"/>
      <c r="Z167" s="1632"/>
      <c r="AA167" s="1632"/>
      <c r="AB167" s="1489"/>
      <c r="AC167" s="1794" t="s">
        <v>218</v>
      </c>
      <c r="AD167" s="160" t="s">
        <v>565</v>
      </c>
      <c r="AE167" s="1854" t="s">
        <v>902</v>
      </c>
      <c r="AF167" s="1855"/>
      <c r="AG167" s="160" t="s">
        <v>774</v>
      </c>
      <c r="AH167" s="1791">
        <f>AH$162*AH171</f>
        <v>1856.96</v>
      </c>
      <c r="AI167" s="1791">
        <v>2493.4</v>
      </c>
      <c r="AJ167" s="1791">
        <v>1860.02</v>
      </c>
      <c r="AK167" s="1791">
        <f>AK$162*AK171</f>
        <v>1611.3</v>
      </c>
      <c r="AL167" s="860">
        <f>AM167+AN167</f>
        <v>1941.47232</v>
      </c>
      <c r="AM167" s="1791">
        <f>AM$162*AM171</f>
        <v>1079.07</v>
      </c>
      <c r="AN167" s="1791">
        <f>AN$162*AN171</f>
        <v>862.40232</v>
      </c>
      <c r="AO167" s="860">
        <f>AP167+AQ167</f>
        <v>0</v>
      </c>
      <c r="AP167" s="1791">
        <f>AP$162*AP171</f>
        <v>0</v>
      </c>
      <c r="AQ167" s="1791">
        <f>AQ$162*AQ171</f>
        <v>0</v>
      </c>
      <c r="AR167" s="860">
        <f>AS167+AT167</f>
        <v>0</v>
      </c>
      <c r="AS167" s="1791">
        <f>AS$162*AS171</f>
        <v>0</v>
      </c>
      <c r="AT167" s="1791">
        <f>AT$162*AT171</f>
        <v>0</v>
      </c>
      <c r="AU167" s="860">
        <f>AV167+AW167</f>
        <v>0</v>
      </c>
      <c r="AV167" s="1791">
        <f>AV$162*AV171</f>
        <v>0</v>
      </c>
      <c r="AW167" s="1791">
        <f>AW$162*AW171</f>
        <v>0</v>
      </c>
      <c r="AX167" s="860">
        <f>AY167+AZ167</f>
        <v>0</v>
      </c>
      <c r="AY167" s="1791">
        <f>AY$162*AY171</f>
        <v>0</v>
      </c>
      <c r="AZ167" s="1791">
        <f>AZ$162*AZ171</f>
        <v>0</v>
      </c>
      <c r="BA167" s="860">
        <f>BB167+BC167</f>
        <v>0</v>
      </c>
      <c r="BB167" s="1791">
        <f>BB$162*BB171</f>
        <v>0</v>
      </c>
      <c r="BC167" s="1791">
        <f>BC$162*BC171</f>
        <v>0</v>
      </c>
      <c r="BD167" s="860">
        <f>BE167+BF167</f>
        <v>0</v>
      </c>
      <c r="BE167" s="1791">
        <f>BE$162*BE171</f>
        <v>0</v>
      </c>
      <c r="BF167" s="1791">
        <f>BF$162*BF171</f>
        <v>0</v>
      </c>
      <c r="BG167" s="860">
        <f>BH167+BI167</f>
        <v>0</v>
      </c>
      <c r="BH167" s="1791">
        <f>BH$162*BH171</f>
        <v>0</v>
      </c>
      <c r="BI167" s="1791">
        <f>BI$162*BI171</f>
        <v>0</v>
      </c>
      <c r="BJ167" s="860">
        <f>BK167+BL167</f>
        <v>0</v>
      </c>
      <c r="BK167" s="1791">
        <f>BK$162*BK171</f>
        <v>0</v>
      </c>
      <c r="BL167" s="1791">
        <f>BL$162*BL171</f>
        <v>0</v>
      </c>
      <c r="BM167" s="860">
        <f>BN167+BO167</f>
        <v>0</v>
      </c>
      <c r="BN167" s="1791">
        <f>BN$162*BN171</f>
        <v>0</v>
      </c>
      <c r="BO167" s="1791">
        <f>BO$162*BO171</f>
        <v>0</v>
      </c>
      <c r="BP167" s="860">
        <f>BQ167+BR167</f>
        <v>1611.3</v>
      </c>
      <c r="BQ167" s="980">
        <f>BQ$162*BQ171</f>
        <v>895.56</v>
      </c>
      <c r="BR167" s="980">
        <f>BR$162*BR171</f>
        <v>715.74</v>
      </c>
      <c r="BS167" s="860">
        <f>BT167+BU167</f>
        <v>0</v>
      </c>
      <c r="BT167" s="1791">
        <f>BT$162*BT171</f>
        <v>0</v>
      </c>
      <c r="BU167" s="1791">
        <f>BU$162*BU171</f>
        <v>0</v>
      </c>
      <c r="BV167" s="860">
        <f>BW167+BX167</f>
        <v>0</v>
      </c>
      <c r="BW167" s="1791">
        <f>BW$162*BW171</f>
        <v>0</v>
      </c>
      <c r="BX167" s="1791">
        <f>BX$162*BX171</f>
        <v>0</v>
      </c>
      <c r="BY167" s="860">
        <f>BZ167+CA167</f>
        <v>0</v>
      </c>
      <c r="BZ167" s="1791">
        <f>BZ$162*BZ171</f>
        <v>0</v>
      </c>
      <c r="CA167" s="1791">
        <f>CA$162*CA171</f>
        <v>0</v>
      </c>
      <c r="CB167" s="860">
        <f>CC167+CD167</f>
        <v>0</v>
      </c>
      <c r="CC167" s="1791">
        <f>CC$162*CC171</f>
        <v>0</v>
      </c>
      <c r="CD167" s="1791">
        <f>CD$162*CD171</f>
        <v>0</v>
      </c>
      <c r="CE167" s="860">
        <f>CF167+CG167</f>
        <v>0</v>
      </c>
      <c r="CF167" s="1791">
        <f>CF$162*CF171</f>
        <v>0</v>
      </c>
      <c r="CG167" s="1791">
        <f>CG$162*CG171</f>
        <v>0</v>
      </c>
      <c r="CH167" s="860">
        <f>CI167+CJ167</f>
        <v>0</v>
      </c>
      <c r="CI167" s="1791">
        <f>CI$162*CI171</f>
        <v>0</v>
      </c>
      <c r="CJ167" s="1791">
        <f>CJ$162*CJ171</f>
        <v>0</v>
      </c>
      <c r="CK167" s="860">
        <f>CL167+CM167</f>
        <v>0</v>
      </c>
      <c r="CL167" s="1791">
        <f>CL$162*CL171</f>
        <v>0</v>
      </c>
      <c r="CM167" s="1791">
        <f>CM$162*CM171</f>
        <v>0</v>
      </c>
      <c r="CN167" s="860">
        <f>CO167+CP167</f>
        <v>0</v>
      </c>
      <c r="CO167" s="1791">
        <f>CO$162*CO171</f>
        <v>0</v>
      </c>
      <c r="CP167" s="1791">
        <f>CP$162*CP171</f>
        <v>0</v>
      </c>
      <c r="CQ167" s="860">
        <f>CR167+CS167</f>
        <v>0</v>
      </c>
      <c r="CR167" s="1791">
        <f>CR$162*CR171</f>
        <v>0</v>
      </c>
      <c r="CS167" s="1791">
        <f>CS$162*CS171</f>
        <v>0</v>
      </c>
      <c r="CT167" s="1719"/>
      <c r="CU167" s="0"/>
      <c r="CV167" s="1632"/>
      <c r="CW167" s="1173" t="s">
        <v>791</v>
      </c>
      <c r="CX167" s="1178" t="s">
        <v>792</v>
      </c>
      <c r="CY167" s="1182" cm="1" t="str">
        <f t="array" ref="CY167:CY167">AE167</f>
        <v>Уголь длиннопламенный</v>
      </c>
      <c r="CZ167" s="1182" cm="1" t="str">
        <f t="array" ref="CZ167:CZ167">AF167</f>
        <v>0</v>
      </c>
      <c r="DA167" s="1179"/>
      <c r="DB167" s="1179" t="b">
        <v>1</v>
      </c>
    </row>
    <row s="1632" customFormat="1" customHeight="1" ht="16.5">
      <c r="A168" s="1443"/>
      <c r="B168" s="927"/>
      <c r="C168" s="1443"/>
      <c r="D168" s="1443"/>
      <c r="E168" s="797">
        <v>17.1</v>
      </c>
      <c r="F168" s="922" cm="1" t="str">
        <f t="array" ref="F168:F168">OFFSET(G168,-1,-1)</f>
        <v>1</v>
      </c>
      <c r="G168" s="965"/>
      <c r="H168" s="965"/>
      <c r="I168" s="965"/>
      <c r="J168" s="965"/>
      <c r="K168" s="965"/>
      <c r="L168" s="922" cm="1" t="str">
        <f t="array" ref="L168:L168">OFFSET(M168,-1,-1)</f>
        <v>false</v>
      </c>
      <c r="M168" s="965"/>
      <c r="N168" s="965"/>
      <c r="O168" s="965"/>
      <c r="P168" s="965"/>
      <c r="Q168" s="965"/>
      <c r="R168" s="1443"/>
      <c r="S168" s="159" cm="1" t="str">
        <f t="array" ref="S168:S168">OFFSET(T168,-1,-1)</f>
        <v>true</v>
      </c>
      <c r="T168" s="1443"/>
      <c r="U168" s="819">
        <f>AND(S168,IF(ISBLANK(T168),TRUE,T168))</f>
        <v>1</v>
      </c>
      <c r="V168" s="1443"/>
      <c r="W168" s="1443"/>
      <c r="X168" s="973" t="str">
        <f>"{                  
         funcDyn: 'msg',
         blok: 'blok_2',
         wsCross: 'Топливо 4.4',
         linkFormula: 'AE-AE#AF-AF',
         levelDyn: "&amp;Y139&amp;"
}"</f>
        <v>{                  
         funcDyn: 'msg',
         blok: 'blok_2',
         wsCross: 'Топливо 4.4',
         linkFormula: 'AE-AE#AF-AF',
         levelDyn: 1
}</v>
      </c>
      <c r="Y168" s="1443"/>
      <c r="Z168" s="1443"/>
      <c r="AA168" s="820"/>
      <c r="AB168" s="1489"/>
      <c r="AC168" s="0"/>
      <c r="AD168" s="302"/>
      <c r="AE168" s="903" t="s">
        <v>236</v>
      </c>
      <c r="AF168" s="903"/>
      <c r="AG168" s="903"/>
      <c r="AH168" s="903"/>
      <c r="AI168" s="903"/>
      <c r="AJ168" s="903"/>
      <c r="AK168" s="903"/>
      <c r="AL168" s="903"/>
      <c r="AM168" s="903"/>
      <c r="AN168" s="903"/>
      <c r="AO168" s="903"/>
      <c r="AP168" s="903"/>
      <c r="AQ168" s="903"/>
      <c r="AR168" s="903"/>
      <c r="AS168" s="903"/>
      <c r="AT168" s="903"/>
      <c r="AU168" s="903"/>
      <c r="AV168" s="903"/>
      <c r="AW168" s="903"/>
      <c r="AX168" s="903"/>
      <c r="AY168" s="903"/>
      <c r="AZ168" s="903"/>
      <c r="BA168" s="903"/>
      <c r="BB168" s="903"/>
      <c r="BC168" s="903"/>
      <c r="BD168" s="903"/>
      <c r="BE168" s="903"/>
      <c r="BF168" s="903"/>
      <c r="BG168" s="903"/>
      <c r="BH168" s="903"/>
      <c r="BI168" s="903"/>
      <c r="BJ168" s="903"/>
      <c r="BK168" s="903"/>
      <c r="BL168" s="903"/>
      <c r="BM168" s="903"/>
      <c r="BN168" s="903"/>
      <c r="BO168" s="903"/>
      <c r="BP168" s="903"/>
      <c r="BQ168" s="903"/>
      <c r="BR168" s="903"/>
      <c r="BS168" s="903"/>
      <c r="BT168" s="903"/>
      <c r="BU168" s="903"/>
      <c r="BV168" s="903"/>
      <c r="BW168" s="903"/>
      <c r="BX168" s="903"/>
      <c r="BY168" s="903"/>
      <c r="BZ168" s="903"/>
      <c r="CA168" s="903"/>
      <c r="CB168" s="903"/>
      <c r="CC168" s="903"/>
      <c r="CD168" s="903"/>
      <c r="CE168" s="903"/>
      <c r="CF168" s="903"/>
      <c r="CG168" s="903"/>
      <c r="CH168" s="903"/>
      <c r="CI168" s="903"/>
      <c r="CJ168" s="903"/>
      <c r="CK168" s="903"/>
      <c r="CL168" s="903"/>
      <c r="CM168" s="903"/>
      <c r="CN168" s="903"/>
      <c r="CO168" s="903"/>
      <c r="CP168" s="903"/>
      <c r="CQ168" s="903"/>
      <c r="CR168" s="903"/>
      <c r="CS168" s="903"/>
      <c r="CT168" s="1797"/>
      <c r="CU168" s="0"/>
      <c r="CV168" s="1632"/>
      <c r="CW168" s="1173" t="str">
        <f>IF(AND(ISNUMBER(VALUE(TRIM(SUBSTITUTE(AD168,".","")))),TRIM(SUBSTITUTE(AD168,".",""))&lt;&gt;""),"P"&amp;SUBSTITUTE(AD168,".",""),"")</f>
        <v/>
      </c>
      <c r="CX168" s="1178"/>
      <c r="CY168" s="1178"/>
      <c r="CZ168" s="1178"/>
      <c r="DA168" s="1179" t="s">
        <v>792</v>
      </c>
      <c r="DB168" s="1179"/>
    </row>
    <row s="1632" customFormat="1" customHeight="1" ht="16.5">
      <c r="A169" s="1443"/>
      <c r="B169" s="927"/>
      <c r="C169" s="1443"/>
      <c r="D169" s="1443"/>
      <c r="E169" s="797">
        <v>17.1</v>
      </c>
      <c r="F169" s="922" cm="1" t="str">
        <f t="array" ref="F169:F169">OFFSET(G169,-1,-1)</f>
        <v>1</v>
      </c>
      <c r="G169" s="965"/>
      <c r="H169" s="965"/>
      <c r="I169" s="965"/>
      <c r="J169" s="965"/>
      <c r="K169" s="965"/>
      <c r="L169" s="922" cm="1" t="str">
        <f t="array" ref="L169:L169">OFFSET(M169,-1,-1)</f>
        <v>false</v>
      </c>
      <c r="M169" s="965"/>
      <c r="N169" s="965"/>
      <c r="O169" s="965"/>
      <c r="P169" s="965"/>
      <c r="Q169" s="965"/>
      <c r="R169" s="1443"/>
      <c r="S169" s="159" cm="1" t="str">
        <f t="array" ref="S169:S169">OFFSET(T169,-1,-1)</f>
        <v>true</v>
      </c>
      <c r="T169" s="1443"/>
      <c r="U169" s="819">
        <f>AND(S169,IF(ISBLANK(T169),TRUE,T169))</f>
        <v>1</v>
      </c>
      <c r="V169" s="1443"/>
      <c r="W169" s="1443"/>
      <c r="X169" s="1443"/>
      <c r="Y169" s="1443"/>
      <c r="Z169" s="1443"/>
      <c r="AA169" s="820"/>
      <c r="AB169" s="1489"/>
      <c r="AC169" s="0"/>
      <c r="AD169" s="160">
        <v>19</v>
      </c>
      <c r="AE169" s="1524" t="s">
        <v>793</v>
      </c>
      <c r="AF169" s="1525"/>
      <c r="AG169" s="643" t="s">
        <v>498</v>
      </c>
      <c r="AH169" s="902">
        <f>SUM(AH170:AH172)</f>
        <v>1</v>
      </c>
      <c r="AI169" s="902">
        <f>SUM(AI170:AI172)</f>
        <v>1</v>
      </c>
      <c r="AJ169" s="902">
        <f>SUM(AJ170:AJ172)</f>
        <v>1</v>
      </c>
      <c r="AK169" s="902">
        <f>SUM(AK170:AK172)</f>
        <v>1</v>
      </c>
      <c r="AL169" s="902">
        <f>SUM(AL170:AL172)</f>
        <v>1</v>
      </c>
      <c r="AM169" s="902">
        <f>SUM(AM170:AM172)</f>
        <v>1</v>
      </c>
      <c r="AN169" s="902">
        <f>SUM(AN170:AN172)</f>
        <v>1</v>
      </c>
      <c r="AO169" s="902">
        <f>SUM(AO170:AO172)</f>
        <v>0</v>
      </c>
      <c r="AP169" s="902">
        <f>SUM(AP170:AP172)</f>
        <v>0</v>
      </c>
      <c r="AQ169" s="902">
        <f>SUM(AQ170:AQ172)</f>
        <v>0</v>
      </c>
      <c r="AR169" s="902">
        <f>SUM(AR170:AR172)</f>
        <v>0</v>
      </c>
      <c r="AS169" s="902">
        <f>SUM(AS170:AS172)</f>
        <v>0</v>
      </c>
      <c r="AT169" s="902">
        <f>SUM(AT170:AT172)</f>
        <v>0</v>
      </c>
      <c r="AU169" s="902">
        <f>SUM(AU170:AU172)</f>
        <v>0</v>
      </c>
      <c r="AV169" s="902">
        <f>SUM(AV170:AV172)</f>
        <v>0</v>
      </c>
      <c r="AW169" s="902">
        <f>SUM(AW170:AW172)</f>
        <v>0</v>
      </c>
      <c r="AX169" s="902">
        <f>SUM(AX170:AX172)</f>
        <v>0</v>
      </c>
      <c r="AY169" s="902">
        <f>SUM(AY170:AY172)</f>
        <v>0</v>
      </c>
      <c r="AZ169" s="902">
        <f>SUM(AZ170:AZ172)</f>
        <v>0</v>
      </c>
      <c r="BA169" s="902">
        <f>SUM(BA170:BA172)</f>
        <v>0</v>
      </c>
      <c r="BB169" s="902">
        <f>SUM(BB170:BB172)</f>
        <v>0</v>
      </c>
      <c r="BC169" s="902">
        <f>SUM(BC170:BC172)</f>
        <v>0</v>
      </c>
      <c r="BD169" s="902">
        <f>SUM(BD170:BD172)</f>
        <v>0</v>
      </c>
      <c r="BE169" s="902">
        <f>SUM(BE170:BE172)</f>
        <v>0</v>
      </c>
      <c r="BF169" s="902">
        <f>SUM(BF170:BF172)</f>
        <v>0</v>
      </c>
      <c r="BG169" s="902">
        <f>SUM(BG170:BG172)</f>
        <v>0</v>
      </c>
      <c r="BH169" s="902">
        <f>SUM(BH170:BH172)</f>
        <v>0</v>
      </c>
      <c r="BI169" s="902">
        <f>SUM(BI170:BI172)</f>
        <v>0</v>
      </c>
      <c r="BJ169" s="902">
        <f>SUM(BJ170:BJ172)</f>
        <v>0</v>
      </c>
      <c r="BK169" s="902">
        <f>SUM(BK170:BK172)</f>
        <v>0</v>
      </c>
      <c r="BL169" s="902">
        <f>SUM(BL170:BL172)</f>
        <v>0</v>
      </c>
      <c r="BM169" s="902">
        <f>SUM(BM170:BM172)</f>
        <v>0</v>
      </c>
      <c r="BN169" s="902">
        <f>SUM(BN170:BN172)</f>
        <v>0</v>
      </c>
      <c r="BO169" s="902">
        <f>SUM(BO170:BO172)</f>
        <v>0</v>
      </c>
      <c r="BP169" s="902">
        <f>SUM(BP170:BP172)</f>
        <v>1</v>
      </c>
      <c r="BQ169" s="902">
        <f>SUM(BQ170:BQ172)</f>
        <v>1</v>
      </c>
      <c r="BR169" s="902">
        <f>SUM(BR170:BR172)</f>
        <v>1</v>
      </c>
      <c r="BS169" s="902">
        <f>SUM(BS170:BS172)</f>
        <v>0</v>
      </c>
      <c r="BT169" s="902">
        <f>SUM(BT170:BT172)</f>
        <v>0</v>
      </c>
      <c r="BU169" s="902">
        <f>SUM(BU170:BU172)</f>
        <v>0</v>
      </c>
      <c r="BV169" s="902">
        <f>SUM(BV170:BV172)</f>
        <v>0</v>
      </c>
      <c r="BW169" s="902">
        <f>SUM(BW170:BW172)</f>
        <v>0</v>
      </c>
      <c r="BX169" s="902">
        <f>SUM(BX170:BX172)</f>
        <v>0</v>
      </c>
      <c r="BY169" s="902">
        <f>SUM(BY170:BY172)</f>
        <v>0</v>
      </c>
      <c r="BZ169" s="902">
        <f>SUM(BZ170:BZ172)</f>
        <v>0</v>
      </c>
      <c r="CA169" s="902">
        <f>SUM(CA170:CA172)</f>
        <v>0</v>
      </c>
      <c r="CB169" s="902">
        <f>SUM(CB170:CB172)</f>
        <v>0</v>
      </c>
      <c r="CC169" s="902">
        <f>SUM(CC170:CC172)</f>
        <v>0</v>
      </c>
      <c r="CD169" s="902">
        <f>SUM(CD170:CD172)</f>
        <v>0</v>
      </c>
      <c r="CE169" s="902">
        <f>SUM(CE170:CE172)</f>
        <v>0</v>
      </c>
      <c r="CF169" s="902">
        <f>SUM(CF170:CF172)</f>
        <v>0</v>
      </c>
      <c r="CG169" s="902">
        <f>SUM(CG170:CG172)</f>
        <v>0</v>
      </c>
      <c r="CH169" s="902">
        <f>SUM(CH170:CH172)</f>
        <v>0</v>
      </c>
      <c r="CI169" s="902">
        <f>SUM(CI170:CI172)</f>
        <v>0</v>
      </c>
      <c r="CJ169" s="902">
        <f>SUM(CJ170:CJ172)</f>
        <v>0</v>
      </c>
      <c r="CK169" s="902">
        <f>SUM(CK170:CK172)</f>
        <v>0</v>
      </c>
      <c r="CL169" s="902">
        <f>SUM(CL170:CL172)</f>
        <v>0</v>
      </c>
      <c r="CM169" s="902">
        <f>SUM(CM170:CM172)</f>
        <v>0</v>
      </c>
      <c r="CN169" s="902">
        <f>SUM(CN170:CN172)</f>
        <v>0</v>
      </c>
      <c r="CO169" s="902">
        <f>SUM(CO170:CO172)</f>
        <v>0</v>
      </c>
      <c r="CP169" s="902">
        <f>SUM(CP170:CP172)</f>
        <v>0</v>
      </c>
      <c r="CQ169" s="902">
        <f>SUM(CQ170:CQ172)</f>
        <v>0</v>
      </c>
      <c r="CR169" s="902">
        <f>SUM(CR170:CR172)</f>
        <v>0</v>
      </c>
      <c r="CS169" s="902">
        <f>SUM(CS170:CS172)</f>
        <v>0</v>
      </c>
      <c r="CT169" s="1723"/>
      <c r="CU169" s="0"/>
      <c r="CV169" s="1632"/>
      <c r="CW169" s="1173" t="s">
        <v>794</v>
      </c>
      <c r="CX169" s="1178"/>
      <c r="CY169" s="1178"/>
      <c r="CZ169" s="1178"/>
      <c r="DA169" s="1179"/>
      <c r="DB169" s="1179"/>
    </row>
    <row s="1632" customFormat="1" customHeight="1" ht="16.5" hidden="1">
      <c r="E170" s="797">
        <v>17.1</v>
      </c>
      <c r="F170" s="922" cm="1" t="str">
        <f t="array" ref="F170:F170">OFFSET(G170,-1,-1)</f>
        <v>1</v>
      </c>
      <c r="L170" s="922" cm="1" t="str">
        <f t="array" ref="L170:L170">OFFSET(M170,-1,-1)</f>
        <v>false</v>
      </c>
      <c r="S170" s="159" cm="1" t="str">
        <f t="array" ref="S170:S170">OFFSET(T170,-1,-1)</f>
        <v>true</v>
      </c>
      <c r="T170" s="159">
        <f>AD170&lt;&gt;"19.0"</f>
        <v>0</v>
      </c>
      <c r="U170" s="819">
        <f>AND(S170,IF(ISBLANK(T170),TRUE,T170))</f>
        <v>0</v>
      </c>
      <c r="X170" s="159" t="s">
        <v>234</v>
      </c>
      <c r="AB170" s="1489"/>
      <c r="AD170" s="160" t="s">
        <v>795</v>
      </c>
      <c r="AE170" s="974"/>
      <c r="AF170" s="625"/>
      <c r="AG170" s="160" t="s">
        <v>498</v>
      </c>
      <c r="AH170" s="90"/>
      <c r="AI170" s="90">
        <f>_xlfn.IFERROR(AI166/AI$164,0)</f>
        <v>0</v>
      </c>
      <c r="AJ170" s="90">
        <f>_xlfn.IFERROR(AJ166/AJ$164,0)</f>
        <v>0</v>
      </c>
      <c r="AK170" s="90"/>
      <c r="AL170" s="866">
        <f>_xlfn.IFERROR(AL166/AL$162,0)</f>
        <v>0</v>
      </c>
      <c r="AM170" s="90"/>
      <c r="AN170" s="90"/>
      <c r="AO170" s="866">
        <f>_xlfn.IFERROR(AO166/AO$162,0)</f>
        <v>0</v>
      </c>
      <c r="AP170" s="90"/>
      <c r="AQ170" s="90"/>
      <c r="AR170" s="866">
        <f>_xlfn.IFERROR(AR166/AR$162,0)</f>
        <v>0</v>
      </c>
      <c r="AS170" s="90"/>
      <c r="AT170" s="90"/>
      <c r="AU170" s="866">
        <f>_xlfn.IFERROR(AU166/AU$162,0)</f>
        <v>0</v>
      </c>
      <c r="AV170" s="90"/>
      <c r="AW170" s="90"/>
      <c r="AX170" s="866">
        <f>_xlfn.IFERROR(AX166/AX$162,0)</f>
        <v>0</v>
      </c>
      <c r="AY170" s="90"/>
      <c r="AZ170" s="90"/>
      <c r="BA170" s="866">
        <f>_xlfn.IFERROR(BA166/BA$162,0)</f>
        <v>0</v>
      </c>
      <c r="BB170" s="90"/>
      <c r="BC170" s="90"/>
      <c r="BD170" s="866">
        <f>_xlfn.IFERROR(BD166/BD$162,0)</f>
        <v>0</v>
      </c>
      <c r="BE170" s="90"/>
      <c r="BF170" s="90"/>
      <c r="BG170" s="866">
        <f>_xlfn.IFERROR(BG166/BG$162,0)</f>
        <v>0</v>
      </c>
      <c r="BH170" s="90"/>
      <c r="BI170" s="90"/>
      <c r="BJ170" s="866">
        <f>_xlfn.IFERROR(BJ166/BJ$162,0)</f>
        <v>0</v>
      </c>
      <c r="BK170" s="90"/>
      <c r="BL170" s="90"/>
      <c r="BM170" s="866">
        <f>_xlfn.IFERROR(BM166/BM$162,0)</f>
        <v>0</v>
      </c>
      <c r="BN170" s="90"/>
      <c r="BO170" s="90"/>
      <c r="BP170" s="866">
        <f>_xlfn.IFERROR(BP166/BP$162,0)</f>
        <v>0</v>
      </c>
      <c r="BQ170" s="1857"/>
      <c r="BR170" s="981"/>
      <c r="BS170" s="866">
        <f>_xlfn.IFERROR(BS166/BS$162,0)</f>
        <v>0</v>
      </c>
      <c r="BT170" s="90"/>
      <c r="BU170" s="90"/>
      <c r="BV170" s="866">
        <f>_xlfn.IFERROR(BV166/BV$162,0)</f>
        <v>0</v>
      </c>
      <c r="BW170" s="90"/>
      <c r="BX170" s="90"/>
      <c r="BY170" s="866">
        <f>_xlfn.IFERROR(BY166/BY$162,0)</f>
        <v>0</v>
      </c>
      <c r="BZ170" s="90"/>
      <c r="CA170" s="90"/>
      <c r="CB170" s="866">
        <f>_xlfn.IFERROR(CB166/CB$162,0)</f>
        <v>0</v>
      </c>
      <c r="CC170" s="90"/>
      <c r="CD170" s="90"/>
      <c r="CE170" s="866">
        <f>_xlfn.IFERROR(CE166/CE$162,0)</f>
        <v>0</v>
      </c>
      <c r="CF170" s="90"/>
      <c r="CG170" s="90"/>
      <c r="CH170" s="866">
        <f>_xlfn.IFERROR(CH166/CH$162,0)</f>
        <v>0</v>
      </c>
      <c r="CI170" s="90"/>
      <c r="CJ170" s="90"/>
      <c r="CK170" s="866">
        <f>_xlfn.IFERROR(CK166/CK$162,0)</f>
        <v>0</v>
      </c>
      <c r="CL170" s="90"/>
      <c r="CM170" s="90"/>
      <c r="CN170" s="866">
        <f>_xlfn.IFERROR(CN166/CN$162,0)</f>
        <v>0</v>
      </c>
      <c r="CO170" s="90"/>
      <c r="CP170" s="90"/>
      <c r="CQ170" s="866">
        <f>_xlfn.IFERROR(CQ166/CQ$162,0)</f>
        <v>0</v>
      </c>
      <c r="CR170" s="90"/>
      <c r="CS170" s="90"/>
      <c r="CT170" s="73"/>
      <c r="CW170" s="1173" t="s">
        <v>794</v>
      </c>
      <c r="CX170" s="1178" t="s">
        <v>792</v>
      </c>
      <c r="CY170" s="1182" cm="1" t="str">
        <f t="array" ref="CY170:CY170">AE170</f>
        <v>0</v>
      </c>
      <c r="CZ170" s="1182" cm="1" t="str">
        <f t="array" ref="CZ170:CZ170">AF170</f>
        <v>0</v>
      </c>
      <c r="DA170" s="1179"/>
      <c r="DB170" s="1179"/>
    </row>
    <row s="1632" customFormat="1" customHeight="1" ht="16.5">
      <c r="A171" s="1632"/>
      <c r="B171" s="1632"/>
      <c r="C171" s="1632"/>
      <c r="D171" s="1632"/>
      <c r="E171" s="797">
        <v>17.1</v>
      </c>
      <c r="F171" s="922" cm="1" t="str">
        <f t="array" ref="F171:F171">OFFSET(G171,-1,-1)</f>
        <v>1</v>
      </c>
      <c r="G171" s="1632"/>
      <c r="H171" s="1632"/>
      <c r="I171" s="1632"/>
      <c r="J171" s="1632"/>
      <c r="K171" s="1632"/>
      <c r="L171" s="922" cm="1" t="str">
        <f t="array" ref="L171:L171">OFFSET(M171,-1,-1)</f>
        <v>false</v>
      </c>
      <c r="M171" s="1632"/>
      <c r="N171" s="1632"/>
      <c r="O171" s="1632"/>
      <c r="P171" s="1632"/>
      <c r="Q171" s="1632"/>
      <c r="R171" s="1632"/>
      <c r="S171" s="159" cm="1" t="str">
        <f t="array" ref="S171:S171">OFFSET(T171,-1,-1)</f>
        <v>true</v>
      </c>
      <c r="T171" s="159">
        <f>AD171&lt;&gt;"19.0"</f>
        <v>1</v>
      </c>
      <c r="U171" s="819">
        <f>AND(S171,IF(ISBLANK(T171),TRUE,T171))</f>
        <v>1</v>
      </c>
      <c r="V171" s="1632"/>
      <c r="W171" s="1632"/>
      <c r="X171" s="159" t="str">
        <f>'Топливо 4.4'!$AE$167&amp;'Топливо 4.4'!$AF$167</f>
        <v>Уголь длиннопламенный</v>
      </c>
      <c r="Y171" s="1632"/>
      <c r="Z171" s="1632"/>
      <c r="AA171" s="1632"/>
      <c r="AB171" s="1489"/>
      <c r="AC171" s="0"/>
      <c r="AD171" s="160" t="s">
        <v>903</v>
      </c>
      <c r="AE171" s="974" cm="1" t="str">
        <f t="array" ref="AE171:AE171">IF(ISBLANK('Топливо 4.4'!$AE$167),"",'Топливо 4.4'!$AE$167)</f>
        <v>Уголь длиннопламенный</v>
      </c>
      <c r="AF171" s="625" t="str">
        <f>IF(ISBLANK('Топливо 4.4'!$AF$167),"",'Топливо 4.4'!$AF$167)</f>
        <v/>
      </c>
      <c r="AG171" s="160" t="s">
        <v>498</v>
      </c>
      <c r="AH171" s="1804">
        <v>1</v>
      </c>
      <c r="AI171" s="1804">
        <v>1</v>
      </c>
      <c r="AJ171" s="1804">
        <v>1</v>
      </c>
      <c r="AK171" s="1804">
        <v>1</v>
      </c>
      <c r="AL171" s="866">
        <f>_xlfn.IFERROR(AL167/AL$162,0)</f>
        <v>1</v>
      </c>
      <c r="AM171" s="1804">
        <v>1</v>
      </c>
      <c r="AN171" s="1804">
        <v>1</v>
      </c>
      <c r="AO171" s="866">
        <f>_xlfn.IFERROR(AO167/AO$162,0)</f>
        <v>0</v>
      </c>
      <c r="AP171" s="1804"/>
      <c r="AQ171" s="1804"/>
      <c r="AR171" s="866">
        <f>_xlfn.IFERROR(AR167/AR$162,0)</f>
        <v>0</v>
      </c>
      <c r="AS171" s="1804"/>
      <c r="AT171" s="1804"/>
      <c r="AU171" s="866">
        <f>_xlfn.IFERROR(AU167/AU$162,0)</f>
        <v>0</v>
      </c>
      <c r="AV171" s="1804"/>
      <c r="AW171" s="1804"/>
      <c r="AX171" s="866">
        <f>_xlfn.IFERROR(AX167/AX$162,0)</f>
        <v>0</v>
      </c>
      <c r="AY171" s="1804"/>
      <c r="AZ171" s="1804"/>
      <c r="BA171" s="866">
        <f>_xlfn.IFERROR(BA167/BA$162,0)</f>
        <v>0</v>
      </c>
      <c r="BB171" s="1804"/>
      <c r="BC171" s="1804"/>
      <c r="BD171" s="866">
        <f>_xlfn.IFERROR(BD167/BD$162,0)</f>
        <v>0</v>
      </c>
      <c r="BE171" s="1804"/>
      <c r="BF171" s="1804"/>
      <c r="BG171" s="866">
        <f>_xlfn.IFERROR(BG167/BG$162,0)</f>
        <v>0</v>
      </c>
      <c r="BH171" s="1804"/>
      <c r="BI171" s="1804"/>
      <c r="BJ171" s="866">
        <f>_xlfn.IFERROR(BJ167/BJ$162,0)</f>
        <v>0</v>
      </c>
      <c r="BK171" s="1804"/>
      <c r="BL171" s="1804"/>
      <c r="BM171" s="866">
        <f>_xlfn.IFERROR(BM167/BM$162,0)</f>
        <v>0</v>
      </c>
      <c r="BN171" s="1804"/>
      <c r="BO171" s="1804"/>
      <c r="BP171" s="866">
        <f>_xlfn.IFERROR(BP167/BP$162,0)</f>
        <v>1</v>
      </c>
      <c r="BQ171" s="981">
        <v>1</v>
      </c>
      <c r="BR171" s="981">
        <v>1</v>
      </c>
      <c r="BS171" s="866">
        <f>_xlfn.IFERROR(BS167/BS$162,0)</f>
        <v>0</v>
      </c>
      <c r="BT171" s="1804"/>
      <c r="BU171" s="1804"/>
      <c r="BV171" s="866">
        <f>_xlfn.IFERROR(BV167/BV$162,0)</f>
        <v>0</v>
      </c>
      <c r="BW171" s="1804"/>
      <c r="BX171" s="1804"/>
      <c r="BY171" s="866">
        <f>_xlfn.IFERROR(BY167/BY$162,0)</f>
        <v>0</v>
      </c>
      <c r="BZ171" s="1804"/>
      <c r="CA171" s="1804"/>
      <c r="CB171" s="866">
        <f>_xlfn.IFERROR(CB167/CB$162,0)</f>
        <v>0</v>
      </c>
      <c r="CC171" s="1804"/>
      <c r="CD171" s="1804"/>
      <c r="CE171" s="866">
        <f>_xlfn.IFERROR(CE167/CE$162,0)</f>
        <v>0</v>
      </c>
      <c r="CF171" s="1804"/>
      <c r="CG171" s="1804"/>
      <c r="CH171" s="866">
        <f>_xlfn.IFERROR(CH167/CH$162,0)</f>
        <v>0</v>
      </c>
      <c r="CI171" s="1804"/>
      <c r="CJ171" s="1804"/>
      <c r="CK171" s="866">
        <f>_xlfn.IFERROR(CK167/CK$162,0)</f>
        <v>0</v>
      </c>
      <c r="CL171" s="1804"/>
      <c r="CM171" s="1804"/>
      <c r="CN171" s="866">
        <f>_xlfn.IFERROR(CN167/CN$162,0)</f>
        <v>0</v>
      </c>
      <c r="CO171" s="1804"/>
      <c r="CP171" s="1804"/>
      <c r="CQ171" s="866">
        <f>_xlfn.IFERROR(CQ167/CQ$162,0)</f>
        <v>0</v>
      </c>
      <c r="CR171" s="1804"/>
      <c r="CS171" s="1804"/>
      <c r="CT171" s="1719"/>
      <c r="CU171" s="0"/>
      <c r="CV171" s="1632"/>
      <c r="CW171" s="1173" t="s">
        <v>794</v>
      </c>
      <c r="CX171" s="1178" t="s">
        <v>792</v>
      </c>
      <c r="CY171" s="1182" cm="1" t="str">
        <f t="array" ref="CY171:CY171">AE171</f>
        <v>Уголь длиннопламенный</v>
      </c>
      <c r="CZ171" s="1182" cm="1" t="str">
        <f t="array" ref="CZ171:CZ171">AF171</f>
        <v/>
      </c>
      <c r="DA171" s="1179"/>
      <c r="DB171" s="1179"/>
    </row>
    <row s="1632" customFormat="1" customHeight="1" ht="17.25" hidden="1">
      <c r="A172" s="1443"/>
      <c r="B172" s="927"/>
      <c r="C172" s="1443"/>
      <c r="D172" s="1443"/>
      <c r="E172" s="797">
        <v>0</v>
      </c>
      <c r="F172" s="922" cm="1" t="str">
        <f t="array" ref="F172:F172">OFFSET(G172,-1,-1)</f>
        <v>1</v>
      </c>
      <c r="G172" s="965"/>
      <c r="H172" s="965"/>
      <c r="I172" s="965"/>
      <c r="J172" s="965"/>
      <c r="K172" s="965"/>
      <c r="L172" s="922" cm="1" t="str">
        <f t="array" ref="L172:L172">OFFSET(M172,-1,-1)</f>
        <v>false</v>
      </c>
      <c r="M172" s="965"/>
      <c r="N172" s="965"/>
      <c r="O172" s="965"/>
      <c r="P172" s="965"/>
      <c r="Q172" s="965"/>
      <c r="R172" s="1443"/>
      <c r="S172" s="159" cm="1" t="str">
        <f t="array" ref="S172:S172">OFFSET(T172,-1,-1)</f>
        <v>true</v>
      </c>
      <c r="T172" s="1443"/>
      <c r="U172" s="819">
        <f>AND(S172,IF(ISBLANK(T172),TRUE,T172))</f>
        <v>1</v>
      </c>
      <c r="V172" s="1443"/>
      <c r="W172" s="1443"/>
      <c r="X172" s="973" t="str">
        <f>"{                  
         funcDyn: 'msg1',
         blok: 'blok_2',
         wsCross: 'Топливо 4.4',
         linkFormula: 'AE-AE#AF-AF',
         levelDyn: "&amp;Y139&amp;"
}"</f>
        <v>{                  
         funcDyn: 'msg1',
         blok: 'blok_2',
         wsCross: 'Топливо 4.4',
         linkFormula: 'AE-AE#AF-AF',
         levelDyn: 1
}</v>
      </c>
      <c r="Y172" s="1443"/>
      <c r="Z172" s="1443"/>
      <c r="AA172" s="820"/>
      <c r="AB172" s="1489"/>
      <c r="AC172" s="0"/>
      <c r="AD172" s="976"/>
      <c r="AE172" s="975" t="s">
        <v>236</v>
      </c>
      <c r="AF172" s="874"/>
      <c r="AG172" s="651"/>
      <c r="AH172" s="876"/>
      <c r="AI172" s="876"/>
      <c r="AJ172" s="876"/>
      <c r="AK172" s="876"/>
      <c r="AL172" s="876"/>
      <c r="AM172" s="876"/>
      <c r="AN172" s="876"/>
      <c r="AO172" s="876"/>
      <c r="AP172" s="876"/>
      <c r="AQ172" s="876"/>
      <c r="AR172" s="876"/>
      <c r="AS172" s="876"/>
      <c r="AT172" s="876"/>
      <c r="AU172" s="876"/>
      <c r="AV172" s="876"/>
      <c r="AW172" s="876"/>
      <c r="AX172" s="876"/>
      <c r="AY172" s="876"/>
      <c r="AZ172" s="876"/>
      <c r="BA172" s="876"/>
      <c r="BB172" s="876"/>
      <c r="BC172" s="876"/>
      <c r="BD172" s="876"/>
      <c r="BE172" s="876"/>
      <c r="BF172" s="876"/>
      <c r="BG172" s="876"/>
      <c r="BH172" s="876"/>
      <c r="BI172" s="876"/>
      <c r="BJ172" s="876"/>
      <c r="BK172" s="876"/>
      <c r="BL172" s="876"/>
      <c r="BM172" s="876"/>
      <c r="BN172" s="876"/>
      <c r="BO172" s="876"/>
      <c r="BP172" s="876"/>
      <c r="BQ172" s="876"/>
      <c r="BR172" s="876"/>
      <c r="BS172" s="876"/>
      <c r="BT172" s="876"/>
      <c r="BU172" s="876"/>
      <c r="BV172" s="876"/>
      <c r="BW172" s="876"/>
      <c r="BX172" s="876"/>
      <c r="BY172" s="876"/>
      <c r="BZ172" s="876"/>
      <c r="CA172" s="876"/>
      <c r="CB172" s="876"/>
      <c r="CC172" s="876"/>
      <c r="CD172" s="876"/>
      <c r="CE172" s="876"/>
      <c r="CF172" s="876"/>
      <c r="CG172" s="876"/>
      <c r="CH172" s="876"/>
      <c r="CI172" s="876"/>
      <c r="CJ172" s="876"/>
      <c r="CK172" s="876"/>
      <c r="CL172" s="876"/>
      <c r="CM172" s="876"/>
      <c r="CN172" s="876"/>
      <c r="CO172" s="876"/>
      <c r="CP172" s="876"/>
      <c r="CQ172" s="876"/>
      <c r="CR172" s="876"/>
      <c r="CS172" s="876"/>
      <c r="CT172" s="91"/>
      <c r="CU172" s="0"/>
      <c r="CV172" s="1632"/>
      <c r="CW172" s="1173" t="str">
        <f>IF(AND(ISNUMBER(VALUE(TRIM(SUBSTITUTE(AD172,".","")))),TRIM(SUBSTITUTE(AD172,".",""))&lt;&gt;""),"P"&amp;SUBSTITUTE(AD172,".",""),"")</f>
        <v/>
      </c>
      <c r="CX172" s="1178"/>
      <c r="CY172" s="1178"/>
      <c r="CZ172" s="1178"/>
      <c r="DA172" s="1179"/>
      <c r="DB172" s="1179"/>
    </row>
    <row s="1632" customFormat="1" customHeight="1" ht="16.5">
      <c r="A173" s="1443"/>
      <c r="B173" s="927"/>
      <c r="C173" s="1443"/>
      <c r="D173" s="1443"/>
      <c r="E173" s="797">
        <v>17.1</v>
      </c>
      <c r="F173" s="922" cm="1" t="str">
        <f t="array" ref="F173:F173">OFFSET(G173,-1,-1)</f>
        <v>1</v>
      </c>
      <c r="G173" s="965"/>
      <c r="H173" s="965"/>
      <c r="I173" s="965"/>
      <c r="J173" s="965"/>
      <c r="K173" s="965"/>
      <c r="L173" s="922" cm="1" t="str">
        <f t="array" ref="L173:L173">OFFSET(M173,-1,-1)</f>
        <v>false</v>
      </c>
      <c r="M173" s="965"/>
      <c r="N173" s="965"/>
      <c r="O173" s="965"/>
      <c r="P173" s="965"/>
      <c r="Q173" s="965"/>
      <c r="R173" s="1443"/>
      <c r="S173" s="159" cm="1" t="str">
        <f t="array" ref="S173:S173">OFFSET(T173,-1,-1)</f>
        <v>true</v>
      </c>
      <c r="T173" s="1443"/>
      <c r="U173" s="819">
        <f>AND(S173,IF(ISBLANK(T173),TRUE,T173))</f>
        <v>1</v>
      </c>
      <c r="V173" s="1443"/>
      <c r="W173" s="1443"/>
      <c r="X173" s="1443"/>
      <c r="Y173" s="1443"/>
      <c r="Z173" s="1443"/>
      <c r="AA173" s="820"/>
      <c r="AB173" s="1489"/>
      <c r="AC173" s="0"/>
      <c r="AD173" s="160">
        <v>20</v>
      </c>
      <c r="AE173" s="1498" t="s">
        <v>796</v>
      </c>
      <c r="AF173" s="168"/>
      <c r="AG173" s="741"/>
      <c r="AH173" s="861"/>
      <c r="AI173" s="863"/>
      <c r="AJ173" s="863"/>
      <c r="AK173" s="863"/>
      <c r="AL173" s="863"/>
      <c r="AM173" s="863"/>
      <c r="AN173" s="863"/>
      <c r="AO173" s="863"/>
      <c r="AP173" s="863"/>
      <c r="AQ173" s="863"/>
      <c r="AR173" s="863"/>
      <c r="AS173" s="863"/>
      <c r="AT173" s="863"/>
      <c r="AU173" s="863"/>
      <c r="AV173" s="863"/>
      <c r="AW173" s="863"/>
      <c r="AX173" s="863"/>
      <c r="AY173" s="863"/>
      <c r="AZ173" s="863"/>
      <c r="BA173" s="863"/>
      <c r="BB173" s="863"/>
      <c r="BC173" s="863"/>
      <c r="BD173" s="863"/>
      <c r="BE173" s="863"/>
      <c r="BF173" s="863"/>
      <c r="BG173" s="863"/>
      <c r="BH173" s="863"/>
      <c r="BI173" s="863"/>
      <c r="BJ173" s="863"/>
      <c r="BK173" s="863"/>
      <c r="BL173" s="863"/>
      <c r="BM173" s="863"/>
      <c r="BN173" s="863"/>
      <c r="BO173" s="863"/>
      <c r="BP173" s="863"/>
      <c r="BQ173" s="863"/>
      <c r="BR173" s="863"/>
      <c r="BS173" s="863"/>
      <c r="BT173" s="863"/>
      <c r="BU173" s="863"/>
      <c r="BV173" s="863"/>
      <c r="BW173" s="863"/>
      <c r="BX173" s="863"/>
      <c r="BY173" s="863"/>
      <c r="BZ173" s="863"/>
      <c r="CA173" s="863"/>
      <c r="CB173" s="863"/>
      <c r="CC173" s="863"/>
      <c r="CD173" s="863"/>
      <c r="CE173" s="863"/>
      <c r="CF173" s="863"/>
      <c r="CG173" s="863"/>
      <c r="CH173" s="863"/>
      <c r="CI173" s="863"/>
      <c r="CJ173" s="863"/>
      <c r="CK173" s="863"/>
      <c r="CL173" s="863"/>
      <c r="CM173" s="863"/>
      <c r="CN173" s="863"/>
      <c r="CO173" s="863"/>
      <c r="CP173" s="863"/>
      <c r="CQ173" s="863"/>
      <c r="CR173" s="863"/>
      <c r="CS173" s="863"/>
      <c r="CT173" s="1719"/>
      <c r="CU173" s="0"/>
      <c r="CV173" s="1632"/>
      <c r="CW173" s="1173" t="s">
        <v>797</v>
      </c>
      <c r="CX173" s="1178"/>
      <c r="CY173" s="1178"/>
      <c r="CZ173" s="1178"/>
      <c r="DA173" s="1179"/>
      <c r="DB173" s="1179"/>
    </row>
    <row s="1632" customFormat="1" customHeight="1" ht="16.5" hidden="1">
      <c r="E174" s="797">
        <v>17.1</v>
      </c>
      <c r="F174" s="922" cm="1" t="str">
        <f t="array" ref="F174:F174">OFFSET(G174,-1,-1)</f>
        <v>1</v>
      </c>
      <c r="L174" s="922" cm="1" t="str">
        <f t="array" ref="L174:L174">OFFSET(M174,-1,-1)</f>
        <v>false</v>
      </c>
      <c r="S174" s="159" cm="1" t="str">
        <f t="array" ref="S174:S174">OFFSET(T174,-1,-1)</f>
        <v>true</v>
      </c>
      <c r="T174" s="159">
        <f>AD174&lt;&gt;"20.0"</f>
        <v>0</v>
      </c>
      <c r="U174" s="819">
        <f>AND(S174,IF(ISBLANK(T174),TRUE,T174))</f>
        <v>0</v>
      </c>
      <c r="X174" s="159" t="s">
        <v>234</v>
      </c>
      <c r="AB174" s="1489"/>
      <c r="AD174" s="160" t="s">
        <v>798</v>
      </c>
      <c r="AE174" s="974"/>
      <c r="AF174" s="625"/>
      <c r="AG174" s="741"/>
      <c r="AH174" s="86"/>
      <c r="AI174" s="87"/>
      <c r="AJ174" s="87"/>
      <c r="AK174" s="87"/>
      <c r="AL174" s="862">
        <f>_xlfn.IFERROR(AL166/AL178,0)</f>
        <v>0</v>
      </c>
      <c r="AM174" s="87"/>
      <c r="AN174" s="87" cm="1" t="str">
        <f t="array" ref="AN174:AN174">AM174</f>
        <v>0</v>
      </c>
      <c r="AO174" s="862">
        <f>_xlfn.IFERROR(AO166/AO178,0)</f>
        <v>0</v>
      </c>
      <c r="AP174" s="87"/>
      <c r="AQ174" s="87" cm="1" t="str">
        <f t="array" ref="AQ174:AQ174">AP174</f>
        <v>0</v>
      </c>
      <c r="AR174" s="862">
        <f>_xlfn.IFERROR(AR166/AR178,0)</f>
        <v>0</v>
      </c>
      <c r="AS174" s="87"/>
      <c r="AT174" s="87" cm="1" t="str">
        <f t="array" ref="AT174:AT174">AS174</f>
        <v>0</v>
      </c>
      <c r="AU174" s="862">
        <f>_xlfn.IFERROR(AU166/AU178,0)</f>
        <v>0</v>
      </c>
      <c r="AV174" s="87"/>
      <c r="AW174" s="87" cm="1" t="str">
        <f t="array" ref="AW174:AW174">AV174</f>
        <v>0</v>
      </c>
      <c r="AX174" s="862">
        <f>_xlfn.IFERROR(AX166/AX178,0)</f>
        <v>0</v>
      </c>
      <c r="AY174" s="87"/>
      <c r="AZ174" s="87" cm="1" t="str">
        <f t="array" ref="AZ174:AZ174">AY174</f>
        <v>0</v>
      </c>
      <c r="BA174" s="862">
        <f>_xlfn.IFERROR(BA166/BA178,0)</f>
        <v>0</v>
      </c>
      <c r="BB174" s="87"/>
      <c r="BC174" s="87" cm="1" t="str">
        <f t="array" ref="BC174:BC174">BB174</f>
        <v>0</v>
      </c>
      <c r="BD174" s="862">
        <f>_xlfn.IFERROR(BD166/BD178,0)</f>
        <v>0</v>
      </c>
      <c r="BE174" s="87"/>
      <c r="BF174" s="87" cm="1" t="str">
        <f t="array" ref="BF174:BF174">BE174</f>
        <v>0</v>
      </c>
      <c r="BG174" s="862">
        <f>_xlfn.IFERROR(BG166/BG178,0)</f>
        <v>0</v>
      </c>
      <c r="BH174" s="87"/>
      <c r="BI174" s="87" cm="1" t="str">
        <f t="array" ref="BI174:BI174">BH174</f>
        <v>0</v>
      </c>
      <c r="BJ174" s="862">
        <f>_xlfn.IFERROR(BJ166/BJ178,0)</f>
        <v>0</v>
      </c>
      <c r="BK174" s="87"/>
      <c r="BL174" s="87" cm="1" t="str">
        <f t="array" ref="BL174:BL174">BK174</f>
        <v>0</v>
      </c>
      <c r="BM174" s="862">
        <f>_xlfn.IFERROR(BM166/BM178,0)</f>
        <v>0</v>
      </c>
      <c r="BN174" s="87"/>
      <c r="BO174" s="87" cm="1" t="str">
        <f t="array" ref="BO174:BO174">BN174</f>
        <v>0</v>
      </c>
      <c r="BP174" s="862">
        <f>_xlfn.IFERROR(BP166/BP178,0)</f>
        <v>0</v>
      </c>
      <c r="BQ174" s="1859"/>
      <c r="BR174" s="979" cm="1" t="str">
        <f t="array" ref="BR174:BR174">BQ174</f>
        <v>0</v>
      </c>
      <c r="BS174" s="862">
        <f>_xlfn.IFERROR(BS166/BS178,0)</f>
        <v>0</v>
      </c>
      <c r="BT174" s="87"/>
      <c r="BU174" s="87" cm="1" t="str">
        <f t="array" ref="BU174:BU174">BT174</f>
        <v>0</v>
      </c>
      <c r="BV174" s="862">
        <f>_xlfn.IFERROR(BV166/BV178,0)</f>
        <v>0</v>
      </c>
      <c r="BW174" s="87"/>
      <c r="BX174" s="87" cm="1" t="str">
        <f t="array" ref="BX174:BX174">BW174</f>
        <v>0</v>
      </c>
      <c r="BY174" s="862">
        <f>_xlfn.IFERROR(BY166/BY178,0)</f>
        <v>0</v>
      </c>
      <c r="BZ174" s="87"/>
      <c r="CA174" s="87" cm="1" t="str">
        <f t="array" ref="CA174:CA174">BZ174</f>
        <v>0</v>
      </c>
      <c r="CB174" s="862">
        <f>_xlfn.IFERROR(CB166/CB178,0)</f>
        <v>0</v>
      </c>
      <c r="CC174" s="87"/>
      <c r="CD174" s="87" cm="1" t="str">
        <f t="array" ref="CD174:CD174">CC174</f>
        <v>0</v>
      </c>
      <c r="CE174" s="862">
        <f>_xlfn.IFERROR(CE166/CE178,0)</f>
        <v>0</v>
      </c>
      <c r="CF174" s="87"/>
      <c r="CG174" s="87" cm="1" t="str">
        <f t="array" ref="CG174:CG174">CF174</f>
        <v>0</v>
      </c>
      <c r="CH174" s="862">
        <f>_xlfn.IFERROR(CH166/CH178,0)</f>
        <v>0</v>
      </c>
      <c r="CI174" s="87"/>
      <c r="CJ174" s="87" cm="1" t="str">
        <f t="array" ref="CJ174:CJ174">CI174</f>
        <v>0</v>
      </c>
      <c r="CK174" s="862">
        <f>_xlfn.IFERROR(CK166/CK178,0)</f>
        <v>0</v>
      </c>
      <c r="CL174" s="87"/>
      <c r="CM174" s="87" cm="1" t="str">
        <f t="array" ref="CM174:CM174">CL174</f>
        <v>0</v>
      </c>
      <c r="CN174" s="862">
        <f>_xlfn.IFERROR(CN166/CN178,0)</f>
        <v>0</v>
      </c>
      <c r="CO174" s="87"/>
      <c r="CP174" s="87" cm="1" t="str">
        <f t="array" ref="CP174:CP174">CO174</f>
        <v>0</v>
      </c>
      <c r="CQ174" s="862">
        <f>_xlfn.IFERROR(CQ166/CQ178,0)</f>
        <v>0</v>
      </c>
      <c r="CR174" s="87"/>
      <c r="CS174" s="87" cm="1" t="str">
        <f t="array" ref="CS174:CS174">CR174</f>
        <v>0</v>
      </c>
      <c r="CT174" s="73"/>
      <c r="CW174" s="1173" t="s">
        <v>797</v>
      </c>
      <c r="CX174" s="1178" t="s">
        <v>792</v>
      </c>
      <c r="CY174" s="1182" cm="1" t="str">
        <f t="array" ref="CY174:CY174">AE174</f>
        <v>0</v>
      </c>
      <c r="CZ174" s="1182" cm="1" t="str">
        <f t="array" ref="CZ174:CZ174">AF174</f>
        <v>0</v>
      </c>
      <c r="DA174" s="1179"/>
      <c r="DB174" s="1179"/>
    </row>
    <row s="1632" customFormat="1" customHeight="1" ht="16.5">
      <c r="A175" s="1632"/>
      <c r="B175" s="1632"/>
      <c r="C175" s="1632"/>
      <c r="D175" s="1632"/>
      <c r="E175" s="797">
        <v>17.1</v>
      </c>
      <c r="F175" s="922" cm="1" t="str">
        <f t="array" ref="F175:F175">OFFSET(G175,-1,-1)</f>
        <v>1</v>
      </c>
      <c r="G175" s="1632"/>
      <c r="H175" s="1632"/>
      <c r="I175" s="1632"/>
      <c r="J175" s="1632"/>
      <c r="K175" s="1632"/>
      <c r="L175" s="922" cm="1" t="str">
        <f t="array" ref="L175:L175">OFFSET(M175,-1,-1)</f>
        <v>false</v>
      </c>
      <c r="M175" s="1632"/>
      <c r="N175" s="1632"/>
      <c r="O175" s="1632"/>
      <c r="P175" s="1632"/>
      <c r="Q175" s="1632"/>
      <c r="R175" s="1632"/>
      <c r="S175" s="159" cm="1" t="str">
        <f t="array" ref="S175:S175">OFFSET(T175,-1,-1)</f>
        <v>true</v>
      </c>
      <c r="T175" s="159">
        <f>AD175&lt;&gt;"20.0"</f>
        <v>1</v>
      </c>
      <c r="U175" s="819">
        <f>AND(S175,IF(ISBLANK(T175),TRUE,T175))</f>
        <v>1</v>
      </c>
      <c r="V175" s="1632"/>
      <c r="W175" s="1632"/>
      <c r="X175" s="159" t="str">
        <f>'Топливо 4.4'!$AE$171&amp;'Топливо 4.4'!$AF$171</f>
        <v>Уголь длиннопламенный</v>
      </c>
      <c r="Y175" s="1632"/>
      <c r="Z175" s="1632"/>
      <c r="AA175" s="1632"/>
      <c r="AB175" s="1489"/>
      <c r="AC175" s="0"/>
      <c r="AD175" s="160" t="s">
        <v>904</v>
      </c>
      <c r="AE175" s="974" cm="1" t="str">
        <f t="array" ref="AE175:AE175">IF(ISBLANK('Топливо 4.4'!$AE$171),"",'Топливо 4.4'!$AE$171)</f>
        <v>Уголь длиннопламенный</v>
      </c>
      <c r="AF175" s="625" cm="1" t="str">
        <f t="array" ref="AF175:AF175">IF(ISBLANK('Топливо 4.4'!$AF$171),"",'Топливо 4.4'!$AF$171)</f>
        <v/>
      </c>
      <c r="AG175" s="741"/>
      <c r="AH175" s="1791">
        <v>0.733</v>
      </c>
      <c r="AI175" s="1772">
        <v>0.7</v>
      </c>
      <c r="AJ175" s="1772">
        <v>0.7</v>
      </c>
      <c r="AK175" s="1772" cm="1" t="str">
        <f t="array" ref="AK175:AK175">AJ175</f>
        <v>0.7</v>
      </c>
      <c r="AL175" s="862">
        <f>_xlfn.IFERROR(AL167/AL179,0)</f>
        <v>0.960435489376438</v>
      </c>
      <c r="AM175" s="1772">
        <v>0.705</v>
      </c>
      <c r="AN175" s="1772" cm="1" t="str">
        <f t="array" ref="AN175:AN175">AM175</f>
        <v>0.705</v>
      </c>
      <c r="AO175" s="862">
        <f>_xlfn.IFERROR(AO167/AO179,0)</f>
        <v>0</v>
      </c>
      <c r="AP175" s="1772"/>
      <c r="AQ175" s="1772" cm="1" t="str">
        <f t="array" ref="AQ175:AQ175">AP175</f>
        <v>0</v>
      </c>
      <c r="AR175" s="862">
        <f>_xlfn.IFERROR(AR167/AR179,0)</f>
        <v>0</v>
      </c>
      <c r="AS175" s="1772"/>
      <c r="AT175" s="1772" cm="1" t="str">
        <f t="array" ref="AT175:AT175">AS175</f>
        <v>0</v>
      </c>
      <c r="AU175" s="862">
        <f>_xlfn.IFERROR(AU167/AU179,0)</f>
        <v>0</v>
      </c>
      <c r="AV175" s="1772"/>
      <c r="AW175" s="1772" cm="1" t="str">
        <f t="array" ref="AW175:AW175">AV175</f>
        <v>0</v>
      </c>
      <c r="AX175" s="862">
        <f>_xlfn.IFERROR(AX167/AX179,0)</f>
        <v>0</v>
      </c>
      <c r="AY175" s="1772"/>
      <c r="AZ175" s="1772" cm="1" t="str">
        <f t="array" ref="AZ175:AZ175">AY175</f>
        <v>0</v>
      </c>
      <c r="BA175" s="862">
        <f>_xlfn.IFERROR(BA167/BA179,0)</f>
        <v>0</v>
      </c>
      <c r="BB175" s="1772"/>
      <c r="BC175" s="1772" cm="1" t="str">
        <f t="array" ref="BC175:BC175">BB175</f>
        <v>0</v>
      </c>
      <c r="BD175" s="862">
        <f>_xlfn.IFERROR(BD167/BD179,0)</f>
        <v>0</v>
      </c>
      <c r="BE175" s="1772"/>
      <c r="BF175" s="1772" cm="1" t="str">
        <f t="array" ref="BF175:BF175">BE175</f>
        <v>0</v>
      </c>
      <c r="BG175" s="862">
        <f>_xlfn.IFERROR(BG167/BG179,0)</f>
        <v>0</v>
      </c>
      <c r="BH175" s="1772"/>
      <c r="BI175" s="1772" cm="1" t="str">
        <f t="array" ref="BI175:BI175">BH175</f>
        <v>0</v>
      </c>
      <c r="BJ175" s="862">
        <f>_xlfn.IFERROR(BJ167/BJ179,0)</f>
        <v>0</v>
      </c>
      <c r="BK175" s="1772"/>
      <c r="BL175" s="1772" cm="1" t="str">
        <f t="array" ref="BL175:BL175">BK175</f>
        <v>0</v>
      </c>
      <c r="BM175" s="862">
        <f>_xlfn.IFERROR(BM167/BM179,0)</f>
        <v>0</v>
      </c>
      <c r="BN175" s="1772"/>
      <c r="BO175" s="1772" cm="1" t="str">
        <f t="array" ref="BO175:BO175">BN175</f>
        <v>0</v>
      </c>
      <c r="BP175" s="862">
        <f>_xlfn.IFERROR(BP167/BP179,0)</f>
        <v>0.705</v>
      </c>
      <c r="BQ175" s="979">
        <v>0.705</v>
      </c>
      <c r="BR175" s="979" cm="1" t="str">
        <f t="array" ref="BR175:BR175">BQ175</f>
        <v>0.705</v>
      </c>
      <c r="BS175" s="862">
        <f>_xlfn.IFERROR(BS167/BS179,0)</f>
        <v>0</v>
      </c>
      <c r="BT175" s="1772"/>
      <c r="BU175" s="1772" cm="1" t="str">
        <f t="array" ref="BU175:BU175">BT175</f>
        <v>0</v>
      </c>
      <c r="BV175" s="862">
        <f>_xlfn.IFERROR(BV167/BV179,0)</f>
        <v>0</v>
      </c>
      <c r="BW175" s="1772"/>
      <c r="BX175" s="1772" cm="1" t="str">
        <f t="array" ref="BX175:BX175">BW175</f>
        <v>0</v>
      </c>
      <c r="BY175" s="862">
        <f>_xlfn.IFERROR(BY167/BY179,0)</f>
        <v>0</v>
      </c>
      <c r="BZ175" s="1772"/>
      <c r="CA175" s="1772" cm="1" t="str">
        <f t="array" ref="CA175:CA175">BZ175</f>
        <v>0</v>
      </c>
      <c r="CB175" s="862">
        <f>_xlfn.IFERROR(CB167/CB179,0)</f>
        <v>0</v>
      </c>
      <c r="CC175" s="1772"/>
      <c r="CD175" s="1772" cm="1" t="str">
        <f t="array" ref="CD175:CD175">CC175</f>
        <v>0</v>
      </c>
      <c r="CE175" s="862">
        <f>_xlfn.IFERROR(CE167/CE179,0)</f>
        <v>0</v>
      </c>
      <c r="CF175" s="1772"/>
      <c r="CG175" s="1772" cm="1" t="str">
        <f t="array" ref="CG175:CG175">CF175</f>
        <v>0</v>
      </c>
      <c r="CH175" s="862">
        <f>_xlfn.IFERROR(CH167/CH179,0)</f>
        <v>0</v>
      </c>
      <c r="CI175" s="1772"/>
      <c r="CJ175" s="1772" cm="1" t="str">
        <f t="array" ref="CJ175:CJ175">CI175</f>
        <v>0</v>
      </c>
      <c r="CK175" s="862">
        <f>_xlfn.IFERROR(CK167/CK179,0)</f>
        <v>0</v>
      </c>
      <c r="CL175" s="1772"/>
      <c r="CM175" s="1772" cm="1" t="str">
        <f t="array" ref="CM175:CM175">CL175</f>
        <v>0</v>
      </c>
      <c r="CN175" s="862">
        <f>_xlfn.IFERROR(CN167/CN179,0)</f>
        <v>0</v>
      </c>
      <c r="CO175" s="1772"/>
      <c r="CP175" s="1772" cm="1" t="str">
        <f t="array" ref="CP175:CP175">CO175</f>
        <v>0</v>
      </c>
      <c r="CQ175" s="862">
        <f>_xlfn.IFERROR(CQ167/CQ179,0)</f>
        <v>0</v>
      </c>
      <c r="CR175" s="1772"/>
      <c r="CS175" s="1772" cm="1" t="str">
        <f t="array" ref="CS175:CS175">CR175</f>
        <v>0</v>
      </c>
      <c r="CT175" s="1719"/>
      <c r="CU175" s="0"/>
      <c r="CV175" s="1632"/>
      <c r="CW175" s="1173" t="s">
        <v>797</v>
      </c>
      <c r="CX175" s="1178" t="s">
        <v>792</v>
      </c>
      <c r="CY175" s="1182" cm="1" t="str">
        <f t="array" ref="CY175:CY175">AE175</f>
        <v>Уголь длиннопламенный</v>
      </c>
      <c r="CZ175" s="1182" cm="1" t="str">
        <f t="array" ref="CZ175:CZ175">AF175</f>
        <v/>
      </c>
      <c r="DA175" s="1179"/>
      <c r="DB175" s="1179"/>
    </row>
    <row s="1632" customFormat="1" customHeight="1" ht="17.25" hidden="1">
      <c r="A176" s="1443"/>
      <c r="B176" s="927"/>
      <c r="C176" s="1443"/>
      <c r="D176" s="1443"/>
      <c r="E176" s="797">
        <v>0</v>
      </c>
      <c r="F176" s="922" cm="1" t="str">
        <f t="array" ref="F176:F176">OFFSET(G176,-1,-1)</f>
        <v>1</v>
      </c>
      <c r="G176" s="965"/>
      <c r="H176" s="965"/>
      <c r="I176" s="965"/>
      <c r="J176" s="965"/>
      <c r="K176" s="965"/>
      <c r="L176" s="922" cm="1" t="str">
        <f t="array" ref="L176:L176">OFFSET(M176,-1,-1)</f>
        <v>false</v>
      </c>
      <c r="M176" s="965"/>
      <c r="N176" s="965"/>
      <c r="O176" s="965"/>
      <c r="P176" s="965"/>
      <c r="Q176" s="965"/>
      <c r="R176" s="1443"/>
      <c r="S176" s="159" cm="1" t="str">
        <f t="array" ref="S176:S176">OFFSET(T176,-1,-1)</f>
        <v>true</v>
      </c>
      <c r="T176" s="1443"/>
      <c r="U176" s="819">
        <f>AND(S176,IF(ISBLANK(T176),TRUE,T176))</f>
        <v>1</v>
      </c>
      <c r="V176" s="1443"/>
      <c r="W176" s="1443"/>
      <c r="X176" s="973" t="str">
        <f>"{                  
         funcDyn: 'msg1',
         blok: 'blok_2',
         wsCross: 'Топливо 4.4',
         linkFormula: 'AE-AE#AF-AF',
         levelDyn: "&amp;Y139&amp;"
}"</f>
        <v>{                  
         funcDyn: 'msg1',
         blok: 'blok_2',
         wsCross: 'Топливо 4.4',
         linkFormula: 'AE-AE#AF-AF',
         levelDyn: 1
}</v>
      </c>
      <c r="Y176" s="1443"/>
      <c r="Z176" s="1443"/>
      <c r="AA176" s="820"/>
      <c r="AB176" s="1489"/>
      <c r="AC176" s="0"/>
      <c r="AD176" s="976"/>
      <c r="AE176" s="975" t="s">
        <v>236</v>
      </c>
      <c r="AF176" s="874"/>
      <c r="AG176" s="1014"/>
      <c r="AH176" s="861"/>
      <c r="AI176" s="863"/>
      <c r="AJ176" s="863"/>
      <c r="AK176" s="863"/>
      <c r="AL176" s="863"/>
      <c r="AM176" s="863"/>
      <c r="AN176" s="863"/>
      <c r="AO176" s="863"/>
      <c r="AP176" s="863"/>
      <c r="AQ176" s="863"/>
      <c r="AR176" s="863"/>
      <c r="AS176" s="863"/>
      <c r="AT176" s="863"/>
      <c r="AU176" s="863"/>
      <c r="AV176" s="863"/>
      <c r="AW176" s="863"/>
      <c r="AX176" s="863"/>
      <c r="AY176" s="863"/>
      <c r="AZ176" s="863"/>
      <c r="BA176" s="863"/>
      <c r="BB176" s="863"/>
      <c r="BC176" s="863"/>
      <c r="BD176" s="863"/>
      <c r="BE176" s="863"/>
      <c r="BF176" s="863"/>
      <c r="BG176" s="863"/>
      <c r="BH176" s="863"/>
      <c r="BI176" s="863"/>
      <c r="BJ176" s="863"/>
      <c r="BK176" s="863"/>
      <c r="BL176" s="863"/>
      <c r="BM176" s="863"/>
      <c r="BN176" s="863"/>
      <c r="BO176" s="863"/>
      <c r="BP176" s="863"/>
      <c r="BQ176" s="863"/>
      <c r="BR176" s="863"/>
      <c r="BS176" s="863"/>
      <c r="BT176" s="863"/>
      <c r="BU176" s="863"/>
      <c r="BV176" s="863"/>
      <c r="BW176" s="863"/>
      <c r="BX176" s="863"/>
      <c r="BY176" s="863"/>
      <c r="BZ176" s="863"/>
      <c r="CA176" s="863"/>
      <c r="CB176" s="863"/>
      <c r="CC176" s="863"/>
      <c r="CD176" s="863"/>
      <c r="CE176" s="863"/>
      <c r="CF176" s="863"/>
      <c r="CG176" s="863"/>
      <c r="CH176" s="863"/>
      <c r="CI176" s="863"/>
      <c r="CJ176" s="863"/>
      <c r="CK176" s="863"/>
      <c r="CL176" s="863"/>
      <c r="CM176" s="863"/>
      <c r="CN176" s="863"/>
      <c r="CO176" s="863"/>
      <c r="CP176" s="863"/>
      <c r="CQ176" s="863"/>
      <c r="CR176" s="863"/>
      <c r="CS176" s="863"/>
      <c r="CT176" s="91"/>
      <c r="CU176" s="0"/>
      <c r="CV176" s="1632"/>
      <c r="CW176" s="1173" t="str">
        <f>IF(AND(ISNUMBER(VALUE(TRIM(SUBSTITUTE(AD176,".","")))),TRIM(SUBSTITUTE(AD176,".",""))&lt;&gt;""),"P"&amp;SUBSTITUTE(AD176,".",""),"")</f>
        <v/>
      </c>
      <c r="CX176" s="1178"/>
      <c r="CY176" s="1178"/>
      <c r="CZ176" s="1178"/>
      <c r="DA176" s="1179"/>
      <c r="DB176" s="1179"/>
    </row>
    <row s="1632" customFormat="1" customHeight="1" ht="16.5">
      <c r="A177" s="1443"/>
      <c r="B177" s="927"/>
      <c r="C177" s="1443"/>
      <c r="D177" s="1443"/>
      <c r="E177" s="797">
        <v>17.1</v>
      </c>
      <c r="F177" s="922" cm="1" t="str">
        <f t="array" ref="F177:F177">OFFSET(G177,-1,-1)</f>
        <v>1</v>
      </c>
      <c r="G177" s="965"/>
      <c r="H177" s="965"/>
      <c r="I177" s="965"/>
      <c r="J177" s="965"/>
      <c r="K177" s="965"/>
      <c r="L177" s="922" cm="1" t="str">
        <f t="array" ref="L177:L177">OFFSET(M177,-1,-1)</f>
        <v>false</v>
      </c>
      <c r="M177" s="965"/>
      <c r="N177" s="965"/>
      <c r="O177" s="965"/>
      <c r="P177" s="965"/>
      <c r="Q177" s="965"/>
      <c r="R177" s="1443"/>
      <c r="S177" s="159" cm="1" t="str">
        <f t="array" ref="S177:S177">OFFSET(T177,-1,-1)</f>
        <v>true</v>
      </c>
      <c r="T177" s="1443"/>
      <c r="U177" s="819">
        <f>AND(S177,IF(ISBLANK(T177),TRUE,T177))</f>
        <v>1</v>
      </c>
      <c r="V177" s="1443"/>
      <c r="W177" s="1443"/>
      <c r="X177" s="1443"/>
      <c r="Y177" s="1443"/>
      <c r="Z177" s="1443"/>
      <c r="AA177" s="820"/>
      <c r="AB177" s="1489"/>
      <c r="AC177" s="0"/>
      <c r="AD177" s="160">
        <v>21</v>
      </c>
      <c r="AE177" s="1508" t="s">
        <v>799</v>
      </c>
      <c r="AF177" s="162"/>
      <c r="AG177" s="741"/>
      <c r="AH177" s="861"/>
      <c r="AI177" s="863"/>
      <c r="AJ177" s="863"/>
      <c r="AK177" s="863"/>
      <c r="AL177" s="863"/>
      <c r="AM177" s="863"/>
      <c r="AN177" s="863"/>
      <c r="AO177" s="863"/>
      <c r="AP177" s="863"/>
      <c r="AQ177" s="863"/>
      <c r="AR177" s="863"/>
      <c r="AS177" s="863"/>
      <c r="AT177" s="863"/>
      <c r="AU177" s="863"/>
      <c r="AV177" s="863"/>
      <c r="AW177" s="863"/>
      <c r="AX177" s="863"/>
      <c r="AY177" s="863"/>
      <c r="AZ177" s="863"/>
      <c r="BA177" s="863"/>
      <c r="BB177" s="863"/>
      <c r="BC177" s="863"/>
      <c r="BD177" s="863"/>
      <c r="BE177" s="863"/>
      <c r="BF177" s="863"/>
      <c r="BG177" s="863"/>
      <c r="BH177" s="863"/>
      <c r="BI177" s="863"/>
      <c r="BJ177" s="863"/>
      <c r="BK177" s="863"/>
      <c r="BL177" s="863"/>
      <c r="BM177" s="863"/>
      <c r="BN177" s="863"/>
      <c r="BO177" s="863"/>
      <c r="BP177" s="863"/>
      <c r="BQ177" s="863"/>
      <c r="BR177" s="863"/>
      <c r="BS177" s="863"/>
      <c r="BT177" s="863"/>
      <c r="BU177" s="863"/>
      <c r="BV177" s="863"/>
      <c r="BW177" s="863"/>
      <c r="BX177" s="863"/>
      <c r="BY177" s="863"/>
      <c r="BZ177" s="863"/>
      <c r="CA177" s="863"/>
      <c r="CB177" s="863"/>
      <c r="CC177" s="863"/>
      <c r="CD177" s="863"/>
      <c r="CE177" s="863"/>
      <c r="CF177" s="863"/>
      <c r="CG177" s="863"/>
      <c r="CH177" s="863"/>
      <c r="CI177" s="863"/>
      <c r="CJ177" s="863"/>
      <c r="CK177" s="863"/>
      <c r="CL177" s="863"/>
      <c r="CM177" s="863"/>
      <c r="CN177" s="863"/>
      <c r="CO177" s="863"/>
      <c r="CP177" s="863"/>
      <c r="CQ177" s="863"/>
      <c r="CR177" s="863"/>
      <c r="CS177" s="863"/>
      <c r="CT177" s="1719"/>
      <c r="CU177" s="0"/>
      <c r="CV177" s="1632"/>
      <c r="CW177" s="1173" t="s">
        <v>800</v>
      </c>
      <c r="CX177" s="1178"/>
      <c r="CY177" s="1178"/>
      <c r="CZ177" s="1178"/>
      <c r="DA177" s="1179"/>
      <c r="DB177" s="1179"/>
    </row>
    <row s="1632" customFormat="1" customHeight="1" ht="16.5" hidden="1">
      <c r="E178" s="797">
        <v>17.1</v>
      </c>
      <c r="F178" s="922" cm="1" t="str">
        <f t="array" ref="F178:F178">OFFSET(G178,-1,-1)</f>
        <v>1</v>
      </c>
      <c r="L178" s="922" cm="1" t="str">
        <f t="array" ref="L178:L178">OFFSET(M178,-1,-1)</f>
        <v>false</v>
      </c>
      <c r="S178" s="159" cm="1" t="str">
        <f t="array" ref="S178:S178">OFFSET(T178,-1,-1)</f>
        <v>true</v>
      </c>
      <c r="T178" s="159">
        <f>AD178&lt;&gt;"21.0"</f>
        <v>0</v>
      </c>
      <c r="U178" s="819">
        <f>AND(S178,IF(ISBLANK(T178),TRUE,T178))</f>
        <v>0</v>
      </c>
      <c r="X178" s="159" t="s">
        <v>234</v>
      </c>
      <c r="AB178" s="1489"/>
      <c r="AD178" s="160" t="s">
        <v>801</v>
      </c>
      <c r="AE178" s="974"/>
      <c r="AF178" s="625"/>
      <c r="AG178" s="1815" t="str">
        <f>_xlfn.IFERROR(INDEX(fuel_ed_izm_list,MATCH(AE178,fuel_list,0)),"тнт")</f>
        <v>тнт</v>
      </c>
      <c r="AH178" s="87">
        <f>_xlfn.IFERROR(AH166/AH174,0)</f>
        <v>0</v>
      </c>
      <c r="AI178" s="87"/>
      <c r="AJ178" s="87"/>
      <c r="AK178" s="87">
        <f>_xlfn.IFERROR(AK166/AK174,0)</f>
        <v>0</v>
      </c>
      <c r="AL178" s="860">
        <f>AM178+AN178</f>
        <v>0</v>
      </c>
      <c r="AM178" s="87">
        <f>_xlfn.IFERROR(AM166/AM174,0)</f>
        <v>0</v>
      </c>
      <c r="AN178" s="87">
        <f>_xlfn.IFERROR(AN166/AN174,0)</f>
        <v>0</v>
      </c>
      <c r="AO178" s="860">
        <f>AP178+AQ178</f>
        <v>0</v>
      </c>
      <c r="AP178" s="87">
        <f>_xlfn.IFERROR(AP166/AP174,0)</f>
        <v>0</v>
      </c>
      <c r="AQ178" s="87">
        <f>_xlfn.IFERROR(AQ166/AQ174,0)</f>
        <v>0</v>
      </c>
      <c r="AR178" s="860">
        <f>AS178+AT178</f>
        <v>0</v>
      </c>
      <c r="AS178" s="87">
        <f>_xlfn.IFERROR(AS166/AS174,0)</f>
        <v>0</v>
      </c>
      <c r="AT178" s="87">
        <f>_xlfn.IFERROR(AT166/AT174,0)</f>
        <v>0</v>
      </c>
      <c r="AU178" s="860">
        <f>AV178+AW178</f>
        <v>0</v>
      </c>
      <c r="AV178" s="87">
        <f>_xlfn.IFERROR(AV166/AV174,0)</f>
        <v>0</v>
      </c>
      <c r="AW178" s="87">
        <f>_xlfn.IFERROR(AW166/AW174,0)</f>
        <v>0</v>
      </c>
      <c r="AX178" s="860">
        <f>AY178+AZ178</f>
        <v>0</v>
      </c>
      <c r="AY178" s="87">
        <f>_xlfn.IFERROR(AY166/AY174,0)</f>
        <v>0</v>
      </c>
      <c r="AZ178" s="87">
        <f>_xlfn.IFERROR(AZ166/AZ174,0)</f>
        <v>0</v>
      </c>
      <c r="BA178" s="860">
        <f>BB178+BC178</f>
        <v>0</v>
      </c>
      <c r="BB178" s="87">
        <f>_xlfn.IFERROR(BB166/BB174,0)</f>
        <v>0</v>
      </c>
      <c r="BC178" s="87">
        <f>_xlfn.IFERROR(BC166/BC174,0)</f>
        <v>0</v>
      </c>
      <c r="BD178" s="860">
        <f>BE178+BF178</f>
        <v>0</v>
      </c>
      <c r="BE178" s="87">
        <f>_xlfn.IFERROR(BE166/BE174,0)</f>
        <v>0</v>
      </c>
      <c r="BF178" s="87">
        <f>_xlfn.IFERROR(BF166/BF174,0)</f>
        <v>0</v>
      </c>
      <c r="BG178" s="860">
        <f>BH178+BI178</f>
        <v>0</v>
      </c>
      <c r="BH178" s="87">
        <f>_xlfn.IFERROR(BH166/BH174,0)</f>
        <v>0</v>
      </c>
      <c r="BI178" s="87">
        <f>_xlfn.IFERROR(BI166/BI174,0)</f>
        <v>0</v>
      </c>
      <c r="BJ178" s="860">
        <f>BK178+BL178</f>
        <v>0</v>
      </c>
      <c r="BK178" s="87">
        <f>_xlfn.IFERROR(BK166/BK174,0)</f>
        <v>0</v>
      </c>
      <c r="BL178" s="87">
        <f>_xlfn.IFERROR(BL166/BL174,0)</f>
        <v>0</v>
      </c>
      <c r="BM178" s="860">
        <f>BN178+BO178</f>
        <v>0</v>
      </c>
      <c r="BN178" s="87">
        <f>_xlfn.IFERROR(BN166/BN174,0)</f>
        <v>0</v>
      </c>
      <c r="BO178" s="87">
        <f>_xlfn.IFERROR(BO166/BO174,0)</f>
        <v>0</v>
      </c>
      <c r="BP178" s="860">
        <f>BQ178+BR178</f>
        <v>0</v>
      </c>
      <c r="BQ178" s="979">
        <f>_xlfn.IFERROR(BQ166/BQ174,0)</f>
        <v>0</v>
      </c>
      <c r="BR178" s="979">
        <f>_xlfn.IFERROR(BR166/BR174,0)</f>
        <v>0</v>
      </c>
      <c r="BS178" s="860">
        <f>BT178+BU178</f>
        <v>0</v>
      </c>
      <c r="BT178" s="87">
        <f>_xlfn.IFERROR(BT166/BT174,0)</f>
        <v>0</v>
      </c>
      <c r="BU178" s="87">
        <f>_xlfn.IFERROR(BU166/BU174,0)</f>
        <v>0</v>
      </c>
      <c r="BV178" s="860">
        <f>BW178+BX178</f>
        <v>0</v>
      </c>
      <c r="BW178" s="87">
        <f>_xlfn.IFERROR(BW166/BW174,0)</f>
        <v>0</v>
      </c>
      <c r="BX178" s="87">
        <f>_xlfn.IFERROR(BX166/BX174,0)</f>
        <v>0</v>
      </c>
      <c r="BY178" s="860">
        <f>BZ178+CA178</f>
        <v>0</v>
      </c>
      <c r="BZ178" s="87">
        <f>_xlfn.IFERROR(BZ166/BZ174,0)</f>
        <v>0</v>
      </c>
      <c r="CA178" s="87">
        <f>_xlfn.IFERROR(CA166/CA174,0)</f>
        <v>0</v>
      </c>
      <c r="CB178" s="860">
        <f>CC178+CD178</f>
        <v>0</v>
      </c>
      <c r="CC178" s="87">
        <f>_xlfn.IFERROR(CC166/CC174,0)</f>
        <v>0</v>
      </c>
      <c r="CD178" s="87">
        <f>_xlfn.IFERROR(CD166/CD174,0)</f>
        <v>0</v>
      </c>
      <c r="CE178" s="860">
        <f>CF178+CG178</f>
        <v>0</v>
      </c>
      <c r="CF178" s="87">
        <f>_xlfn.IFERROR(CF166/CF174,0)</f>
        <v>0</v>
      </c>
      <c r="CG178" s="87">
        <f>_xlfn.IFERROR(CG166/CG174,0)</f>
        <v>0</v>
      </c>
      <c r="CH178" s="860">
        <f>CI178+CJ178</f>
        <v>0</v>
      </c>
      <c r="CI178" s="87">
        <f>_xlfn.IFERROR(CI166/CI174,0)</f>
        <v>0</v>
      </c>
      <c r="CJ178" s="87">
        <f>_xlfn.IFERROR(CJ166/CJ174,0)</f>
        <v>0</v>
      </c>
      <c r="CK178" s="860">
        <f>CL178+CM178</f>
        <v>0</v>
      </c>
      <c r="CL178" s="87">
        <f>_xlfn.IFERROR(CL166/CL174,0)</f>
        <v>0</v>
      </c>
      <c r="CM178" s="87">
        <f>_xlfn.IFERROR(CM166/CM174,0)</f>
        <v>0</v>
      </c>
      <c r="CN178" s="860">
        <f>CO178+CP178</f>
        <v>0</v>
      </c>
      <c r="CO178" s="87">
        <f>_xlfn.IFERROR(CO166/CO174,0)</f>
        <v>0</v>
      </c>
      <c r="CP178" s="87">
        <f>_xlfn.IFERROR(CP166/CP174,0)</f>
        <v>0</v>
      </c>
      <c r="CQ178" s="860">
        <f>CR178+CS178</f>
        <v>0</v>
      </c>
      <c r="CR178" s="87">
        <f>_xlfn.IFERROR(CR166/CR174,0)</f>
        <v>0</v>
      </c>
      <c r="CS178" s="87">
        <f>_xlfn.IFERROR(CS166/CS174,0)</f>
        <v>0</v>
      </c>
      <c r="CT178" s="73"/>
      <c r="CW178" s="1173" t="s">
        <v>800</v>
      </c>
      <c r="CX178" s="1178" t="s">
        <v>792</v>
      </c>
      <c r="CY178" s="1182" cm="1" t="str">
        <f t="array" ref="CY178:CY178">AE178</f>
        <v>0</v>
      </c>
      <c r="CZ178" s="1182" cm="1" t="str">
        <f t="array" ref="CZ178:CZ178">AF178</f>
        <v>0</v>
      </c>
      <c r="DA178" s="1179"/>
      <c r="DB178" s="1179"/>
    </row>
    <row s="1632" customFormat="1" customHeight="1" ht="16.5">
      <c r="A179" s="1632"/>
      <c r="B179" s="1632"/>
      <c r="C179" s="1632"/>
      <c r="D179" s="1632"/>
      <c r="E179" s="797">
        <v>17.1</v>
      </c>
      <c r="F179" s="922" cm="1" t="str">
        <f t="array" ref="F179:F179">OFFSET(G179,-1,-1)</f>
        <v>1</v>
      </c>
      <c r="G179" s="1632"/>
      <c r="H179" s="1632"/>
      <c r="I179" s="1632"/>
      <c r="J179" s="1632"/>
      <c r="K179" s="1632"/>
      <c r="L179" s="922" cm="1" t="str">
        <f t="array" ref="L179:L179">OFFSET(M179,-1,-1)</f>
        <v>false</v>
      </c>
      <c r="M179" s="1632"/>
      <c r="N179" s="1632"/>
      <c r="O179" s="1632"/>
      <c r="P179" s="1632"/>
      <c r="Q179" s="1632"/>
      <c r="R179" s="1632"/>
      <c r="S179" s="159" cm="1" t="str">
        <f t="array" ref="S179:S179">OFFSET(T179,-1,-1)</f>
        <v>true</v>
      </c>
      <c r="T179" s="159">
        <f>AD179&lt;&gt;"21.0"</f>
        <v>1</v>
      </c>
      <c r="U179" s="819">
        <f>AND(S179,IF(ISBLANK(T179),TRUE,T179))</f>
        <v>1</v>
      </c>
      <c r="V179" s="1632"/>
      <c r="W179" s="1632"/>
      <c r="X179" s="159" t="str">
        <f>'Топливо 4.4'!$AE$175&amp;'Топливо 4.4'!$AF$175</f>
        <v>Уголь длиннопламенный</v>
      </c>
      <c r="Y179" s="1632"/>
      <c r="Z179" s="1632"/>
      <c r="AA179" s="1632"/>
      <c r="AB179" s="1489"/>
      <c r="AC179" s="0"/>
      <c r="AD179" s="160" t="s">
        <v>905</v>
      </c>
      <c r="AE179" s="974" cm="1" t="str">
        <f t="array" ref="AE179:AE179">IF(ISBLANK('Топливо 4.4'!$AE$175),"",'Топливо 4.4'!$AE$175)</f>
        <v>Уголь длиннопламенный</v>
      </c>
      <c r="AF179" s="625" cm="1" t="str">
        <f t="array" ref="AF179:AF179">IF(ISBLANK('Топливо 4.4'!$AF$175),"",'Топливо 4.4'!$AF$175)</f>
        <v/>
      </c>
      <c r="AG179" s="1815" t="str">
        <f>_xlfn.IFERROR(INDEX(fuel_ed_izm_list,MATCH(AE179,fuel_list,0)),"тнт")</f>
        <v>тнт</v>
      </c>
      <c r="AH179" s="1772">
        <f>_xlfn.IFERROR(AH167/AH175,0)</f>
        <v>2533.36971350614</v>
      </c>
      <c r="AI179" s="1772">
        <v>3562</v>
      </c>
      <c r="AJ179" s="1772">
        <f>_xlfn.IFERROR(AJ167/AJ175,0)</f>
        <v>2657.17142857143</v>
      </c>
      <c r="AK179" s="1772">
        <f>_xlfn.IFERROR(AK167/AK175,0)</f>
        <v>2301.85714285714</v>
      </c>
      <c r="AL179" s="860">
        <f>AM179+AN179</f>
        <v>2021.45</v>
      </c>
      <c r="AM179" s="1772">
        <v>1123.52</v>
      </c>
      <c r="AN179" s="1772">
        <v>897.93</v>
      </c>
      <c r="AO179" s="860">
        <f>AP179+AQ179</f>
        <v>0</v>
      </c>
      <c r="AP179" s="1772">
        <f>_xlfn.IFERROR(AP167/AP175,0)</f>
        <v>0</v>
      </c>
      <c r="AQ179" s="1772">
        <f>_xlfn.IFERROR(AQ167/AQ175,0)</f>
        <v>0</v>
      </c>
      <c r="AR179" s="860">
        <f>AS179+AT179</f>
        <v>0</v>
      </c>
      <c r="AS179" s="1772">
        <f>_xlfn.IFERROR(AS167/AS175,0)</f>
        <v>0</v>
      </c>
      <c r="AT179" s="1772">
        <f>_xlfn.IFERROR(AT167/AT175,0)</f>
        <v>0</v>
      </c>
      <c r="AU179" s="860">
        <f>AV179+AW179</f>
        <v>0</v>
      </c>
      <c r="AV179" s="1772">
        <f>_xlfn.IFERROR(AV167/AV175,0)</f>
        <v>0</v>
      </c>
      <c r="AW179" s="1772">
        <f>_xlfn.IFERROR(AW167/AW175,0)</f>
        <v>0</v>
      </c>
      <c r="AX179" s="860">
        <f>AY179+AZ179</f>
        <v>0</v>
      </c>
      <c r="AY179" s="1772">
        <f>_xlfn.IFERROR(AY167/AY175,0)</f>
        <v>0</v>
      </c>
      <c r="AZ179" s="1772">
        <f>_xlfn.IFERROR(AZ167/AZ175,0)</f>
        <v>0</v>
      </c>
      <c r="BA179" s="860">
        <f>BB179+BC179</f>
        <v>0</v>
      </c>
      <c r="BB179" s="1772">
        <f>_xlfn.IFERROR(BB167/BB175,0)</f>
        <v>0</v>
      </c>
      <c r="BC179" s="1772">
        <f>_xlfn.IFERROR(BC167/BC175,0)</f>
        <v>0</v>
      </c>
      <c r="BD179" s="860">
        <f>BE179+BF179</f>
        <v>0</v>
      </c>
      <c r="BE179" s="1772">
        <f>_xlfn.IFERROR(BE167/BE175,0)</f>
        <v>0</v>
      </c>
      <c r="BF179" s="1772">
        <f>_xlfn.IFERROR(BF167/BF175,0)</f>
        <v>0</v>
      </c>
      <c r="BG179" s="860">
        <f>BH179+BI179</f>
        <v>0</v>
      </c>
      <c r="BH179" s="1772">
        <f>_xlfn.IFERROR(BH167/BH175,0)</f>
        <v>0</v>
      </c>
      <c r="BI179" s="1772">
        <f>_xlfn.IFERROR(BI167/BI175,0)</f>
        <v>0</v>
      </c>
      <c r="BJ179" s="860">
        <f>BK179+BL179</f>
        <v>0</v>
      </c>
      <c r="BK179" s="1772">
        <f>_xlfn.IFERROR(BK167/BK175,0)</f>
        <v>0</v>
      </c>
      <c r="BL179" s="1772">
        <f>_xlfn.IFERROR(BL167/BL175,0)</f>
        <v>0</v>
      </c>
      <c r="BM179" s="860">
        <f>BN179+BO179</f>
        <v>0</v>
      </c>
      <c r="BN179" s="1772">
        <f>_xlfn.IFERROR(BN167/BN175,0)</f>
        <v>0</v>
      </c>
      <c r="BO179" s="1772">
        <f>_xlfn.IFERROR(BO167/BO175,0)</f>
        <v>0</v>
      </c>
      <c r="BP179" s="860">
        <f>BQ179+BR179</f>
        <v>2285.53191489362</v>
      </c>
      <c r="BQ179" s="979">
        <f>_xlfn.IFERROR(BQ167/BQ175,0)</f>
        <v>1270.29787234043</v>
      </c>
      <c r="BR179" s="979">
        <f>_xlfn.IFERROR(BR167/BR175,0)</f>
        <v>1015.23404255319</v>
      </c>
      <c r="BS179" s="860">
        <f>BT179+BU179</f>
        <v>0</v>
      </c>
      <c r="BT179" s="1772">
        <f>_xlfn.IFERROR(BT167/BT175,0)</f>
        <v>0</v>
      </c>
      <c r="BU179" s="1772">
        <f>_xlfn.IFERROR(BU167/BU175,0)</f>
        <v>0</v>
      </c>
      <c r="BV179" s="860">
        <f>BW179+BX179</f>
        <v>0</v>
      </c>
      <c r="BW179" s="1772">
        <f>_xlfn.IFERROR(BW167/BW175,0)</f>
        <v>0</v>
      </c>
      <c r="BX179" s="1772">
        <f>_xlfn.IFERROR(BX167/BX175,0)</f>
        <v>0</v>
      </c>
      <c r="BY179" s="860">
        <f>BZ179+CA179</f>
        <v>0</v>
      </c>
      <c r="BZ179" s="1772">
        <f>_xlfn.IFERROR(BZ167/BZ175,0)</f>
        <v>0</v>
      </c>
      <c r="CA179" s="1772">
        <f>_xlfn.IFERROR(CA167/CA175,0)</f>
        <v>0</v>
      </c>
      <c r="CB179" s="860">
        <f>CC179+CD179</f>
        <v>0</v>
      </c>
      <c r="CC179" s="1772">
        <f>_xlfn.IFERROR(CC167/CC175,0)</f>
        <v>0</v>
      </c>
      <c r="CD179" s="1772">
        <f>_xlfn.IFERROR(CD167/CD175,0)</f>
        <v>0</v>
      </c>
      <c r="CE179" s="860">
        <f>CF179+CG179</f>
        <v>0</v>
      </c>
      <c r="CF179" s="1772">
        <f>_xlfn.IFERROR(CF167/CF175,0)</f>
        <v>0</v>
      </c>
      <c r="CG179" s="1772">
        <f>_xlfn.IFERROR(CG167/CG175,0)</f>
        <v>0</v>
      </c>
      <c r="CH179" s="860">
        <f>CI179+CJ179</f>
        <v>0</v>
      </c>
      <c r="CI179" s="1772">
        <f>_xlfn.IFERROR(CI167/CI175,0)</f>
        <v>0</v>
      </c>
      <c r="CJ179" s="1772">
        <f>_xlfn.IFERROR(CJ167/CJ175,0)</f>
        <v>0</v>
      </c>
      <c r="CK179" s="860">
        <f>CL179+CM179</f>
        <v>0</v>
      </c>
      <c r="CL179" s="1772">
        <f>_xlfn.IFERROR(CL167/CL175,0)</f>
        <v>0</v>
      </c>
      <c r="CM179" s="1772">
        <f>_xlfn.IFERROR(CM167/CM175,0)</f>
        <v>0</v>
      </c>
      <c r="CN179" s="860">
        <f>CO179+CP179</f>
        <v>0</v>
      </c>
      <c r="CO179" s="1772">
        <f>_xlfn.IFERROR(CO167/CO175,0)</f>
        <v>0</v>
      </c>
      <c r="CP179" s="1772">
        <f>_xlfn.IFERROR(CP167/CP175,0)</f>
        <v>0</v>
      </c>
      <c r="CQ179" s="860">
        <f>CR179+CS179</f>
        <v>0</v>
      </c>
      <c r="CR179" s="1772">
        <f>_xlfn.IFERROR(CR167/CR175,0)</f>
        <v>0</v>
      </c>
      <c r="CS179" s="1772">
        <f>_xlfn.IFERROR(CS167/CS175,0)</f>
        <v>0</v>
      </c>
      <c r="CT179" s="1719"/>
      <c r="CU179" s="0"/>
      <c r="CV179" s="1632"/>
      <c r="CW179" s="1173" t="s">
        <v>800</v>
      </c>
      <c r="CX179" s="1178" t="s">
        <v>792</v>
      </c>
      <c r="CY179" s="1182" cm="1" t="str">
        <f t="array" ref="CY179:CY179">AE179</f>
        <v>Уголь длиннопламенный</v>
      </c>
      <c r="CZ179" s="1182" cm="1" t="str">
        <f t="array" ref="CZ179:CZ179">AF179</f>
        <v/>
      </c>
      <c r="DA179" s="1179"/>
      <c r="DB179" s="1179"/>
    </row>
    <row s="1632" customFormat="1" customHeight="1" ht="17.25" hidden="1">
      <c r="A180" s="1443"/>
      <c r="B180" s="927"/>
      <c r="C180" s="1443"/>
      <c r="D180" s="1443"/>
      <c r="E180" s="797">
        <v>0</v>
      </c>
      <c r="F180" s="922" cm="1" t="str">
        <f t="array" ref="F180:F180">OFFSET(G180,-1,-1)</f>
        <v>1</v>
      </c>
      <c r="G180" s="965"/>
      <c r="H180" s="965"/>
      <c r="I180" s="965"/>
      <c r="J180" s="965"/>
      <c r="K180" s="965"/>
      <c r="L180" s="922" cm="1" t="str">
        <f t="array" ref="L180:L180">OFFSET(M180,-1,-1)</f>
        <v>false</v>
      </c>
      <c r="M180" s="965"/>
      <c r="N180" s="965"/>
      <c r="O180" s="965"/>
      <c r="P180" s="965"/>
      <c r="Q180" s="965"/>
      <c r="R180" s="1443"/>
      <c r="S180" s="159" cm="1" t="str">
        <f t="array" ref="S180:S180">OFFSET(T180,-1,-1)</f>
        <v>true</v>
      </c>
      <c r="T180" s="1443"/>
      <c r="U180" s="819">
        <f>AND(S180,IF(ISBLANK(T180),TRUE,T180))</f>
        <v>1</v>
      </c>
      <c r="V180" s="1443"/>
      <c r="W180" s="1443"/>
      <c r="X180" s="973" t="str">
        <f>"{                  
         funcDyn: 'msg1',
         blok: 'blok_2',
         wsCross: 'Топливо 4.4',
         linkFormula: 'AE-AE#AF-AF',
         levelDyn: "&amp;Y139&amp;"
}"</f>
        <v>{                  
         funcDyn: 'msg1',
         blok: 'blok_2',
         wsCross: 'Топливо 4.4',
         linkFormula: 'AE-AE#AF-AF',
         levelDyn: 1
}</v>
      </c>
      <c r="Y180" s="1443"/>
      <c r="Z180" s="1443"/>
      <c r="AA180" s="820"/>
      <c r="AB180" s="1490"/>
      <c r="AC180" s="0"/>
      <c r="AD180" s="976"/>
      <c r="AE180" s="975" t="s">
        <v>236</v>
      </c>
      <c r="AF180" s="874"/>
      <c r="AG180" s="1014"/>
      <c r="AH180" s="861"/>
      <c r="AI180" s="863"/>
      <c r="AJ180" s="863"/>
      <c r="AK180" s="863"/>
      <c r="AL180" s="861"/>
      <c r="AM180" s="863"/>
      <c r="AN180" s="863"/>
      <c r="AO180" s="861"/>
      <c r="AP180" s="863"/>
      <c r="AQ180" s="863"/>
      <c r="AR180" s="861"/>
      <c r="AS180" s="863"/>
      <c r="AT180" s="863"/>
      <c r="AU180" s="861"/>
      <c r="AV180" s="863"/>
      <c r="AW180" s="863"/>
      <c r="AX180" s="861"/>
      <c r="AY180" s="863"/>
      <c r="AZ180" s="863"/>
      <c r="BA180" s="861"/>
      <c r="BB180" s="863"/>
      <c r="BC180" s="863"/>
      <c r="BD180" s="861"/>
      <c r="BE180" s="863"/>
      <c r="BF180" s="863"/>
      <c r="BG180" s="861"/>
      <c r="BH180" s="863"/>
      <c r="BI180" s="863"/>
      <c r="BJ180" s="861"/>
      <c r="BK180" s="863"/>
      <c r="BL180" s="863"/>
      <c r="BM180" s="861"/>
      <c r="BN180" s="863"/>
      <c r="BO180" s="863"/>
      <c r="BP180" s="861"/>
      <c r="BQ180" s="863"/>
      <c r="BR180" s="863"/>
      <c r="BS180" s="861"/>
      <c r="BT180" s="863"/>
      <c r="BU180" s="863"/>
      <c r="BV180" s="861"/>
      <c r="BW180" s="863"/>
      <c r="BX180" s="863"/>
      <c r="BY180" s="861"/>
      <c r="BZ180" s="863"/>
      <c r="CA180" s="863"/>
      <c r="CB180" s="861"/>
      <c r="CC180" s="863"/>
      <c r="CD180" s="863"/>
      <c r="CE180" s="861"/>
      <c r="CF180" s="863"/>
      <c r="CG180" s="863"/>
      <c r="CH180" s="861"/>
      <c r="CI180" s="863"/>
      <c r="CJ180" s="863"/>
      <c r="CK180" s="861"/>
      <c r="CL180" s="863"/>
      <c r="CM180" s="863"/>
      <c r="CN180" s="861"/>
      <c r="CO180" s="863"/>
      <c r="CP180" s="863"/>
      <c r="CQ180" s="861"/>
      <c r="CR180" s="863"/>
      <c r="CS180" s="863"/>
      <c r="CT180" s="91"/>
      <c r="CU180" s="0"/>
      <c r="CV180" s="1632"/>
      <c r="CW180" s="1173" t="str">
        <f>IF(AND(ISNUMBER(VALUE(TRIM(SUBSTITUTE(AD180,".","")))),TRIM(SUBSTITUTE(AD180,".",""))&lt;&gt;""),"P"&amp;SUBSTITUTE(AD180,".",""),"")</f>
        <v/>
      </c>
      <c r="CX180" s="1178"/>
      <c r="CY180" s="1178"/>
      <c r="CZ180" s="1178"/>
      <c r="DA180" s="1179"/>
      <c r="DB180" s="1179"/>
    </row>
    <row s="1632" customFormat="1" customHeight="1" ht="16.5">
      <c r="A181" s="1443"/>
      <c r="B181" s="927"/>
      <c r="C181" s="1443"/>
      <c r="D181" s="1443"/>
      <c r="E181" s="797">
        <v>17.1</v>
      </c>
      <c r="F181" s="922" cm="1" t="str">
        <f t="array" ref="F181:F181">OFFSET(G181,-1,-1)</f>
        <v>1</v>
      </c>
      <c r="G181" s="965"/>
      <c r="H181" s="965"/>
      <c r="I181" s="965"/>
      <c r="J181" s="965"/>
      <c r="K181" s="965"/>
      <c r="L181" s="922" cm="1" t="str">
        <f t="array" ref="L181:L181">OFFSET(M181,-1,-1)</f>
        <v>false</v>
      </c>
      <c r="M181" s="965"/>
      <c r="N181" s="965"/>
      <c r="O181" s="965"/>
      <c r="P181" s="965"/>
      <c r="Q181" s="965"/>
      <c r="R181" s="1443"/>
      <c r="S181" s="159" cm="1" t="str">
        <f t="array" ref="S181:S181">OFFSET(T181,-1,-1)</f>
        <v>true</v>
      </c>
      <c r="T181" s="1443"/>
      <c r="U181" s="819">
        <f>AND(S181,IF(ISBLANK(T181),TRUE,T181))</f>
        <v>1</v>
      </c>
      <c r="V181" s="1443"/>
      <c r="W181" s="1443"/>
      <c r="X181" s="1443"/>
      <c r="Y181" s="1443"/>
      <c r="Z181" s="1443"/>
      <c r="AA181" s="820"/>
      <c r="AB181" s="1485" t="s">
        <v>802</v>
      </c>
      <c r="AC181" s="0"/>
      <c r="AD181" s="160">
        <v>22</v>
      </c>
      <c r="AE181" s="1498" t="s">
        <v>803</v>
      </c>
      <c r="AF181" s="168"/>
      <c r="AG181" s="741"/>
      <c r="AH181" s="861"/>
      <c r="AI181" s="863"/>
      <c r="AJ181" s="863"/>
      <c r="AK181" s="863"/>
      <c r="AL181" s="863"/>
      <c r="AM181" s="863"/>
      <c r="AN181" s="863"/>
      <c r="AO181" s="863"/>
      <c r="AP181" s="863"/>
      <c r="AQ181" s="863"/>
      <c r="AR181" s="863"/>
      <c r="AS181" s="863"/>
      <c r="AT181" s="863"/>
      <c r="AU181" s="863"/>
      <c r="AV181" s="863"/>
      <c r="AW181" s="863"/>
      <c r="AX181" s="863"/>
      <c r="AY181" s="863"/>
      <c r="AZ181" s="863"/>
      <c r="BA181" s="863"/>
      <c r="BB181" s="863"/>
      <c r="BC181" s="863"/>
      <c r="BD181" s="863"/>
      <c r="BE181" s="863"/>
      <c r="BF181" s="863"/>
      <c r="BG181" s="863"/>
      <c r="BH181" s="863"/>
      <c r="BI181" s="863"/>
      <c r="BJ181" s="863"/>
      <c r="BK181" s="863"/>
      <c r="BL181" s="863"/>
      <c r="BM181" s="863"/>
      <c r="BN181" s="863"/>
      <c r="BO181" s="863"/>
      <c r="BP181" s="863"/>
      <c r="BQ181" s="863"/>
      <c r="BR181" s="863"/>
      <c r="BS181" s="863"/>
      <c r="BT181" s="863"/>
      <c r="BU181" s="863"/>
      <c r="BV181" s="863"/>
      <c r="BW181" s="863"/>
      <c r="BX181" s="863"/>
      <c r="BY181" s="863"/>
      <c r="BZ181" s="863"/>
      <c r="CA181" s="863"/>
      <c r="CB181" s="863"/>
      <c r="CC181" s="863"/>
      <c r="CD181" s="863"/>
      <c r="CE181" s="863"/>
      <c r="CF181" s="863"/>
      <c r="CG181" s="863"/>
      <c r="CH181" s="863"/>
      <c r="CI181" s="863"/>
      <c r="CJ181" s="863"/>
      <c r="CK181" s="863"/>
      <c r="CL181" s="863"/>
      <c r="CM181" s="863"/>
      <c r="CN181" s="863"/>
      <c r="CO181" s="863"/>
      <c r="CP181" s="863"/>
      <c r="CQ181" s="863"/>
      <c r="CR181" s="863"/>
      <c r="CS181" s="863"/>
      <c r="CT181" s="1719"/>
      <c r="CU181" s="0"/>
      <c r="CV181" s="1632"/>
      <c r="CW181" s="1173" t="s">
        <v>804</v>
      </c>
      <c r="CX181" s="1178"/>
      <c r="CY181" s="1178"/>
      <c r="CZ181" s="1178"/>
      <c r="DA181" s="1179"/>
      <c r="DB181" s="1179"/>
    </row>
    <row s="1632" customFormat="1" customHeight="1" ht="16.5" hidden="1">
      <c r="E182" s="797">
        <v>17.1</v>
      </c>
      <c r="F182" s="922" cm="1" t="str">
        <f t="array" ref="F182:F182">OFFSET(G182,-1,-1)</f>
        <v>1</v>
      </c>
      <c r="L182" s="922" cm="1" t="str">
        <f t="array" ref="L182:L182">OFFSET(M182,-1,-1)</f>
        <v>false</v>
      </c>
      <c r="S182" s="159" cm="1" t="str">
        <f t="array" ref="S182:S182">OFFSET(T182,-1,-1)</f>
        <v>true</v>
      </c>
      <c r="T182" s="159">
        <f>AD182&lt;&gt;"22.0"</f>
        <v>0</v>
      </c>
      <c r="U182" s="819">
        <f>AND(S182,IF(ISBLANK(T182),TRUE,T182))</f>
        <v>0</v>
      </c>
      <c r="X182" s="159" t="s">
        <v>234</v>
      </c>
      <c r="AB182" s="1486"/>
      <c r="AD182" s="160" t="s">
        <v>805</v>
      </c>
      <c r="AE182" s="974"/>
      <c r="AF182" s="625"/>
      <c r="AG182" s="1014" t="s">
        <v>498</v>
      </c>
      <c r="AH182" s="92"/>
      <c r="AI182" s="93"/>
      <c r="AJ182" s="93"/>
      <c r="AK182" s="93"/>
      <c r="AL182" s="1040"/>
      <c r="AM182" s="93"/>
      <c r="AN182" s="93"/>
      <c r="AO182" s="1040"/>
      <c r="AP182" s="93"/>
      <c r="AQ182" s="93"/>
      <c r="AR182" s="1040"/>
      <c r="AS182" s="93"/>
      <c r="AT182" s="93"/>
      <c r="AU182" s="1040"/>
      <c r="AV182" s="93"/>
      <c r="AW182" s="93"/>
      <c r="AX182" s="1040"/>
      <c r="AY182" s="93"/>
      <c r="AZ182" s="93"/>
      <c r="BA182" s="1040"/>
      <c r="BB182" s="93"/>
      <c r="BC182" s="93"/>
      <c r="BD182" s="1040"/>
      <c r="BE182" s="93"/>
      <c r="BF182" s="93"/>
      <c r="BG182" s="1040"/>
      <c r="BH182" s="93"/>
      <c r="BI182" s="93"/>
      <c r="BJ182" s="1040"/>
      <c r="BK182" s="93"/>
      <c r="BL182" s="93"/>
      <c r="BM182" s="1040"/>
      <c r="BN182" s="93"/>
      <c r="BO182" s="93"/>
      <c r="BP182" s="1040"/>
      <c r="BQ182" s="1861"/>
      <c r="BR182" s="1039"/>
      <c r="BS182" s="1040"/>
      <c r="BT182" s="93"/>
      <c r="BU182" s="93"/>
      <c r="BV182" s="1040"/>
      <c r="BW182" s="93"/>
      <c r="BX182" s="93"/>
      <c r="BY182" s="1040"/>
      <c r="BZ182" s="93"/>
      <c r="CA182" s="93"/>
      <c r="CB182" s="1040"/>
      <c r="CC182" s="93"/>
      <c r="CD182" s="93"/>
      <c r="CE182" s="1040"/>
      <c r="CF182" s="93"/>
      <c r="CG182" s="93"/>
      <c r="CH182" s="1040"/>
      <c r="CI182" s="93"/>
      <c r="CJ182" s="93"/>
      <c r="CK182" s="1040"/>
      <c r="CL182" s="93"/>
      <c r="CM182" s="93"/>
      <c r="CN182" s="1040"/>
      <c r="CO182" s="93"/>
      <c r="CP182" s="93"/>
      <c r="CQ182" s="1040"/>
      <c r="CR182" s="93"/>
      <c r="CS182" s="93"/>
      <c r="CT182" s="73"/>
      <c r="CW182" s="1173" t="s">
        <v>804</v>
      </c>
      <c r="CX182" s="1178" t="s">
        <v>792</v>
      </c>
      <c r="CY182" s="1182" cm="1" t="str">
        <f t="array" ref="CY182:CY182">AE182</f>
        <v>0</v>
      </c>
      <c r="CZ182" s="1182" cm="1" t="str">
        <f t="array" ref="CZ182:CZ182">AF182</f>
        <v>0</v>
      </c>
      <c r="DA182" s="1179"/>
      <c r="DB182" s="1179"/>
    </row>
    <row s="1632" customFormat="1" customHeight="1" ht="16.5">
      <c r="A183" s="1632"/>
      <c r="B183" s="1632"/>
      <c r="C183" s="1632"/>
      <c r="D183" s="1632"/>
      <c r="E183" s="797">
        <v>17.1</v>
      </c>
      <c r="F183" s="922" cm="1" t="str">
        <f t="array" ref="F183:F183">OFFSET(G183,-1,-1)</f>
        <v>1</v>
      </c>
      <c r="G183" s="1632"/>
      <c r="H183" s="1632"/>
      <c r="I183" s="1632"/>
      <c r="J183" s="1632"/>
      <c r="K183" s="1632"/>
      <c r="L183" s="922" cm="1" t="str">
        <f t="array" ref="L183:L183">OFFSET(M183,-1,-1)</f>
        <v>false</v>
      </c>
      <c r="M183" s="1632"/>
      <c r="N183" s="1632"/>
      <c r="O183" s="1632"/>
      <c r="P183" s="1632"/>
      <c r="Q183" s="1632"/>
      <c r="R183" s="1632"/>
      <c r="S183" s="159" cm="1" t="str">
        <f t="array" ref="S183:S183">OFFSET(T183,-1,-1)</f>
        <v>true</v>
      </c>
      <c r="T183" s="159">
        <f>AD183&lt;&gt;"22.0"</f>
        <v>1</v>
      </c>
      <c r="U183" s="819">
        <f>AND(S183,IF(ISBLANK(T183),TRUE,T183))</f>
        <v>1</v>
      </c>
      <c r="V183" s="1632"/>
      <c r="W183" s="1632"/>
      <c r="X183" s="159" t="str">
        <f>'Топливо 4.4'!$AE$179&amp;'Топливо 4.4'!$AF$179</f>
        <v>Уголь длиннопламенный</v>
      </c>
      <c r="Y183" s="1632"/>
      <c r="Z183" s="1632"/>
      <c r="AA183" s="1632"/>
      <c r="AB183" s="1486"/>
      <c r="AC183" s="0"/>
      <c r="AD183" s="160" t="s">
        <v>906</v>
      </c>
      <c r="AE183" s="974" cm="1" t="str">
        <f t="array" ref="AE183:AE183">IF(ISBLANK('Топливо 4.4'!$AE$179),"",'Топливо 4.4'!$AE$179)</f>
        <v>Уголь длиннопламенный</v>
      </c>
      <c r="AF183" s="625" cm="1" t="str">
        <f t="array" ref="AF183:AF183">IF(ISBLANK('Топливо 4.4'!$AF$179),"",'Топливо 4.4'!$AF$179)</f>
        <v/>
      </c>
      <c r="AG183" s="1014" t="s">
        <v>498</v>
      </c>
      <c r="AH183" s="1862"/>
      <c r="AI183" s="1820"/>
      <c r="AJ183" s="1820"/>
      <c r="AK183" s="1820"/>
      <c r="AL183" s="1040"/>
      <c r="AM183" s="1820"/>
      <c r="AN183" s="1820"/>
      <c r="AO183" s="1040"/>
      <c r="AP183" s="1820"/>
      <c r="AQ183" s="1820"/>
      <c r="AR183" s="1040"/>
      <c r="AS183" s="1820"/>
      <c r="AT183" s="1820"/>
      <c r="AU183" s="1040"/>
      <c r="AV183" s="1820"/>
      <c r="AW183" s="1820"/>
      <c r="AX183" s="1040"/>
      <c r="AY183" s="1820"/>
      <c r="AZ183" s="1820"/>
      <c r="BA183" s="1040"/>
      <c r="BB183" s="1820"/>
      <c r="BC183" s="1820"/>
      <c r="BD183" s="1040"/>
      <c r="BE183" s="1820"/>
      <c r="BF183" s="1820"/>
      <c r="BG183" s="1040"/>
      <c r="BH183" s="1820"/>
      <c r="BI183" s="1820"/>
      <c r="BJ183" s="1040"/>
      <c r="BK183" s="1820"/>
      <c r="BL183" s="1820"/>
      <c r="BM183" s="1040"/>
      <c r="BN183" s="1820"/>
      <c r="BO183" s="1820"/>
      <c r="BP183" s="1040"/>
      <c r="BQ183" s="1039"/>
      <c r="BR183" s="1039"/>
      <c r="BS183" s="1040"/>
      <c r="BT183" s="1820"/>
      <c r="BU183" s="1820"/>
      <c r="BV183" s="1040"/>
      <c r="BW183" s="1820"/>
      <c r="BX183" s="1820"/>
      <c r="BY183" s="1040"/>
      <c r="BZ183" s="1820"/>
      <c r="CA183" s="1820"/>
      <c r="CB183" s="1040"/>
      <c r="CC183" s="1820"/>
      <c r="CD183" s="1820"/>
      <c r="CE183" s="1040"/>
      <c r="CF183" s="1820"/>
      <c r="CG183" s="1820"/>
      <c r="CH183" s="1040"/>
      <c r="CI183" s="1820"/>
      <c r="CJ183" s="1820"/>
      <c r="CK183" s="1040"/>
      <c r="CL183" s="1820"/>
      <c r="CM183" s="1820"/>
      <c r="CN183" s="1040"/>
      <c r="CO183" s="1820"/>
      <c r="CP183" s="1820"/>
      <c r="CQ183" s="1040"/>
      <c r="CR183" s="1820"/>
      <c r="CS183" s="1820"/>
      <c r="CT183" s="1719"/>
      <c r="CU183" s="0"/>
      <c r="CV183" s="1632"/>
      <c r="CW183" s="1173" t="s">
        <v>804</v>
      </c>
      <c r="CX183" s="1178" t="s">
        <v>792</v>
      </c>
      <c r="CY183" s="1182" cm="1" t="str">
        <f t="array" ref="CY183:CY183">AE183</f>
        <v>Уголь длиннопламенный</v>
      </c>
      <c r="CZ183" s="1182" cm="1" t="str">
        <f t="array" ref="CZ183:CZ183">AF183</f>
        <v/>
      </c>
      <c r="DA183" s="1179"/>
      <c r="DB183" s="1179"/>
    </row>
    <row s="1632" customFormat="1" customHeight="1" ht="17.25" hidden="1">
      <c r="A184" s="1443"/>
      <c r="B184" s="927"/>
      <c r="C184" s="1443"/>
      <c r="D184" s="1443"/>
      <c r="E184" s="797">
        <v>0</v>
      </c>
      <c r="F184" s="922" cm="1" t="str">
        <f t="array" ref="F184:F184">OFFSET(G184,-1,-1)</f>
        <v>1</v>
      </c>
      <c r="G184" s="965"/>
      <c r="H184" s="965"/>
      <c r="I184" s="965"/>
      <c r="J184" s="965"/>
      <c r="K184" s="965"/>
      <c r="L184" s="922" cm="1" t="str">
        <f t="array" ref="L184:L184">OFFSET(M184,-1,-1)</f>
        <v>false</v>
      </c>
      <c r="M184" s="965"/>
      <c r="N184" s="965"/>
      <c r="O184" s="965"/>
      <c r="P184" s="965"/>
      <c r="Q184" s="965"/>
      <c r="R184" s="1443"/>
      <c r="S184" s="159" cm="1" t="str">
        <f t="array" ref="S184:S184">OFFSET(T184,-1,-1)</f>
        <v>true</v>
      </c>
      <c r="T184" s="1443"/>
      <c r="U184" s="819">
        <f>AND(S184,IF(ISBLANK(T184),TRUE,T184))</f>
        <v>1</v>
      </c>
      <c r="V184" s="1443"/>
      <c r="W184" s="1443"/>
      <c r="X184" s="973" t="str">
        <f>"{                  
         funcDyn: 'msg1',
         blok: 'blok_2',
         wsCross: 'Топливо 4.4',
         linkFormula: 'AE-AE#AF-AF',
         levelDyn: "&amp;Y139&amp;"
}"</f>
        <v>{                  
         funcDyn: 'msg1',
         blok: 'blok_2',
         wsCross: 'Топливо 4.4',
         linkFormula: 'AE-AE#AF-AF',
         levelDyn: 1
}</v>
      </c>
      <c r="Y184" s="1443"/>
      <c r="Z184" s="1443"/>
      <c r="AA184" s="820"/>
      <c r="AB184" s="1486"/>
      <c r="AC184" s="0"/>
      <c r="AD184" s="976"/>
      <c r="AE184" s="975" t="s">
        <v>236</v>
      </c>
      <c r="AF184" s="874"/>
      <c r="AG184" s="1014"/>
      <c r="AH184" s="861"/>
      <c r="AI184" s="863"/>
      <c r="AJ184" s="863"/>
      <c r="AK184" s="863"/>
      <c r="AL184" s="863"/>
      <c r="AM184" s="863"/>
      <c r="AN184" s="863"/>
      <c r="AO184" s="863"/>
      <c r="AP184" s="863"/>
      <c r="AQ184" s="863"/>
      <c r="AR184" s="863"/>
      <c r="AS184" s="863"/>
      <c r="AT184" s="863"/>
      <c r="AU184" s="863"/>
      <c r="AV184" s="863"/>
      <c r="AW184" s="863"/>
      <c r="AX184" s="863"/>
      <c r="AY184" s="863"/>
      <c r="AZ184" s="863"/>
      <c r="BA184" s="863"/>
      <c r="BB184" s="863"/>
      <c r="BC184" s="863"/>
      <c r="BD184" s="863"/>
      <c r="BE184" s="863"/>
      <c r="BF184" s="863"/>
      <c r="BG184" s="863"/>
      <c r="BH184" s="863"/>
      <c r="BI184" s="863"/>
      <c r="BJ184" s="863"/>
      <c r="BK184" s="863"/>
      <c r="BL184" s="863"/>
      <c r="BM184" s="863"/>
      <c r="BN184" s="863"/>
      <c r="BO184" s="863"/>
      <c r="BP184" s="863"/>
      <c r="BQ184" s="863"/>
      <c r="BR184" s="863"/>
      <c r="BS184" s="863"/>
      <c r="BT184" s="863"/>
      <c r="BU184" s="863"/>
      <c r="BV184" s="863"/>
      <c r="BW184" s="863"/>
      <c r="BX184" s="863"/>
      <c r="BY184" s="863"/>
      <c r="BZ184" s="863"/>
      <c r="CA184" s="863"/>
      <c r="CB184" s="863"/>
      <c r="CC184" s="863"/>
      <c r="CD184" s="863"/>
      <c r="CE184" s="863"/>
      <c r="CF184" s="863"/>
      <c r="CG184" s="863"/>
      <c r="CH184" s="863"/>
      <c r="CI184" s="863"/>
      <c r="CJ184" s="863"/>
      <c r="CK184" s="863"/>
      <c r="CL184" s="863"/>
      <c r="CM184" s="863"/>
      <c r="CN184" s="863"/>
      <c r="CO184" s="863"/>
      <c r="CP184" s="863"/>
      <c r="CQ184" s="863"/>
      <c r="CR184" s="863"/>
      <c r="CS184" s="863"/>
      <c r="CT184" s="91"/>
      <c r="CU184" s="0"/>
      <c r="CV184" s="1632"/>
      <c r="CW184" s="1173" t="str">
        <f>IF(AND(ISNUMBER(VALUE(TRIM(SUBSTITUTE(AD184,".","")))),TRIM(SUBSTITUTE(AD184,".",""))&lt;&gt;""),"P"&amp;SUBSTITUTE(AD184,".",""),"")</f>
        <v/>
      </c>
      <c r="CX184" s="1178"/>
      <c r="CY184" s="1178"/>
      <c r="CZ184" s="1178"/>
      <c r="DA184" s="1179"/>
      <c r="DB184" s="1179"/>
    </row>
    <row s="1632" customFormat="1" customHeight="1" ht="16.5">
      <c r="A185" s="1443"/>
      <c r="B185" s="927"/>
      <c r="C185" s="1443"/>
      <c r="D185" s="1443"/>
      <c r="E185" s="797">
        <v>17.1</v>
      </c>
      <c r="F185" s="922" cm="1" t="str">
        <f t="array" ref="F185:F185">OFFSET(G185,-1,-1)</f>
        <v>1</v>
      </c>
      <c r="G185" s="965"/>
      <c r="H185" s="965"/>
      <c r="I185" s="965"/>
      <c r="J185" s="965"/>
      <c r="K185" s="965"/>
      <c r="L185" s="922" cm="1" t="str">
        <f t="array" ref="L185:L185">OFFSET(M185,-1,-1)</f>
        <v>false</v>
      </c>
      <c r="M185" s="965"/>
      <c r="N185" s="965"/>
      <c r="O185" s="965"/>
      <c r="P185" s="965"/>
      <c r="Q185" s="965"/>
      <c r="R185" s="1443"/>
      <c r="S185" s="159" cm="1" t="str">
        <f t="array" ref="S185:S185">OFFSET(T185,-1,-1)</f>
        <v>true</v>
      </c>
      <c r="T185" s="1443"/>
      <c r="U185" s="819">
        <f>AND(S185,IF(ISBLANK(T185),TRUE,T185))</f>
        <v>1</v>
      </c>
      <c r="V185" s="1443"/>
      <c r="W185" s="1443"/>
      <c r="X185" s="1443"/>
      <c r="Y185" s="1443"/>
      <c r="Z185" s="1443"/>
      <c r="AA185" s="820"/>
      <c r="AB185" s="1486"/>
      <c r="AC185" s="0"/>
      <c r="AD185" s="160">
        <v>23</v>
      </c>
      <c r="AE185" s="1498" t="s">
        <v>806</v>
      </c>
      <c r="AF185" s="168"/>
      <c r="AG185" s="741"/>
      <c r="AH185" s="861"/>
      <c r="AI185" s="863"/>
      <c r="AJ185" s="863"/>
      <c r="AK185" s="863"/>
      <c r="AL185" s="863"/>
      <c r="AM185" s="863"/>
      <c r="AN185" s="863"/>
      <c r="AO185" s="863"/>
      <c r="AP185" s="863"/>
      <c r="AQ185" s="863"/>
      <c r="AR185" s="863"/>
      <c r="AS185" s="863"/>
      <c r="AT185" s="863"/>
      <c r="AU185" s="863"/>
      <c r="AV185" s="863"/>
      <c r="AW185" s="863"/>
      <c r="AX185" s="863"/>
      <c r="AY185" s="863"/>
      <c r="AZ185" s="863"/>
      <c r="BA185" s="863"/>
      <c r="BB185" s="863"/>
      <c r="BC185" s="863"/>
      <c r="BD185" s="863"/>
      <c r="BE185" s="863"/>
      <c r="BF185" s="863"/>
      <c r="BG185" s="863"/>
      <c r="BH185" s="863"/>
      <c r="BI185" s="863"/>
      <c r="BJ185" s="863"/>
      <c r="BK185" s="863"/>
      <c r="BL185" s="863"/>
      <c r="BM185" s="863"/>
      <c r="BN185" s="863"/>
      <c r="BO185" s="863"/>
      <c r="BP185" s="863"/>
      <c r="BQ185" s="863"/>
      <c r="BR185" s="863"/>
      <c r="BS185" s="863"/>
      <c r="BT185" s="863"/>
      <c r="BU185" s="863"/>
      <c r="BV185" s="863"/>
      <c r="BW185" s="863"/>
      <c r="BX185" s="863"/>
      <c r="BY185" s="863"/>
      <c r="BZ185" s="863"/>
      <c r="CA185" s="863"/>
      <c r="CB185" s="863"/>
      <c r="CC185" s="863"/>
      <c r="CD185" s="863"/>
      <c r="CE185" s="863"/>
      <c r="CF185" s="863"/>
      <c r="CG185" s="863"/>
      <c r="CH185" s="863"/>
      <c r="CI185" s="863"/>
      <c r="CJ185" s="863"/>
      <c r="CK185" s="863"/>
      <c r="CL185" s="863"/>
      <c r="CM185" s="863"/>
      <c r="CN185" s="863"/>
      <c r="CO185" s="863"/>
      <c r="CP185" s="863"/>
      <c r="CQ185" s="863"/>
      <c r="CR185" s="863"/>
      <c r="CS185" s="863"/>
      <c r="CT185" s="1719"/>
      <c r="CU185" s="0"/>
      <c r="CV185" s="1632"/>
      <c r="CW185" s="1173" t="s">
        <v>807</v>
      </c>
      <c r="CX185" s="1178"/>
      <c r="CY185" s="1178"/>
      <c r="CZ185" s="1178"/>
      <c r="DA185" s="1179"/>
      <c r="DB185" s="1179"/>
    </row>
    <row s="1632" customFormat="1" customHeight="1" ht="16.5" hidden="1">
      <c r="E186" s="797">
        <v>17.1</v>
      </c>
      <c r="F186" s="922" cm="1" t="str">
        <f t="array" ref="F186:F186">OFFSET(G186,-1,-1)</f>
        <v>1</v>
      </c>
      <c r="L186" s="922" cm="1" t="str">
        <f t="array" ref="L186:L186">OFFSET(M186,-1,-1)</f>
        <v>false</v>
      </c>
      <c r="S186" s="159" cm="1" t="str">
        <f t="array" ref="S186:S186">OFFSET(T186,-1,-1)</f>
        <v>true</v>
      </c>
      <c r="T186" s="159">
        <f>AD186&lt;&gt;"23.0"</f>
        <v>0</v>
      </c>
      <c r="U186" s="819">
        <f>AND(S186,IF(ISBLANK(T186),TRUE,T186))</f>
        <v>0</v>
      </c>
      <c r="X186" s="159" t="s">
        <v>234</v>
      </c>
      <c r="AB186" s="1486"/>
      <c r="AD186" s="160" t="s">
        <v>808</v>
      </c>
      <c r="AE186" s="974"/>
      <c r="AF186" s="625"/>
      <c r="AG186" s="1815"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2">
        <f>_xlfn.IFERROR(AL191/AL178,0)*1000</f>
        <v>0</v>
      </c>
      <c r="AM186" s="87"/>
      <c r="AN186" s="87"/>
      <c r="AO186" s="862">
        <f>_xlfn.IFERROR(AO191/AO178,0)*1000</f>
        <v>0</v>
      </c>
      <c r="AP186" s="87"/>
      <c r="AQ186" s="87"/>
      <c r="AR186" s="862">
        <f>_xlfn.IFERROR(AR191/AR178,0)*1000</f>
        <v>0</v>
      </c>
      <c r="AS186" s="87"/>
      <c r="AT186" s="87"/>
      <c r="AU186" s="862">
        <f>_xlfn.IFERROR(AU191/AU178,0)*1000</f>
        <v>0</v>
      </c>
      <c r="AV186" s="87"/>
      <c r="AW186" s="87"/>
      <c r="AX186" s="862">
        <f>_xlfn.IFERROR(AX191/AX178,0)*1000</f>
        <v>0</v>
      </c>
      <c r="AY186" s="87"/>
      <c r="AZ186" s="87"/>
      <c r="BA186" s="862">
        <f>_xlfn.IFERROR(BA191/BA178,0)*1000</f>
        <v>0</v>
      </c>
      <c r="BB186" s="87"/>
      <c r="BC186" s="87"/>
      <c r="BD186" s="862">
        <f>_xlfn.IFERROR(BD191/BD178,0)*1000</f>
        <v>0</v>
      </c>
      <c r="BE186" s="87"/>
      <c r="BF186" s="87"/>
      <c r="BG186" s="862">
        <f>_xlfn.IFERROR(BG191/BG178,0)*1000</f>
        <v>0</v>
      </c>
      <c r="BH186" s="87"/>
      <c r="BI186" s="87"/>
      <c r="BJ186" s="862">
        <f>_xlfn.IFERROR(BJ191/BJ178,0)*1000</f>
        <v>0</v>
      </c>
      <c r="BK186" s="87"/>
      <c r="BL186" s="87"/>
      <c r="BM186" s="862">
        <f>_xlfn.IFERROR(BM191/BM178,0)*1000</f>
        <v>0</v>
      </c>
      <c r="BN186" s="87"/>
      <c r="BO186" s="87"/>
      <c r="BP186" s="862">
        <f>_xlfn.IFERROR(BP191/BP178,0)*1000</f>
        <v>0</v>
      </c>
      <c r="BQ186" s="979"/>
      <c r="BR186" s="979"/>
      <c r="BS186" s="862">
        <f>_xlfn.IFERROR(BS191/BS178,0)*1000</f>
        <v>0</v>
      </c>
      <c r="BT186" s="87"/>
      <c r="BU186" s="87"/>
      <c r="BV186" s="862">
        <f>_xlfn.IFERROR(BV191/BV178,0)*1000</f>
        <v>0</v>
      </c>
      <c r="BW186" s="87"/>
      <c r="BX186" s="87"/>
      <c r="BY186" s="862">
        <f>_xlfn.IFERROR(BY191/BY178,0)*1000</f>
        <v>0</v>
      </c>
      <c r="BZ186" s="87"/>
      <c r="CA186" s="87"/>
      <c r="CB186" s="862">
        <f>_xlfn.IFERROR(CB191/CB178,0)*1000</f>
        <v>0</v>
      </c>
      <c r="CC186" s="87"/>
      <c r="CD186" s="87"/>
      <c r="CE186" s="862">
        <f>_xlfn.IFERROR(CE191/CE178,0)*1000</f>
        <v>0</v>
      </c>
      <c r="CF186" s="87"/>
      <c r="CG186" s="87"/>
      <c r="CH186" s="862">
        <f>_xlfn.IFERROR(CH191/CH178,0)*1000</f>
        <v>0</v>
      </c>
      <c r="CI186" s="87"/>
      <c r="CJ186" s="87"/>
      <c r="CK186" s="862">
        <f>_xlfn.IFERROR(CK191/CK178,0)*1000</f>
        <v>0</v>
      </c>
      <c r="CL186" s="87"/>
      <c r="CM186" s="87"/>
      <c r="CN186" s="862">
        <f>_xlfn.IFERROR(CN191/CN178,0)*1000</f>
        <v>0</v>
      </c>
      <c r="CO186" s="87"/>
      <c r="CP186" s="87"/>
      <c r="CQ186" s="862">
        <f>_xlfn.IFERROR(CQ191/CQ178,0)*1000</f>
        <v>0</v>
      </c>
      <c r="CR186" s="87"/>
      <c r="CS186" s="87"/>
      <c r="CT186" s="73"/>
      <c r="CW186" s="1173" t="s">
        <v>807</v>
      </c>
      <c r="CX186" s="1178" t="s">
        <v>792</v>
      </c>
      <c r="CY186" s="1182" cm="1" t="str">
        <f t="array" ref="CY186:CY186">AE186</f>
        <v>0</v>
      </c>
      <c r="CZ186" s="1182" cm="1" t="str">
        <f t="array" ref="CZ186:CZ186">AF186</f>
        <v>0</v>
      </c>
      <c r="DA186" s="1179"/>
      <c r="DB186" s="1179"/>
    </row>
    <row s="1632" customFormat="1" customHeight="1" ht="16.5">
      <c r="A187" s="1632"/>
      <c r="B187" s="1632"/>
      <c r="C187" s="1632"/>
      <c r="D187" s="1632"/>
      <c r="E187" s="797">
        <v>17.1</v>
      </c>
      <c r="F187" s="922" cm="1" t="str">
        <f t="array" ref="F187:F187">OFFSET(G187,-1,-1)</f>
        <v>1</v>
      </c>
      <c r="G187" s="1632"/>
      <c r="H187" s="1632"/>
      <c r="I187" s="1632"/>
      <c r="J187" s="1632"/>
      <c r="K187" s="1632"/>
      <c r="L187" s="922" cm="1" t="str">
        <f t="array" ref="L187:L187">OFFSET(M187,-1,-1)</f>
        <v>false</v>
      </c>
      <c r="M187" s="1632"/>
      <c r="N187" s="1632"/>
      <c r="O187" s="1632"/>
      <c r="P187" s="1632"/>
      <c r="Q187" s="1632"/>
      <c r="R187" s="1632"/>
      <c r="S187" s="159" cm="1" t="str">
        <f t="array" ref="S187:S187">OFFSET(T187,-1,-1)</f>
        <v>true</v>
      </c>
      <c r="T187" s="159">
        <f>AD187&lt;&gt;"23.0"</f>
        <v>1</v>
      </c>
      <c r="U187" s="819">
        <f>AND(S187,IF(ISBLANK(T187),TRUE,T187))</f>
        <v>1</v>
      </c>
      <c r="V187" s="1632"/>
      <c r="W187" s="1632"/>
      <c r="X187" s="159" t="str">
        <f>'Топливо 4.4'!$AE$183&amp;'Топливо 4.4'!$AF$183</f>
        <v>Уголь длиннопламенный</v>
      </c>
      <c r="Y187" s="1632"/>
      <c r="Z187" s="1632"/>
      <c r="AA187" s="1632"/>
      <c r="AB187" s="1486"/>
      <c r="AC187" s="0"/>
      <c r="AD187" s="160" t="s">
        <v>907</v>
      </c>
      <c r="AE187" s="974" cm="1" t="str">
        <f t="array" ref="AE187:AE187">IF(ISBLANK('Топливо 4.4'!$AE$183),"",'Топливо 4.4'!$AE$183)</f>
        <v>Уголь длиннопламенный</v>
      </c>
      <c r="AF187" s="625" cm="1" t="str">
        <f t="array" ref="AF187:AF187">IF(ISBLANK('Топливо 4.4'!$AF$183),"",'Топливо 4.4'!$AF$183)</f>
        <v/>
      </c>
      <c r="AG187" s="1815" t="str">
        <f>"руб./"&amp;_xlfn.IFERROR(INDEX(fuel_ed_izm_list,MATCH(AE187,fuel_list,0)),"")</f>
        <v>руб./тнт</v>
      </c>
      <c r="AH187" s="1791">
        <f>_xlfn.IFERROR(AH192/AH179,0)*1000</f>
        <v>1769.40616922282</v>
      </c>
      <c r="AI187" s="1772">
        <f>_xlfn.IFERROR(AI192/AI179,0)*1000</f>
        <v>1728.27905670971</v>
      </c>
      <c r="AJ187" s="1772">
        <f>_xlfn.IFERROR(AJ192/AJ179,0)*1000</f>
        <v>1728.28141632886</v>
      </c>
      <c r="AK187" s="1772">
        <f>_xlfn.IFERROR(AK192/AK179,0)*1000</f>
        <v>1697.01235027618</v>
      </c>
      <c r="AL187" s="862">
        <f>_xlfn.IFERROR(AL192/AL179,0)*1000</f>
        <v>2289.78208711568</v>
      </c>
      <c r="AM187" s="1772">
        <v>2289.78</v>
      </c>
      <c r="AN187" s="1772">
        <v>2289.78</v>
      </c>
      <c r="AO187" s="862">
        <f>_xlfn.IFERROR(AO192/AO179,0)*1000</f>
        <v>0</v>
      </c>
      <c r="AP187" s="1772"/>
      <c r="AQ187" s="1772"/>
      <c r="AR187" s="862">
        <f>_xlfn.IFERROR(AR192/AR179,0)*1000</f>
        <v>0</v>
      </c>
      <c r="AS187" s="1772"/>
      <c r="AT187" s="1772"/>
      <c r="AU187" s="862">
        <f>_xlfn.IFERROR(AU192/AU179,0)*1000</f>
        <v>0</v>
      </c>
      <c r="AV187" s="1772"/>
      <c r="AW187" s="1772"/>
      <c r="AX187" s="862">
        <f>_xlfn.IFERROR(AX192/AX179,0)*1000</f>
        <v>0</v>
      </c>
      <c r="AY187" s="1772"/>
      <c r="AZ187" s="1772"/>
      <c r="BA187" s="862">
        <f>_xlfn.IFERROR(BA192/BA179,0)*1000</f>
        <v>0</v>
      </c>
      <c r="BB187" s="1772"/>
      <c r="BC187" s="1772"/>
      <c r="BD187" s="862">
        <f>_xlfn.IFERROR(BD192/BD179,0)*1000</f>
        <v>0</v>
      </c>
      <c r="BE187" s="1772"/>
      <c r="BF187" s="1772"/>
      <c r="BG187" s="862">
        <f>_xlfn.IFERROR(BG192/BG179,0)*1000</f>
        <v>0</v>
      </c>
      <c r="BH187" s="1772"/>
      <c r="BI187" s="1772"/>
      <c r="BJ187" s="862">
        <f>_xlfn.IFERROR(BJ192/BJ179,0)*1000</f>
        <v>0</v>
      </c>
      <c r="BK187" s="1772"/>
      <c r="BL187" s="1772"/>
      <c r="BM187" s="862">
        <f>_xlfn.IFERROR(BM192/BM179,0)*1000</f>
        <v>0</v>
      </c>
      <c r="BN187" s="1772"/>
      <c r="BO187" s="1772"/>
      <c r="BP187" s="862">
        <f>_xlfn.IFERROR(BP192/BP179,0)*1000</f>
        <v>1962.54</v>
      </c>
      <c r="BQ187" s="979">
        <v>1962.54</v>
      </c>
      <c r="BR187" s="979">
        <v>1962.54</v>
      </c>
      <c r="BS187" s="862">
        <f>_xlfn.IFERROR(BS192/BS179,0)*1000</f>
        <v>0</v>
      </c>
      <c r="BT187" s="1772"/>
      <c r="BU187" s="1772"/>
      <c r="BV187" s="862">
        <f>_xlfn.IFERROR(BV192/BV179,0)*1000</f>
        <v>0</v>
      </c>
      <c r="BW187" s="1772"/>
      <c r="BX187" s="1772"/>
      <c r="BY187" s="862">
        <f>_xlfn.IFERROR(BY192/BY179,0)*1000</f>
        <v>0</v>
      </c>
      <c r="BZ187" s="1772"/>
      <c r="CA187" s="1772"/>
      <c r="CB187" s="862">
        <f>_xlfn.IFERROR(CB192/CB179,0)*1000</f>
        <v>0</v>
      </c>
      <c r="CC187" s="1772"/>
      <c r="CD187" s="1772"/>
      <c r="CE187" s="862">
        <f>_xlfn.IFERROR(CE192/CE179,0)*1000</f>
        <v>0</v>
      </c>
      <c r="CF187" s="1772"/>
      <c r="CG187" s="1772"/>
      <c r="CH187" s="862">
        <f>_xlfn.IFERROR(CH192/CH179,0)*1000</f>
        <v>0</v>
      </c>
      <c r="CI187" s="1772"/>
      <c r="CJ187" s="1772"/>
      <c r="CK187" s="862">
        <f>_xlfn.IFERROR(CK192/CK179,0)*1000</f>
        <v>0</v>
      </c>
      <c r="CL187" s="1772"/>
      <c r="CM187" s="1772"/>
      <c r="CN187" s="862">
        <f>_xlfn.IFERROR(CN192/CN179,0)*1000</f>
        <v>0</v>
      </c>
      <c r="CO187" s="1772"/>
      <c r="CP187" s="1772"/>
      <c r="CQ187" s="862">
        <f>_xlfn.IFERROR(CQ192/CQ179,0)*1000</f>
        <v>0</v>
      </c>
      <c r="CR187" s="1772"/>
      <c r="CS187" s="1772"/>
      <c r="CT187" s="1719"/>
      <c r="CU187" s="0"/>
      <c r="CV187" s="1632"/>
      <c r="CW187" s="1173" t="s">
        <v>807</v>
      </c>
      <c r="CX187" s="1178" t="s">
        <v>792</v>
      </c>
      <c r="CY187" s="1182" cm="1" t="str">
        <f t="array" ref="CY187:CY187">AE187</f>
        <v>Уголь длиннопламенный</v>
      </c>
      <c r="CZ187" s="1182" cm="1" t="str">
        <f t="array" ref="CZ187:CZ187">AF187</f>
        <v/>
      </c>
      <c r="DA187" s="1179"/>
      <c r="DB187" s="1179"/>
    </row>
    <row s="1632" customFormat="1" customHeight="1" ht="17.25" hidden="1">
      <c r="A188" s="1443"/>
      <c r="B188" s="927"/>
      <c r="C188" s="1443"/>
      <c r="D188" s="1443"/>
      <c r="E188" s="797">
        <v>0</v>
      </c>
      <c r="F188" s="922" cm="1" t="str">
        <f t="array" ref="F188:F188">OFFSET(G188,-1,-1)</f>
        <v>1</v>
      </c>
      <c r="G188" s="965"/>
      <c r="H188" s="965"/>
      <c r="I188" s="965"/>
      <c r="J188" s="965"/>
      <c r="K188" s="965"/>
      <c r="L188" s="922" cm="1" t="str">
        <f t="array" ref="L188:L188">OFFSET(M188,-1,-1)</f>
        <v>false</v>
      </c>
      <c r="M188" s="965"/>
      <c r="N188" s="965"/>
      <c r="O188" s="965"/>
      <c r="P188" s="965"/>
      <c r="Q188" s="965"/>
      <c r="R188" s="1443"/>
      <c r="S188" s="159" cm="1" t="str">
        <f t="array" ref="S188:S188">OFFSET(T188,-1,-1)</f>
        <v>true</v>
      </c>
      <c r="T188" s="1443"/>
      <c r="U188" s="819">
        <f>AND(S188,IF(ISBLANK(T188),TRUE,T188))</f>
        <v>1</v>
      </c>
      <c r="V188" s="1443"/>
      <c r="W188" s="1443"/>
      <c r="X188" s="973" t="str">
        <f>"{                  
         funcDyn: 'msg1',
         blok: 'blok_2',
         wsCross: 'Топливо 4.4',
         linkFormula: 'AE-AE#AF-AF',
         levelDyn: "&amp;Y139&amp;"
}"</f>
        <v>{                  
         funcDyn: 'msg1',
         blok: 'blok_2',
         wsCross: 'Топливо 4.4',
         linkFormula: 'AE-AE#AF-AF',
         levelDyn: 1
}</v>
      </c>
      <c r="Y188" s="1443"/>
      <c r="Z188" s="1443"/>
      <c r="AA188" s="820"/>
      <c r="AB188" s="1486"/>
      <c r="AC188" s="0"/>
      <c r="AD188" s="976"/>
      <c r="AE188" s="975" t="s">
        <v>236</v>
      </c>
      <c r="AF188" s="874"/>
      <c r="AG188" s="1014"/>
      <c r="AH188" s="861"/>
      <c r="AI188" s="863"/>
      <c r="AJ188" s="863"/>
      <c r="AK188" s="863"/>
      <c r="AL188" s="863"/>
      <c r="AM188" s="863"/>
      <c r="AN188" s="863"/>
      <c r="AO188" s="863"/>
      <c r="AP188" s="863"/>
      <c r="AQ188" s="863"/>
      <c r="AR188" s="863"/>
      <c r="AS188" s="863"/>
      <c r="AT188" s="863"/>
      <c r="AU188" s="863"/>
      <c r="AV188" s="863"/>
      <c r="AW188" s="863"/>
      <c r="AX188" s="863"/>
      <c r="AY188" s="863"/>
      <c r="AZ188" s="863"/>
      <c r="BA188" s="863"/>
      <c r="BB188" s="863"/>
      <c r="BC188" s="863"/>
      <c r="BD188" s="863"/>
      <c r="BE188" s="863"/>
      <c r="BF188" s="863"/>
      <c r="BG188" s="863"/>
      <c r="BH188" s="863"/>
      <c r="BI188" s="863"/>
      <c r="BJ188" s="863"/>
      <c r="BK188" s="863"/>
      <c r="BL188" s="863"/>
      <c r="BM188" s="863"/>
      <c r="BN188" s="863"/>
      <c r="BO188" s="863"/>
      <c r="BP188" s="863"/>
      <c r="BQ188" s="863"/>
      <c r="BR188" s="863"/>
      <c r="BS188" s="863"/>
      <c r="BT188" s="863"/>
      <c r="BU188" s="863"/>
      <c r="BV188" s="863"/>
      <c r="BW188" s="863"/>
      <c r="BX188" s="863"/>
      <c r="BY188" s="863"/>
      <c r="BZ188" s="863"/>
      <c r="CA188" s="863"/>
      <c r="CB188" s="863"/>
      <c r="CC188" s="863"/>
      <c r="CD188" s="863"/>
      <c r="CE188" s="863"/>
      <c r="CF188" s="863"/>
      <c r="CG188" s="863"/>
      <c r="CH188" s="863"/>
      <c r="CI188" s="863"/>
      <c r="CJ188" s="863"/>
      <c r="CK188" s="863"/>
      <c r="CL188" s="863"/>
      <c r="CM188" s="863"/>
      <c r="CN188" s="863"/>
      <c r="CO188" s="863"/>
      <c r="CP188" s="863"/>
      <c r="CQ188" s="863"/>
      <c r="CR188" s="863"/>
      <c r="CS188" s="863"/>
      <c r="CT188" s="91"/>
      <c r="CU188" s="0"/>
      <c r="CV188" s="1632"/>
      <c r="CW188" s="1173" t="str">
        <f>IF(AND(ISNUMBER(VALUE(TRIM(SUBSTITUTE(AD188,".","")))),TRIM(SUBSTITUTE(AD188,".",""))&lt;&gt;""),"P"&amp;SUBSTITUTE(AD188,".",""),"")</f>
        <v/>
      </c>
      <c r="CX188" s="1178"/>
      <c r="CY188" s="1178"/>
      <c r="CZ188" s="1178"/>
      <c r="DA188" s="1179"/>
      <c r="DB188" s="1179"/>
    </row>
    <row s="1632" customFormat="1" customHeight="1" ht="16.5">
      <c r="A189" s="1443"/>
      <c r="B189" s="927"/>
      <c r="C189" s="1443"/>
      <c r="D189" s="1443"/>
      <c r="E189" s="797">
        <v>17.1</v>
      </c>
      <c r="F189" s="922" cm="1" t="str">
        <f t="array" ref="F189:F189">OFFSET(G189,-1,-1)</f>
        <v>1</v>
      </c>
      <c r="G189" s="965"/>
      <c r="H189" s="965"/>
      <c r="I189" s="965"/>
      <c r="J189" s="965"/>
      <c r="K189" s="965"/>
      <c r="L189" s="922" cm="1" t="str">
        <f t="array" ref="L189:L189">OFFSET(M189,-1,-1)</f>
        <v>false</v>
      </c>
      <c r="M189" s="965"/>
      <c r="N189" s="965"/>
      <c r="O189" s="965"/>
      <c r="P189" s="965"/>
      <c r="Q189" s="965"/>
      <c r="R189" s="1443"/>
      <c r="S189" s="159" cm="1" t="str">
        <f t="array" ref="S189:S189">OFFSET(T189,-1,-1)</f>
        <v>true</v>
      </c>
      <c r="T189" s="1443"/>
      <c r="U189" s="819">
        <f>AND(S189,IF(ISBLANK(T189),TRUE,T189))</f>
        <v>1</v>
      </c>
      <c r="V189" s="1443"/>
      <c r="W189" s="1443"/>
      <c r="X189" s="1443"/>
      <c r="Y189" s="1443"/>
      <c r="Z189" s="1443"/>
      <c r="AA189" s="820"/>
      <c r="AB189" s="1486"/>
      <c r="AC189" s="0"/>
      <c r="AD189" s="160">
        <v>24</v>
      </c>
      <c r="AE189" s="1498" t="s">
        <v>809</v>
      </c>
      <c r="AF189" s="168"/>
      <c r="AG189" s="1014" t="s">
        <v>810</v>
      </c>
      <c r="AH189" s="860">
        <f>SUM(AH191:AH193)</f>
        <v>4482.56</v>
      </c>
      <c r="AI189" s="860">
        <f>SUM(AI191:AI193)</f>
        <v>6156.13</v>
      </c>
      <c r="AJ189" s="860">
        <f>SUM(AJ191:AJ193)</f>
        <v>4592.34</v>
      </c>
      <c r="AK189" s="860">
        <f>SUM(AK191:AK193)</f>
        <v>3906.28</v>
      </c>
      <c r="AL189" s="860">
        <f>SUM(AL191:AL193)</f>
        <v>4628.68</v>
      </c>
      <c r="AM189" s="860">
        <f>SUM(AM191:AM193)</f>
        <v>2572.62</v>
      </c>
      <c r="AN189" s="860">
        <f>SUM(AN191:AN193)</f>
        <v>2056.06</v>
      </c>
      <c r="AO189" s="860">
        <f>SUM(AO191:AO193)</f>
        <v>0</v>
      </c>
      <c r="AP189" s="860">
        <f>SUM(AP191:AP193)</f>
        <v>0</v>
      </c>
      <c r="AQ189" s="860">
        <f>SUM(AQ191:AQ193)</f>
        <v>0</v>
      </c>
      <c r="AR189" s="860">
        <f>SUM(AR191:AR193)</f>
        <v>0</v>
      </c>
      <c r="AS189" s="860">
        <f>SUM(AS191:AS193)</f>
        <v>0</v>
      </c>
      <c r="AT189" s="860">
        <f>SUM(AT191:AT193)</f>
        <v>0</v>
      </c>
      <c r="AU189" s="860">
        <f>SUM(AU191:AU193)</f>
        <v>0</v>
      </c>
      <c r="AV189" s="860">
        <f>SUM(AV191:AV193)</f>
        <v>0</v>
      </c>
      <c r="AW189" s="860">
        <f>SUM(AW191:AW193)</f>
        <v>0</v>
      </c>
      <c r="AX189" s="860">
        <f>SUM(AX191:AX193)</f>
        <v>0</v>
      </c>
      <c r="AY189" s="860">
        <f>SUM(AY191:AY193)</f>
        <v>0</v>
      </c>
      <c r="AZ189" s="860">
        <f>SUM(AZ191:AZ193)</f>
        <v>0</v>
      </c>
      <c r="BA189" s="860">
        <f>SUM(BA191:BA193)</f>
        <v>0</v>
      </c>
      <c r="BB189" s="860">
        <f>SUM(BB191:BB193)</f>
        <v>0</v>
      </c>
      <c r="BC189" s="860">
        <f>SUM(BC191:BC193)</f>
        <v>0</v>
      </c>
      <c r="BD189" s="860">
        <f>SUM(BD191:BD193)</f>
        <v>0</v>
      </c>
      <c r="BE189" s="860">
        <f>SUM(BE191:BE193)</f>
        <v>0</v>
      </c>
      <c r="BF189" s="860">
        <f>SUM(BF191:BF193)</f>
        <v>0</v>
      </c>
      <c r="BG189" s="860">
        <f>SUM(BG191:BG193)</f>
        <v>0</v>
      </c>
      <c r="BH189" s="860">
        <f>SUM(BH191:BH193)</f>
        <v>0</v>
      </c>
      <c r="BI189" s="860">
        <f>SUM(BI191:BI193)</f>
        <v>0</v>
      </c>
      <c r="BJ189" s="860">
        <f>SUM(BJ191:BJ193)</f>
        <v>0</v>
      </c>
      <c r="BK189" s="860">
        <f>SUM(BK191:BK193)</f>
        <v>0</v>
      </c>
      <c r="BL189" s="860">
        <f>SUM(BL191:BL193)</f>
        <v>0</v>
      </c>
      <c r="BM189" s="860">
        <f>SUM(BM191:BM193)</f>
        <v>0</v>
      </c>
      <c r="BN189" s="860">
        <f>SUM(BN191:BN193)</f>
        <v>0</v>
      </c>
      <c r="BO189" s="860">
        <f>SUM(BO191:BO193)</f>
        <v>0</v>
      </c>
      <c r="BP189" s="860">
        <f>SUM(BP191:BP193)</f>
        <v>4485.44780425533</v>
      </c>
      <c r="BQ189" s="860">
        <f>SUM(BQ191:BQ193)</f>
        <v>2493.01038638299</v>
      </c>
      <c r="BR189" s="860">
        <f>SUM(BR191:BR193)</f>
        <v>1992.43741787234</v>
      </c>
      <c r="BS189" s="860">
        <f>SUM(BS191:BS193)</f>
        <v>0</v>
      </c>
      <c r="BT189" s="860">
        <f>SUM(BT191:BT193)</f>
        <v>0</v>
      </c>
      <c r="BU189" s="860">
        <f>SUM(BU191:BU193)</f>
        <v>0</v>
      </c>
      <c r="BV189" s="860">
        <f>SUM(BV191:BV193)</f>
        <v>0</v>
      </c>
      <c r="BW189" s="860">
        <f>SUM(BW191:BW193)</f>
        <v>0</v>
      </c>
      <c r="BX189" s="860">
        <f>SUM(BX191:BX193)</f>
        <v>0</v>
      </c>
      <c r="BY189" s="860">
        <f>SUM(BY191:BY193)</f>
        <v>0</v>
      </c>
      <c r="BZ189" s="860">
        <f>SUM(BZ191:BZ193)</f>
        <v>0</v>
      </c>
      <c r="CA189" s="860">
        <f>SUM(CA191:CA193)</f>
        <v>0</v>
      </c>
      <c r="CB189" s="860">
        <f>SUM(CB191:CB193)</f>
        <v>0</v>
      </c>
      <c r="CC189" s="860">
        <f>SUM(CC191:CC193)</f>
        <v>0</v>
      </c>
      <c r="CD189" s="860">
        <f>SUM(CD191:CD193)</f>
        <v>0</v>
      </c>
      <c r="CE189" s="860">
        <f>SUM(CE191:CE193)</f>
        <v>0</v>
      </c>
      <c r="CF189" s="860">
        <f>SUM(CF191:CF193)</f>
        <v>0</v>
      </c>
      <c r="CG189" s="860">
        <f>SUM(CG191:CG193)</f>
        <v>0</v>
      </c>
      <c r="CH189" s="860">
        <f>SUM(CH191:CH193)</f>
        <v>0</v>
      </c>
      <c r="CI189" s="860">
        <f>SUM(CI191:CI193)</f>
        <v>0</v>
      </c>
      <c r="CJ189" s="860">
        <f>SUM(CJ191:CJ193)</f>
        <v>0</v>
      </c>
      <c r="CK189" s="860">
        <f>SUM(CK191:CK193)</f>
        <v>0</v>
      </c>
      <c r="CL189" s="860">
        <f>SUM(CL191:CL193)</f>
        <v>0</v>
      </c>
      <c r="CM189" s="860">
        <f>SUM(CM191:CM193)</f>
        <v>0</v>
      </c>
      <c r="CN189" s="860">
        <f>SUM(CN191:CN193)</f>
        <v>0</v>
      </c>
      <c r="CO189" s="860">
        <f>SUM(CO191:CO193)</f>
        <v>0</v>
      </c>
      <c r="CP189" s="860">
        <f>SUM(CP191:CP193)</f>
        <v>0</v>
      </c>
      <c r="CQ189" s="860">
        <f>SUM(CQ191:CQ193)</f>
        <v>0</v>
      </c>
      <c r="CR189" s="860">
        <f>SUM(CR191:CR193)</f>
        <v>0</v>
      </c>
      <c r="CS189" s="860">
        <f>SUM(CS191:CS193)</f>
        <v>0</v>
      </c>
      <c r="CT189" s="1719"/>
      <c r="CU189" s="0"/>
      <c r="CV189" s="1632"/>
      <c r="CW189" s="1173" t="s">
        <v>811</v>
      </c>
      <c r="CX189" s="1178"/>
      <c r="CY189" s="1178"/>
      <c r="CZ189" s="1178"/>
      <c r="DA189" s="1179"/>
      <c r="DB189" s="1179"/>
    </row>
    <row s="1632" customFormat="1" customHeight="1" ht="16.5" hidden="1">
      <c r="A190" s="1443"/>
      <c r="B190" s="927"/>
      <c r="C190" s="1443"/>
      <c r="D190" s="1443"/>
      <c r="E190" s="797">
        <v>17.1</v>
      </c>
      <c r="F190" s="922" cm="1" t="str">
        <f t="array" ref="F190:F190">OFFSET(G190,-1,-1)</f>
        <v>1</v>
      </c>
      <c r="G190" s="965"/>
      <c r="H190" s="965"/>
      <c r="I190" s="965"/>
      <c r="J190" s="965"/>
      <c r="K190" s="965"/>
      <c r="L190" s="922" cm="1" t="str">
        <f t="array" ref="L190:L190">OFFSET(M190,-1,-1)</f>
        <v>false</v>
      </c>
      <c r="M190" s="965"/>
      <c r="N190" s="965"/>
      <c r="O190" s="965"/>
      <c r="P190" s="965"/>
      <c r="Q190" s="965"/>
      <c r="R190" s="922" t="s">
        <v>730</v>
      </c>
      <c r="S190" s="159" cm="1" t="str">
        <f t="array" ref="S190:S190">OFFSET(T190,-1,-1)</f>
        <v>true</v>
      </c>
      <c r="T190" s="922" t="b">
        <v>0</v>
      </c>
      <c r="U190" s="819">
        <f>AND(S190,IF(ISBLANK(T190),TRUE,T190))</f>
        <v>0</v>
      </c>
      <c r="V190" s="1443"/>
      <c r="W190" s="1443"/>
      <c r="X190" s="1443"/>
      <c r="Y190" s="1443"/>
      <c r="Z190" s="1443"/>
      <c r="AA190" s="820"/>
      <c r="AB190" s="1486"/>
      <c r="AC190" s="0"/>
      <c r="AD190" s="160" t="str">
        <f>AD189&amp;".0"</f>
        <v>24.0</v>
      </c>
      <c r="AE190" s="1510" t="s">
        <v>741</v>
      </c>
      <c r="AF190" s="165"/>
      <c r="AG190" s="1014" t="s">
        <v>810</v>
      </c>
      <c r="AH190" s="86">
        <f>AH$163*AH189/1000</f>
        <v>4.48256</v>
      </c>
      <c r="AI190" s="86">
        <f>AI$163*AI189/1000</f>
        <v>6.15613</v>
      </c>
      <c r="AJ190" s="86">
        <f>AJ$163*AJ189/1000</f>
        <v>4.59234</v>
      </c>
      <c r="AK190" s="86">
        <f>AK$163*AK189/1000</f>
        <v>3.90628</v>
      </c>
      <c r="AL190" s="862">
        <f>AM190+AN190</f>
        <v>4628.68</v>
      </c>
      <c r="AM190" s="87">
        <f>AM$163*AM189</f>
        <v>2572.62</v>
      </c>
      <c r="AN190" s="87">
        <f>AN$163*AN189</f>
        <v>2056.06</v>
      </c>
      <c r="AO190" s="862">
        <f>AP190+AQ190</f>
        <v>0</v>
      </c>
      <c r="AP190" s="87">
        <f>AP$163*AP189</f>
        <v>0</v>
      </c>
      <c r="AQ190" s="87">
        <f>AQ$163*AQ189</f>
        <v>0</v>
      </c>
      <c r="AR190" s="862">
        <f>AS190+AT190</f>
        <v>0</v>
      </c>
      <c r="AS190" s="87">
        <f>AS$163*AS189</f>
        <v>0</v>
      </c>
      <c r="AT190" s="87">
        <f>AT$163*AT189</f>
        <v>0</v>
      </c>
      <c r="AU190" s="862">
        <f>AV190+AW190</f>
        <v>0</v>
      </c>
      <c r="AV190" s="87">
        <f>AV$163*AV189</f>
        <v>0</v>
      </c>
      <c r="AW190" s="87">
        <f>AW$163*AW189</f>
        <v>0</v>
      </c>
      <c r="AX190" s="862">
        <f>AY190+AZ190</f>
        <v>0</v>
      </c>
      <c r="AY190" s="87">
        <f>AY$163*AY189</f>
        <v>0</v>
      </c>
      <c r="AZ190" s="87">
        <f>AZ$163*AZ189</f>
        <v>0</v>
      </c>
      <c r="BA190" s="862">
        <f>BB190+BC190</f>
        <v>0</v>
      </c>
      <c r="BB190" s="87">
        <f>BB$163*BB189</f>
        <v>0</v>
      </c>
      <c r="BC190" s="87">
        <f>BC$163*BC189</f>
        <v>0</v>
      </c>
      <c r="BD190" s="862">
        <f>BE190+BF190</f>
        <v>0</v>
      </c>
      <c r="BE190" s="87">
        <f>BE$163*BE189</f>
        <v>0</v>
      </c>
      <c r="BF190" s="87">
        <f>BF$163*BF189</f>
        <v>0</v>
      </c>
      <c r="BG190" s="862">
        <f>BH190+BI190</f>
        <v>0</v>
      </c>
      <c r="BH190" s="87">
        <f>BH$163*BH189</f>
        <v>0</v>
      </c>
      <c r="BI190" s="87">
        <f>BI$163*BI189</f>
        <v>0</v>
      </c>
      <c r="BJ190" s="862">
        <f>BK190+BL190</f>
        <v>0</v>
      </c>
      <c r="BK190" s="87">
        <f>BK$163*BK189</f>
        <v>0</v>
      </c>
      <c r="BL190" s="87">
        <f>BL$163*BL189</f>
        <v>0</v>
      </c>
      <c r="BM190" s="862">
        <f>BN190+BO190</f>
        <v>0</v>
      </c>
      <c r="BN190" s="87">
        <f>BN$163*BN189</f>
        <v>0</v>
      </c>
      <c r="BO190" s="87">
        <f>BO$163*BO189</f>
        <v>0</v>
      </c>
      <c r="BP190" s="862">
        <f>BQ190+BR190</f>
        <v>4485.44780425533</v>
      </c>
      <c r="BQ190" s="1772">
        <f>BQ$163*BQ189</f>
        <v>2493.01038638299</v>
      </c>
      <c r="BR190" s="1772">
        <f>BR$163*BR189</f>
        <v>1992.43741787234</v>
      </c>
      <c r="BS190" s="862">
        <f>BT190+BU190</f>
        <v>0</v>
      </c>
      <c r="BT190" s="87">
        <f>BT$163*BT189</f>
        <v>0</v>
      </c>
      <c r="BU190" s="87">
        <f>BU$163*BU189</f>
        <v>0</v>
      </c>
      <c r="BV190" s="862">
        <f>BW190+BX190</f>
        <v>0</v>
      </c>
      <c r="BW190" s="87">
        <f>BW$163*BW189</f>
        <v>0</v>
      </c>
      <c r="BX190" s="87">
        <f>BX$163*BX189</f>
        <v>0</v>
      </c>
      <c r="BY190" s="862">
        <f>BZ190+CA190</f>
        <v>0</v>
      </c>
      <c r="BZ190" s="87">
        <f>BZ$163*BZ189</f>
        <v>0</v>
      </c>
      <c r="CA190" s="87">
        <f>CA$163*CA189</f>
        <v>0</v>
      </c>
      <c r="CB190" s="862">
        <f>CC190+CD190</f>
        <v>0</v>
      </c>
      <c r="CC190" s="87">
        <f>CC$163*CC189</f>
        <v>0</v>
      </c>
      <c r="CD190" s="87">
        <f>CD$163*CD189</f>
        <v>0</v>
      </c>
      <c r="CE190" s="862">
        <f>CF190+CG190</f>
        <v>0</v>
      </c>
      <c r="CF190" s="87">
        <f>CF$163*CF189</f>
        <v>0</v>
      </c>
      <c r="CG190" s="87">
        <f>CG$163*CG189</f>
        <v>0</v>
      </c>
      <c r="CH190" s="862">
        <f>CI190+CJ190</f>
        <v>0</v>
      </c>
      <c r="CI190" s="87">
        <f>CI$163*CI189</f>
        <v>0</v>
      </c>
      <c r="CJ190" s="87">
        <f>CJ$163*CJ189</f>
        <v>0</v>
      </c>
      <c r="CK190" s="862">
        <f>CL190+CM190</f>
        <v>0</v>
      </c>
      <c r="CL190" s="87">
        <f>CL$163*CL189</f>
        <v>0</v>
      </c>
      <c r="CM190" s="87">
        <f>CM$163*CM189</f>
        <v>0</v>
      </c>
      <c r="CN190" s="862">
        <f>CO190+CP190</f>
        <v>0</v>
      </c>
      <c r="CO190" s="87">
        <f>CO$163*CO189</f>
        <v>0</v>
      </c>
      <c r="CP190" s="87">
        <f>CP$163*CP189</f>
        <v>0</v>
      </c>
      <c r="CQ190" s="862">
        <f>CR190+CS190</f>
        <v>0</v>
      </c>
      <c r="CR190" s="87">
        <f>CR$163*CR189</f>
        <v>0</v>
      </c>
      <c r="CS190" s="87">
        <f>CS$163*CS189</f>
        <v>0</v>
      </c>
      <c r="CT190" s="73"/>
      <c r="CU190" s="0"/>
      <c r="CV190" s="1632"/>
      <c r="CW190" s="1173" t="s">
        <v>812</v>
      </c>
      <c r="CX190" s="1178"/>
      <c r="CY190" s="1178"/>
      <c r="CZ190" s="1178"/>
      <c r="DA190" s="1179"/>
      <c r="DB190" s="1179"/>
    </row>
    <row s="1632" customFormat="1" customHeight="1" ht="16.5" hidden="1">
      <c r="E191" s="797">
        <v>17.1</v>
      </c>
      <c r="F191" s="922" cm="1" t="str">
        <f t="array" ref="F191:F191">OFFSET(G191,-1,-1)</f>
        <v>1</v>
      </c>
      <c r="L191" s="922" cm="1" t="str">
        <f t="array" ref="L191:L191">OFFSET(M191,-1,-1)</f>
        <v>false</v>
      </c>
      <c r="S191" s="159" cm="1" t="str">
        <f t="array" ref="S191:S191">OFFSET(T191,-1,-1)</f>
        <v>true</v>
      </c>
      <c r="T191" s="159">
        <f>AD191&lt;&gt;"24.0"</f>
        <v>0</v>
      </c>
      <c r="U191" s="819">
        <f>AND(S191,IF(ISBLANK(T191),TRUE,T191))</f>
        <v>0</v>
      </c>
      <c r="X191" s="159" t="s">
        <v>234</v>
      </c>
      <c r="AB191" s="1486"/>
      <c r="AD191" s="160" t="s">
        <v>813</v>
      </c>
      <c r="AE191" s="974"/>
      <c r="AF191" s="625"/>
      <c r="AG191" s="1014" t="s">
        <v>810</v>
      </c>
      <c r="AH191" s="86"/>
      <c r="AI191" s="87"/>
      <c r="AJ191" s="87"/>
      <c r="AK191" s="87"/>
      <c r="AL191" s="862">
        <f>AM191+AN191</f>
        <v>0</v>
      </c>
      <c r="AM191" s="87">
        <f>AM186*AM178/1000</f>
        <v>0</v>
      </c>
      <c r="AN191" s="87">
        <f>AN186*AN178/1000</f>
        <v>0</v>
      </c>
      <c r="AO191" s="862">
        <f>AP191+AQ191</f>
        <v>0</v>
      </c>
      <c r="AP191" s="87">
        <f>AP186*AP178/1000</f>
        <v>0</v>
      </c>
      <c r="AQ191" s="87">
        <f>AQ186*AQ178/1000</f>
        <v>0</v>
      </c>
      <c r="AR191" s="862">
        <f>AS191+AT191</f>
        <v>0</v>
      </c>
      <c r="AS191" s="87">
        <f>AS186*AS178/1000</f>
        <v>0</v>
      </c>
      <c r="AT191" s="87">
        <f>AT186*AT178/1000</f>
        <v>0</v>
      </c>
      <c r="AU191" s="862">
        <f>AV191+AW191</f>
        <v>0</v>
      </c>
      <c r="AV191" s="87">
        <f>AV186*AV178/1000</f>
        <v>0</v>
      </c>
      <c r="AW191" s="87">
        <f>AW186*AW178/1000</f>
        <v>0</v>
      </c>
      <c r="AX191" s="862">
        <f>AY191+AZ191</f>
        <v>0</v>
      </c>
      <c r="AY191" s="87">
        <f>AY186*AY178/1000</f>
        <v>0</v>
      </c>
      <c r="AZ191" s="87">
        <f>AZ186*AZ178/1000</f>
        <v>0</v>
      </c>
      <c r="BA191" s="862">
        <f>BB191+BC191</f>
        <v>0</v>
      </c>
      <c r="BB191" s="87">
        <f>BB186*BB178/1000</f>
        <v>0</v>
      </c>
      <c r="BC191" s="87">
        <f>BC186*BC178/1000</f>
        <v>0</v>
      </c>
      <c r="BD191" s="862">
        <f>BE191+BF191</f>
        <v>0</v>
      </c>
      <c r="BE191" s="87">
        <f>BE186*BE178/1000</f>
        <v>0</v>
      </c>
      <c r="BF191" s="87">
        <f>BF186*BF178/1000</f>
        <v>0</v>
      </c>
      <c r="BG191" s="862">
        <f>BH191+BI191</f>
        <v>0</v>
      </c>
      <c r="BH191" s="87">
        <f>BH186*BH178/1000</f>
        <v>0</v>
      </c>
      <c r="BI191" s="87">
        <f>BI186*BI178/1000</f>
        <v>0</v>
      </c>
      <c r="BJ191" s="862">
        <f>BK191+BL191</f>
        <v>0</v>
      </c>
      <c r="BK191" s="87">
        <f>BK186*BK178/1000</f>
        <v>0</v>
      </c>
      <c r="BL191" s="87">
        <f>BL186*BL178/1000</f>
        <v>0</v>
      </c>
      <c r="BM191" s="862">
        <f>BN191+BO191</f>
        <v>0</v>
      </c>
      <c r="BN191" s="87">
        <f>BN186*BN178/1000</f>
        <v>0</v>
      </c>
      <c r="BO191" s="87">
        <f>BO186*BO178/1000</f>
        <v>0</v>
      </c>
      <c r="BP191" s="862">
        <f>BQ191+BR191</f>
        <v>0</v>
      </c>
      <c r="BQ191" s="979">
        <f>BQ186*BQ178/1000</f>
        <v>0</v>
      </c>
      <c r="BR191" s="979">
        <f>BR186*BR178/1000</f>
        <v>0</v>
      </c>
      <c r="BS191" s="862">
        <f>BT191+BU191</f>
        <v>0</v>
      </c>
      <c r="BT191" s="87">
        <f>BT186*BT178/1000</f>
        <v>0</v>
      </c>
      <c r="BU191" s="87">
        <f>BU186*BU178/1000</f>
        <v>0</v>
      </c>
      <c r="BV191" s="862">
        <f>BW191+BX191</f>
        <v>0</v>
      </c>
      <c r="BW191" s="87">
        <f>BW186*BW178/1000</f>
        <v>0</v>
      </c>
      <c r="BX191" s="87">
        <f>BX186*BX178/1000</f>
        <v>0</v>
      </c>
      <c r="BY191" s="862">
        <f>BZ191+CA191</f>
        <v>0</v>
      </c>
      <c r="BZ191" s="87">
        <f>BZ186*BZ178/1000</f>
        <v>0</v>
      </c>
      <c r="CA191" s="87">
        <f>CA186*CA178/1000</f>
        <v>0</v>
      </c>
      <c r="CB191" s="862">
        <f>CC191+CD191</f>
        <v>0</v>
      </c>
      <c r="CC191" s="87">
        <f>CC186*CC178/1000</f>
        <v>0</v>
      </c>
      <c r="CD191" s="87">
        <f>CD186*CD178/1000</f>
        <v>0</v>
      </c>
      <c r="CE191" s="862">
        <f>CF191+CG191</f>
        <v>0</v>
      </c>
      <c r="CF191" s="87">
        <f>CF186*CF178/1000</f>
        <v>0</v>
      </c>
      <c r="CG191" s="87">
        <f>CG186*CG178/1000</f>
        <v>0</v>
      </c>
      <c r="CH191" s="862">
        <f>CI191+CJ191</f>
        <v>0</v>
      </c>
      <c r="CI191" s="87">
        <f>CI186*CI178/1000</f>
        <v>0</v>
      </c>
      <c r="CJ191" s="87">
        <f>CJ186*CJ178/1000</f>
        <v>0</v>
      </c>
      <c r="CK191" s="862">
        <f>CL191+CM191</f>
        <v>0</v>
      </c>
      <c r="CL191" s="87">
        <f>CL186*CL178/1000</f>
        <v>0</v>
      </c>
      <c r="CM191" s="87">
        <f>CM186*CM178/1000</f>
        <v>0</v>
      </c>
      <c r="CN191" s="862">
        <f>CO191+CP191</f>
        <v>0</v>
      </c>
      <c r="CO191" s="87">
        <f>CO186*CO178/1000</f>
        <v>0</v>
      </c>
      <c r="CP191" s="87">
        <f>CP186*CP178/1000</f>
        <v>0</v>
      </c>
      <c r="CQ191" s="862">
        <f>CR191+CS191</f>
        <v>0</v>
      </c>
      <c r="CR191" s="87">
        <f>CR186*CR178/1000</f>
        <v>0</v>
      </c>
      <c r="CS191" s="87">
        <f>CS186*CS178/1000</f>
        <v>0</v>
      </c>
      <c r="CT191" s="73"/>
      <c r="CW191" s="1173" t="s">
        <v>812</v>
      </c>
      <c r="CX191" s="1178" t="s">
        <v>792</v>
      </c>
      <c r="CY191" s="1182" cm="1" t="str">
        <f t="array" ref="CY191:CY191">AE191</f>
        <v>0</v>
      </c>
      <c r="CZ191" s="1182" cm="1" t="str">
        <f t="array" ref="CZ191:CZ191">AF191</f>
        <v>0</v>
      </c>
      <c r="DA191" s="1179"/>
      <c r="DB191" s="1179"/>
    </row>
    <row s="1632" customFormat="1" customHeight="1" ht="16.5">
      <c r="A192" s="1632"/>
      <c r="B192" s="1632"/>
      <c r="C192" s="1632"/>
      <c r="D192" s="1632"/>
      <c r="E192" s="797">
        <v>17.1</v>
      </c>
      <c r="F192" s="922" cm="1" t="str">
        <f t="array" ref="F192:F192">OFFSET(G192,-1,-1)</f>
        <v>1</v>
      </c>
      <c r="G192" s="1632"/>
      <c r="H192" s="1632"/>
      <c r="I192" s="1632"/>
      <c r="J192" s="1632"/>
      <c r="K192" s="1632"/>
      <c r="L192" s="922" cm="1" t="str">
        <f t="array" ref="L192:L192">OFFSET(M192,-1,-1)</f>
        <v>false</v>
      </c>
      <c r="M192" s="1632"/>
      <c r="N192" s="1632"/>
      <c r="O192" s="1632"/>
      <c r="P192" s="1632"/>
      <c r="Q192" s="1632"/>
      <c r="R192" s="1632"/>
      <c r="S192" s="159" cm="1" t="str">
        <f t="array" ref="S192:S192">OFFSET(T192,-1,-1)</f>
        <v>true</v>
      </c>
      <c r="T192" s="159">
        <f>AD192&lt;&gt;"24.0"</f>
        <v>1</v>
      </c>
      <c r="U192" s="819">
        <f>AND(S192,IF(ISBLANK(T192),TRUE,T192))</f>
        <v>1</v>
      </c>
      <c r="V192" s="1632"/>
      <c r="W192" s="1632"/>
      <c r="X192" s="159" t="str">
        <f>'Топливо 4.4'!$AE$187&amp;'Топливо 4.4'!$AF$187</f>
        <v>Уголь длиннопламенный</v>
      </c>
      <c r="Y192" s="1632"/>
      <c r="Z192" s="1632"/>
      <c r="AA192" s="1632"/>
      <c r="AB192" s="1486"/>
      <c r="AC192" s="0"/>
      <c r="AD192" s="160" t="s">
        <v>908</v>
      </c>
      <c r="AE192" s="974" cm="1" t="str">
        <f t="array" ref="AE192:AE192">IF(ISBLANK('Топливо 4.4'!$AE$187),"",'Топливо 4.4'!$AE$187)</f>
        <v>Уголь длиннопламенный</v>
      </c>
      <c r="AF192" s="625" cm="1" t="str">
        <f t="array" ref="AF192:AF192">IF(ISBLANK('Топливо 4.4'!$AF$187),"",'Топливо 4.4'!$AF$187)</f>
        <v/>
      </c>
      <c r="AG192" s="1014" t="s">
        <v>810</v>
      </c>
      <c r="AH192" s="1791">
        <v>4482.56</v>
      </c>
      <c r="AI192" s="1772">
        <v>6156.13</v>
      </c>
      <c r="AJ192" s="1772">
        <v>4592.34</v>
      </c>
      <c r="AK192" s="1772">
        <v>3906.28</v>
      </c>
      <c r="AL192" s="862">
        <f>AM192+AN192</f>
        <v>4628.68</v>
      </c>
      <c r="AM192" s="1772">
        <v>2572.62</v>
      </c>
      <c r="AN192" s="1772">
        <v>2056.06</v>
      </c>
      <c r="AO192" s="862">
        <f>AP192+AQ192</f>
        <v>0</v>
      </c>
      <c r="AP192" s="1772">
        <f>AP187*AP179/1000</f>
        <v>0</v>
      </c>
      <c r="AQ192" s="1772">
        <f>AQ187*AQ179/1000</f>
        <v>0</v>
      </c>
      <c r="AR192" s="862">
        <f>AS192+AT192</f>
        <v>0</v>
      </c>
      <c r="AS192" s="1772">
        <f>AS187*AS179/1000</f>
        <v>0</v>
      </c>
      <c r="AT192" s="1772">
        <f>AT187*AT179/1000</f>
        <v>0</v>
      </c>
      <c r="AU192" s="862">
        <f>AV192+AW192</f>
        <v>0</v>
      </c>
      <c r="AV192" s="1772">
        <f>AV187*AV179/1000</f>
        <v>0</v>
      </c>
      <c r="AW192" s="1772">
        <f>AW187*AW179/1000</f>
        <v>0</v>
      </c>
      <c r="AX192" s="862">
        <f>AY192+AZ192</f>
        <v>0</v>
      </c>
      <c r="AY192" s="1772">
        <f>AY187*AY179/1000</f>
        <v>0</v>
      </c>
      <c r="AZ192" s="1772">
        <f>AZ187*AZ179/1000</f>
        <v>0</v>
      </c>
      <c r="BA192" s="862">
        <f>BB192+BC192</f>
        <v>0</v>
      </c>
      <c r="BB192" s="1772">
        <f>BB187*BB179/1000</f>
        <v>0</v>
      </c>
      <c r="BC192" s="1772">
        <f>BC187*BC179/1000</f>
        <v>0</v>
      </c>
      <c r="BD192" s="862">
        <f>BE192+BF192</f>
        <v>0</v>
      </c>
      <c r="BE192" s="1772">
        <f>BE187*BE179/1000</f>
        <v>0</v>
      </c>
      <c r="BF192" s="1772">
        <f>BF187*BF179/1000</f>
        <v>0</v>
      </c>
      <c r="BG192" s="862">
        <f>BH192+BI192</f>
        <v>0</v>
      </c>
      <c r="BH192" s="1772">
        <f>BH187*BH179/1000</f>
        <v>0</v>
      </c>
      <c r="BI192" s="1772">
        <f>BI187*BI179/1000</f>
        <v>0</v>
      </c>
      <c r="BJ192" s="862">
        <f>BK192+BL192</f>
        <v>0</v>
      </c>
      <c r="BK192" s="1772">
        <f>BK187*BK179/1000</f>
        <v>0</v>
      </c>
      <c r="BL192" s="1772">
        <f>BL187*BL179/1000</f>
        <v>0</v>
      </c>
      <c r="BM192" s="862">
        <f>BN192+BO192</f>
        <v>0</v>
      </c>
      <c r="BN192" s="1772">
        <f>BN187*BN179/1000</f>
        <v>0</v>
      </c>
      <c r="BO192" s="1772">
        <f>BO187*BO179/1000</f>
        <v>0</v>
      </c>
      <c r="BP192" s="862">
        <f>BQ192+BR192</f>
        <v>4485.44780425533</v>
      </c>
      <c r="BQ192" s="979">
        <f>BQ187*BQ179/1000</f>
        <v>2493.01038638299</v>
      </c>
      <c r="BR192" s="979">
        <f>BR187*BR179/1000</f>
        <v>1992.43741787234</v>
      </c>
      <c r="BS192" s="862">
        <f>BT192+BU192</f>
        <v>0</v>
      </c>
      <c r="BT192" s="1772">
        <f>BT187*BT179/1000</f>
        <v>0</v>
      </c>
      <c r="BU192" s="1772">
        <f>BU187*BU179/1000</f>
        <v>0</v>
      </c>
      <c r="BV192" s="862">
        <f>BW192+BX192</f>
        <v>0</v>
      </c>
      <c r="BW192" s="1772">
        <f>BW187*BW179/1000</f>
        <v>0</v>
      </c>
      <c r="BX192" s="1772">
        <f>BX187*BX179/1000</f>
        <v>0</v>
      </c>
      <c r="BY192" s="862">
        <f>BZ192+CA192</f>
        <v>0</v>
      </c>
      <c r="BZ192" s="1772">
        <f>BZ187*BZ179/1000</f>
        <v>0</v>
      </c>
      <c r="CA192" s="1772">
        <f>CA187*CA179/1000</f>
        <v>0</v>
      </c>
      <c r="CB192" s="862">
        <f>CC192+CD192</f>
        <v>0</v>
      </c>
      <c r="CC192" s="1772">
        <f>CC187*CC179/1000</f>
        <v>0</v>
      </c>
      <c r="CD192" s="1772">
        <f>CD187*CD179/1000</f>
        <v>0</v>
      </c>
      <c r="CE192" s="862">
        <f>CF192+CG192</f>
        <v>0</v>
      </c>
      <c r="CF192" s="1772">
        <f>CF187*CF179/1000</f>
        <v>0</v>
      </c>
      <c r="CG192" s="1772">
        <f>CG187*CG179/1000</f>
        <v>0</v>
      </c>
      <c r="CH192" s="862">
        <f>CI192+CJ192</f>
        <v>0</v>
      </c>
      <c r="CI192" s="1772">
        <f>CI187*CI179/1000</f>
        <v>0</v>
      </c>
      <c r="CJ192" s="1772">
        <f>CJ187*CJ179/1000</f>
        <v>0</v>
      </c>
      <c r="CK192" s="862">
        <f>CL192+CM192</f>
        <v>0</v>
      </c>
      <c r="CL192" s="1772">
        <f>CL187*CL179/1000</f>
        <v>0</v>
      </c>
      <c r="CM192" s="1772">
        <f>CM187*CM179/1000</f>
        <v>0</v>
      </c>
      <c r="CN192" s="862">
        <f>CO192+CP192</f>
        <v>0</v>
      </c>
      <c r="CO192" s="1772">
        <f>CO187*CO179/1000</f>
        <v>0</v>
      </c>
      <c r="CP192" s="1772">
        <f>CP187*CP179/1000</f>
        <v>0</v>
      </c>
      <c r="CQ192" s="862">
        <f>CR192+CS192</f>
        <v>0</v>
      </c>
      <c r="CR192" s="1772">
        <f>CR187*CR179/1000</f>
        <v>0</v>
      </c>
      <c r="CS192" s="1772">
        <f>CS187*CS179/1000</f>
        <v>0</v>
      </c>
      <c r="CT192" s="1719"/>
      <c r="CU192" s="0"/>
      <c r="CV192" s="1632"/>
      <c r="CW192" s="1173" t="s">
        <v>812</v>
      </c>
      <c r="CX192" s="1178" t="s">
        <v>792</v>
      </c>
      <c r="CY192" s="1182" cm="1" t="str">
        <f t="array" ref="CY192:CY192">AE192</f>
        <v>Уголь длиннопламенный</v>
      </c>
      <c r="CZ192" s="1182" cm="1" t="str">
        <f t="array" ref="CZ192:CZ192">AF192</f>
        <v/>
      </c>
      <c r="DA192" s="1179"/>
      <c r="DB192" s="1179"/>
    </row>
    <row s="1632" customFormat="1" customHeight="1" ht="17.25" hidden="1">
      <c r="A193" s="1443"/>
      <c r="B193" s="927"/>
      <c r="C193" s="1443"/>
      <c r="D193" s="1443"/>
      <c r="E193" s="797">
        <v>0</v>
      </c>
      <c r="F193" s="922" cm="1" t="str">
        <f t="array" ref="F193:F193">OFFSET(G193,-1,-1)</f>
        <v>1</v>
      </c>
      <c r="G193" s="965"/>
      <c r="H193" s="965"/>
      <c r="I193" s="965"/>
      <c r="J193" s="965"/>
      <c r="K193" s="965"/>
      <c r="L193" s="922" cm="1" t="str">
        <f t="array" ref="L193:L193">OFFSET(M193,-1,-1)</f>
        <v>false</v>
      </c>
      <c r="M193" s="965"/>
      <c r="N193" s="965"/>
      <c r="O193" s="965"/>
      <c r="P193" s="965"/>
      <c r="Q193" s="965"/>
      <c r="R193" s="1443"/>
      <c r="S193" s="159" cm="1" t="str">
        <f t="array" ref="S193:S193">OFFSET(T193,-1,-1)</f>
        <v>true</v>
      </c>
      <c r="T193" s="1443"/>
      <c r="U193" s="819">
        <f>AND(S193,IF(ISBLANK(T193),TRUE,T193))</f>
        <v>1</v>
      </c>
      <c r="V193" s="1443"/>
      <c r="W193" s="1443"/>
      <c r="X193" s="973" t="str">
        <f>"{                  
         funcDyn: 'msg1',
         blok: 'blok_2',
         wsCross: 'Топливо 4.4',
         linkFormula: 'AE-AE#AF-AF',
         levelDyn: "&amp;Y139&amp;"
}"</f>
        <v>{                  
         funcDyn: 'msg1',
         blok: 'blok_2',
         wsCross: 'Топливо 4.4',
         linkFormula: 'AE-AE#AF-AF',
         levelDyn: 1
}</v>
      </c>
      <c r="Y193" s="1443"/>
      <c r="Z193" s="1443"/>
      <c r="AA193" s="820"/>
      <c r="AB193" s="1486"/>
      <c r="AC193" s="0"/>
      <c r="AD193" s="976"/>
      <c r="AE193" s="975" t="s">
        <v>236</v>
      </c>
      <c r="AF193" s="874"/>
      <c r="AG193" s="859"/>
      <c r="AH193" s="861"/>
      <c r="AI193" s="863"/>
      <c r="AJ193" s="863"/>
      <c r="AK193" s="863"/>
      <c r="AL193" s="863"/>
      <c r="AM193" s="863"/>
      <c r="AN193" s="863"/>
      <c r="AO193" s="863"/>
      <c r="AP193" s="863"/>
      <c r="AQ193" s="863"/>
      <c r="AR193" s="863"/>
      <c r="AS193" s="863"/>
      <c r="AT193" s="863"/>
      <c r="AU193" s="863"/>
      <c r="AV193" s="863"/>
      <c r="AW193" s="863"/>
      <c r="AX193" s="863"/>
      <c r="AY193" s="863"/>
      <c r="AZ193" s="863"/>
      <c r="BA193" s="863"/>
      <c r="BB193" s="863"/>
      <c r="BC193" s="863"/>
      <c r="BD193" s="863"/>
      <c r="BE193" s="863"/>
      <c r="BF193" s="863"/>
      <c r="BG193" s="863"/>
      <c r="BH193" s="863"/>
      <c r="BI193" s="863"/>
      <c r="BJ193" s="863"/>
      <c r="BK193" s="863"/>
      <c r="BL193" s="863"/>
      <c r="BM193" s="863"/>
      <c r="BN193" s="863"/>
      <c r="BO193" s="863"/>
      <c r="BP193" s="863"/>
      <c r="BQ193" s="863"/>
      <c r="BR193" s="863"/>
      <c r="BS193" s="863"/>
      <c r="BT193" s="863"/>
      <c r="BU193" s="863"/>
      <c r="BV193" s="863"/>
      <c r="BW193" s="863"/>
      <c r="BX193" s="863"/>
      <c r="BY193" s="863"/>
      <c r="BZ193" s="863"/>
      <c r="CA193" s="863"/>
      <c r="CB193" s="863"/>
      <c r="CC193" s="863"/>
      <c r="CD193" s="863"/>
      <c r="CE193" s="863"/>
      <c r="CF193" s="863"/>
      <c r="CG193" s="863"/>
      <c r="CH193" s="863"/>
      <c r="CI193" s="863"/>
      <c r="CJ193" s="863"/>
      <c r="CK193" s="863"/>
      <c r="CL193" s="863"/>
      <c r="CM193" s="863"/>
      <c r="CN193" s="863"/>
      <c r="CO193" s="863"/>
      <c r="CP193" s="863"/>
      <c r="CQ193" s="863"/>
      <c r="CR193" s="863"/>
      <c r="CS193" s="863"/>
      <c r="CT193" s="91"/>
      <c r="CU193" s="0"/>
      <c r="CV193" s="1632"/>
      <c r="CW193" s="1173" t="str">
        <f>IF(AND(ISNUMBER(VALUE(TRIM(SUBSTITUTE(AD193,".","")))),TRIM(SUBSTITUTE(AD193,".",""))&lt;&gt;""),"P"&amp;SUBSTITUTE(AD193,".",""),"")</f>
        <v/>
      </c>
      <c r="CX193" s="1178"/>
      <c r="CY193" s="1178"/>
      <c r="CZ193" s="1178"/>
      <c r="DA193" s="1179"/>
      <c r="DB193" s="1179"/>
    </row>
    <row s="1632" customFormat="1" customHeight="1" ht="21.75" hidden="1">
      <c r="A194" s="1443"/>
      <c r="B194" s="927"/>
      <c r="C194" s="1443"/>
      <c r="D194" s="1443"/>
      <c r="E194" s="797">
        <v>22.5</v>
      </c>
      <c r="F194" s="922" cm="1" t="str">
        <f t="array" ref="F194:F194">OFFSET(G194,-1,-1)</f>
        <v>1</v>
      </c>
      <c r="G194" s="965"/>
      <c r="H194" s="965"/>
      <c r="I194" s="965"/>
      <c r="J194" s="965"/>
      <c r="K194" s="965"/>
      <c r="L194" s="922" cm="1" t="str">
        <f t="array" ref="L194:L194">OFFSET(M194,-1,-1)</f>
        <v>false</v>
      </c>
      <c r="M194" s="965"/>
      <c r="N194" s="965"/>
      <c r="O194" s="965"/>
      <c r="P194" s="965"/>
      <c r="Q194" s="965"/>
      <c r="R194" s="922" t="s">
        <v>730</v>
      </c>
      <c r="S194" s="159" cm="1" t="str">
        <f t="array" ref="S194:S194">OFFSET(T194,-1,-1)</f>
        <v>true</v>
      </c>
      <c r="T194" s="159" cm="1" t="str">
        <f t="array" ref="T194:T194">L194</f>
        <v>false</v>
      </c>
      <c r="U194" s="819">
        <f>AND(S194,IF(ISBLANK(T194),TRUE,T194))</f>
        <v>0</v>
      </c>
      <c r="V194" s="1443"/>
      <c r="W194" s="1443"/>
      <c r="X194" s="1443"/>
      <c r="Y194" s="1443"/>
      <c r="Z194" s="1443"/>
      <c r="AA194" s="820"/>
      <c r="AB194" s="1486"/>
      <c r="AC194" s="0"/>
      <c r="AD194" s="160">
        <v>25</v>
      </c>
      <c r="AE194" s="1508" t="s">
        <v>814</v>
      </c>
      <c r="AF194" s="162"/>
      <c r="AG194" s="1014" t="s">
        <v>810</v>
      </c>
      <c r="AH194" s="860">
        <f>SUM(AH195:AH197)</f>
        <v>4482.56</v>
      </c>
      <c r="AI194" s="860">
        <f>SUM(AI195:AI197)</f>
        <v>6156.13</v>
      </c>
      <c r="AJ194" s="860">
        <f>SUM(AJ195:AJ197)</f>
        <v>4592.34</v>
      </c>
      <c r="AK194" s="860">
        <f>SUM(AK195:AK197)</f>
        <v>3906.28</v>
      </c>
      <c r="AL194" s="860">
        <f>SUM(AL195:AL197)</f>
        <v>4628.68</v>
      </c>
      <c r="AM194" s="860">
        <f>SUM(AM195:AM197)</f>
        <v>2572.62</v>
      </c>
      <c r="AN194" s="860">
        <f>SUM(AN195:AN197)</f>
        <v>2056.06</v>
      </c>
      <c r="AO194" s="860">
        <f>SUM(AO195:AO197)</f>
        <v>0</v>
      </c>
      <c r="AP194" s="860">
        <f>SUM(AP195:AP197)</f>
        <v>0</v>
      </c>
      <c r="AQ194" s="860">
        <f>SUM(AQ195:AQ197)</f>
        <v>0</v>
      </c>
      <c r="AR194" s="860">
        <f>SUM(AR195:AR197)</f>
        <v>0</v>
      </c>
      <c r="AS194" s="860">
        <f>SUM(AS195:AS197)</f>
        <v>0</v>
      </c>
      <c r="AT194" s="860">
        <f>SUM(AT195:AT197)</f>
        <v>0</v>
      </c>
      <c r="AU194" s="860">
        <f>SUM(AU195:AU197)</f>
        <v>0</v>
      </c>
      <c r="AV194" s="860">
        <f>SUM(AV195:AV197)</f>
        <v>0</v>
      </c>
      <c r="AW194" s="860">
        <f>SUM(AW195:AW197)</f>
        <v>0</v>
      </c>
      <c r="AX194" s="860">
        <f>SUM(AX195:AX197)</f>
        <v>0</v>
      </c>
      <c r="AY194" s="860">
        <f>SUM(AY195:AY197)</f>
        <v>0</v>
      </c>
      <c r="AZ194" s="860">
        <f>SUM(AZ195:AZ197)</f>
        <v>0</v>
      </c>
      <c r="BA194" s="860">
        <f>SUM(BA195:BA197)</f>
        <v>0</v>
      </c>
      <c r="BB194" s="860">
        <f>SUM(BB195:BB197)</f>
        <v>0</v>
      </c>
      <c r="BC194" s="860">
        <f>SUM(BC195:BC197)</f>
        <v>0</v>
      </c>
      <c r="BD194" s="860">
        <f>SUM(BD195:BD197)</f>
        <v>0</v>
      </c>
      <c r="BE194" s="860">
        <f>SUM(BE195:BE197)</f>
        <v>0</v>
      </c>
      <c r="BF194" s="860">
        <f>SUM(BF195:BF197)</f>
        <v>0</v>
      </c>
      <c r="BG194" s="860">
        <f>SUM(BG195:BG197)</f>
        <v>0</v>
      </c>
      <c r="BH194" s="860">
        <f>SUM(BH195:BH197)</f>
        <v>0</v>
      </c>
      <c r="BI194" s="860">
        <f>SUM(BI195:BI197)</f>
        <v>0</v>
      </c>
      <c r="BJ194" s="860">
        <f>SUM(BJ195:BJ197)</f>
        <v>0</v>
      </c>
      <c r="BK194" s="860">
        <f>SUM(BK195:BK197)</f>
        <v>0</v>
      </c>
      <c r="BL194" s="860">
        <f>SUM(BL195:BL197)</f>
        <v>0</v>
      </c>
      <c r="BM194" s="860">
        <f>SUM(BM195:BM197)</f>
        <v>0</v>
      </c>
      <c r="BN194" s="860">
        <f>SUM(BN195:BN197)</f>
        <v>0</v>
      </c>
      <c r="BO194" s="860">
        <f>SUM(BO195:BO197)</f>
        <v>0</v>
      </c>
      <c r="BP194" s="860">
        <f>SUM(BP195:BP197)</f>
        <v>4485.44780425533</v>
      </c>
      <c r="BQ194" s="860">
        <f>SUM(BQ195:BQ197)</f>
        <v>2493.01038638299</v>
      </c>
      <c r="BR194" s="860">
        <f>SUM(BR195:BR197)</f>
        <v>1992.43741787234</v>
      </c>
      <c r="BS194" s="860">
        <f>SUM(BS195:BS197)</f>
        <v>0</v>
      </c>
      <c r="BT194" s="860">
        <f>SUM(BT195:BT197)</f>
        <v>0</v>
      </c>
      <c r="BU194" s="860">
        <f>SUM(BU195:BU197)</f>
        <v>0</v>
      </c>
      <c r="BV194" s="860">
        <f>SUM(BV195:BV197)</f>
        <v>0</v>
      </c>
      <c r="BW194" s="860">
        <f>SUM(BW195:BW197)</f>
        <v>0</v>
      </c>
      <c r="BX194" s="860">
        <f>SUM(BX195:BX197)</f>
        <v>0</v>
      </c>
      <c r="BY194" s="860">
        <f>SUM(BY195:BY197)</f>
        <v>0</v>
      </c>
      <c r="BZ194" s="860">
        <f>SUM(BZ195:BZ197)</f>
        <v>0</v>
      </c>
      <c r="CA194" s="860">
        <f>SUM(CA195:CA197)</f>
        <v>0</v>
      </c>
      <c r="CB194" s="860">
        <f>SUM(CB195:CB197)</f>
        <v>0</v>
      </c>
      <c r="CC194" s="860">
        <f>SUM(CC195:CC197)</f>
        <v>0</v>
      </c>
      <c r="CD194" s="860">
        <f>SUM(CD195:CD197)</f>
        <v>0</v>
      </c>
      <c r="CE194" s="860">
        <f>SUM(CE195:CE197)</f>
        <v>0</v>
      </c>
      <c r="CF194" s="860">
        <f>SUM(CF195:CF197)</f>
        <v>0</v>
      </c>
      <c r="CG194" s="860">
        <f>SUM(CG195:CG197)</f>
        <v>0</v>
      </c>
      <c r="CH194" s="860">
        <f>SUM(CH195:CH197)</f>
        <v>0</v>
      </c>
      <c r="CI194" s="860">
        <f>SUM(CI195:CI197)</f>
        <v>0</v>
      </c>
      <c r="CJ194" s="860">
        <f>SUM(CJ195:CJ197)</f>
        <v>0</v>
      </c>
      <c r="CK194" s="860">
        <f>SUM(CK195:CK197)</f>
        <v>0</v>
      </c>
      <c r="CL194" s="860">
        <f>SUM(CL195:CL197)</f>
        <v>0</v>
      </c>
      <c r="CM194" s="860">
        <f>SUM(CM195:CM197)</f>
        <v>0</v>
      </c>
      <c r="CN194" s="860">
        <f>SUM(CN195:CN197)</f>
        <v>0</v>
      </c>
      <c r="CO194" s="860">
        <f>SUM(CO195:CO197)</f>
        <v>0</v>
      </c>
      <c r="CP194" s="860">
        <f>SUM(CP195:CP197)</f>
        <v>0</v>
      </c>
      <c r="CQ194" s="860">
        <f>SUM(CQ195:CQ197)</f>
        <v>0</v>
      </c>
      <c r="CR194" s="860">
        <f>SUM(CR195:CR197)</f>
        <v>0</v>
      </c>
      <c r="CS194" s="860">
        <f>SUM(CS195:CS197)</f>
        <v>0</v>
      </c>
      <c r="CT194" s="73"/>
      <c r="CU194" s="0"/>
      <c r="CV194" s="1632"/>
      <c r="CW194" s="1173" t="s">
        <v>815</v>
      </c>
      <c r="CX194" s="1178"/>
      <c r="CY194" s="1178"/>
      <c r="CZ194" s="1178"/>
      <c r="DA194" s="1179"/>
      <c r="DB194" s="1179"/>
    </row>
    <row s="1632" customFormat="1" customHeight="1" ht="16.5" hidden="1">
      <c r="E195" s="797">
        <v>17.1</v>
      </c>
      <c r="F195" s="922" cm="1" t="str">
        <f t="array" ref="F195:F195">OFFSET(G195,-1,-1)</f>
        <v>1</v>
      </c>
      <c r="L195" s="922" cm="1" t="str">
        <f t="array" ref="L195:L195">OFFSET(M195,-1,-1)</f>
        <v>false</v>
      </c>
      <c r="R195" s="922" t="s">
        <v>730</v>
      </c>
      <c r="S195" s="159" cm="1" t="str">
        <f t="array" ref="S195:S195">OFFSET(T195,-1,-1)</f>
        <v>true</v>
      </c>
      <c r="T195" s="159">
        <f>AND(L195,AD195&lt;&gt;"25.0")</f>
        <v>0</v>
      </c>
      <c r="U195" s="819">
        <f>AND(S195,IF(ISBLANK(T195),TRUE,T195))</f>
        <v>0</v>
      </c>
      <c r="X195" s="159" t="s">
        <v>234</v>
      </c>
      <c r="AB195" s="1486"/>
      <c r="AD195" s="160" t="s">
        <v>816</v>
      </c>
      <c r="AE195" s="974"/>
      <c r="AF195" s="625"/>
      <c r="AG195" s="1014" t="s">
        <v>810</v>
      </c>
      <c r="AH195" s="86">
        <f>AH$163*AH191</f>
        <v>0</v>
      </c>
      <c r="AI195" s="87">
        <f>AI$163*AI191</f>
        <v>0</v>
      </c>
      <c r="AJ195" s="87">
        <f>AJ$163*AJ191</f>
        <v>0</v>
      </c>
      <c r="AK195" s="87">
        <f>AK$163*AK191</f>
        <v>0</v>
      </c>
      <c r="AL195" s="862">
        <f>AM195+AN195</f>
        <v>0</v>
      </c>
      <c r="AM195" s="87">
        <f>AM$163*AM191</f>
        <v>0</v>
      </c>
      <c r="AN195" s="87">
        <f>AN$163*AN191</f>
        <v>0</v>
      </c>
      <c r="AO195" s="862">
        <f>AP195+AQ195</f>
        <v>0</v>
      </c>
      <c r="AP195" s="87">
        <f>AP$163*AP191</f>
        <v>0</v>
      </c>
      <c r="AQ195" s="87">
        <f>AQ$163*AQ191</f>
        <v>0</v>
      </c>
      <c r="AR195" s="862">
        <f>AS195+AT195</f>
        <v>0</v>
      </c>
      <c r="AS195" s="87">
        <f>AS$163*AS191</f>
        <v>0</v>
      </c>
      <c r="AT195" s="87">
        <f>AT$163*AT191</f>
        <v>0</v>
      </c>
      <c r="AU195" s="862">
        <f>AV195+AW195</f>
        <v>0</v>
      </c>
      <c r="AV195" s="87">
        <f>AV$163*AV191</f>
        <v>0</v>
      </c>
      <c r="AW195" s="87">
        <f>AW$163*AW191</f>
        <v>0</v>
      </c>
      <c r="AX195" s="862">
        <f>AY195+AZ195</f>
        <v>0</v>
      </c>
      <c r="AY195" s="87">
        <f>AY$163*AY191</f>
        <v>0</v>
      </c>
      <c r="AZ195" s="87">
        <f>AZ$163*AZ191</f>
        <v>0</v>
      </c>
      <c r="BA195" s="862">
        <f>BB195+BC195</f>
        <v>0</v>
      </c>
      <c r="BB195" s="87">
        <f>BB$163*BB191</f>
        <v>0</v>
      </c>
      <c r="BC195" s="87">
        <f>BC$163*BC191</f>
        <v>0</v>
      </c>
      <c r="BD195" s="862">
        <f>BE195+BF195</f>
        <v>0</v>
      </c>
      <c r="BE195" s="87">
        <f>BE$163*BE191</f>
        <v>0</v>
      </c>
      <c r="BF195" s="87">
        <f>BF$163*BF191</f>
        <v>0</v>
      </c>
      <c r="BG195" s="862">
        <f>BH195+BI195</f>
        <v>0</v>
      </c>
      <c r="BH195" s="87">
        <f>BH$163*BH191</f>
        <v>0</v>
      </c>
      <c r="BI195" s="87">
        <f>BI$163*BI191</f>
        <v>0</v>
      </c>
      <c r="BJ195" s="862">
        <f>BK195+BL195</f>
        <v>0</v>
      </c>
      <c r="BK195" s="87">
        <f>BK$163*BK191</f>
        <v>0</v>
      </c>
      <c r="BL195" s="87">
        <f>BL$163*BL191</f>
        <v>0</v>
      </c>
      <c r="BM195" s="862">
        <f>BN195+BO195</f>
        <v>0</v>
      </c>
      <c r="BN195" s="87">
        <f>BN$163*BN191</f>
        <v>0</v>
      </c>
      <c r="BO195" s="87">
        <f>BO$163*BO191</f>
        <v>0</v>
      </c>
      <c r="BP195" s="862">
        <f>BQ195+BR195</f>
        <v>0</v>
      </c>
      <c r="BQ195" s="979">
        <f>BQ$163*BQ191</f>
        <v>0</v>
      </c>
      <c r="BR195" s="979">
        <f>BR$163*BR191</f>
        <v>0</v>
      </c>
      <c r="BS195" s="862">
        <f>BT195+BU195</f>
        <v>0</v>
      </c>
      <c r="BT195" s="87">
        <f>BT$163*BT191</f>
        <v>0</v>
      </c>
      <c r="BU195" s="87">
        <f>BU$163*BU191</f>
        <v>0</v>
      </c>
      <c r="BV195" s="862">
        <f>BW195+BX195</f>
        <v>0</v>
      </c>
      <c r="BW195" s="87">
        <f>BW$163*BW191</f>
        <v>0</v>
      </c>
      <c r="BX195" s="87">
        <f>BX$163*BX191</f>
        <v>0</v>
      </c>
      <c r="BY195" s="862">
        <f>BZ195+CA195</f>
        <v>0</v>
      </c>
      <c r="BZ195" s="87">
        <f>BZ$163*BZ191</f>
        <v>0</v>
      </c>
      <c r="CA195" s="87">
        <f>CA$163*CA191</f>
        <v>0</v>
      </c>
      <c r="CB195" s="862">
        <f>CC195+CD195</f>
        <v>0</v>
      </c>
      <c r="CC195" s="87">
        <f>CC$163*CC191</f>
        <v>0</v>
      </c>
      <c r="CD195" s="87">
        <f>CD$163*CD191</f>
        <v>0</v>
      </c>
      <c r="CE195" s="862">
        <f>CF195+CG195</f>
        <v>0</v>
      </c>
      <c r="CF195" s="87">
        <f>CF$163*CF191</f>
        <v>0</v>
      </c>
      <c r="CG195" s="87">
        <f>CG$163*CG191</f>
        <v>0</v>
      </c>
      <c r="CH195" s="862">
        <f>CI195+CJ195</f>
        <v>0</v>
      </c>
      <c r="CI195" s="87">
        <f>CI$163*CI191</f>
        <v>0</v>
      </c>
      <c r="CJ195" s="87">
        <f>CJ$163*CJ191</f>
        <v>0</v>
      </c>
      <c r="CK195" s="862">
        <f>CL195+CM195</f>
        <v>0</v>
      </c>
      <c r="CL195" s="87">
        <f>CL$163*CL191</f>
        <v>0</v>
      </c>
      <c r="CM195" s="87">
        <f>CM$163*CM191</f>
        <v>0</v>
      </c>
      <c r="CN195" s="862">
        <f>CO195+CP195</f>
        <v>0</v>
      </c>
      <c r="CO195" s="87">
        <f>CO$163*CO191</f>
        <v>0</v>
      </c>
      <c r="CP195" s="87">
        <f>CP$163*CP191</f>
        <v>0</v>
      </c>
      <c r="CQ195" s="862">
        <f>CR195+CS195</f>
        <v>0</v>
      </c>
      <c r="CR195" s="87">
        <f>CR$163*CR191</f>
        <v>0</v>
      </c>
      <c r="CS195" s="87">
        <f>CS$163*CS191</f>
        <v>0</v>
      </c>
      <c r="CT195" s="73"/>
      <c r="CW195" s="1173" t="s">
        <v>815</v>
      </c>
      <c r="CX195" s="1178" t="s">
        <v>792</v>
      </c>
      <c r="CY195" s="1182" cm="1" t="str">
        <f t="array" ref="CY195:CY195">AE195</f>
        <v>0</v>
      </c>
      <c r="CZ195" s="1182" cm="1" t="str">
        <f t="array" ref="CZ195:CZ195">AF195</f>
        <v>0</v>
      </c>
      <c r="DA195" s="1179"/>
      <c r="DB195" s="1179"/>
    </row>
    <row s="1632" customFormat="1" customHeight="1" ht="16.5" hidden="1">
      <c r="A196" s="1632"/>
      <c r="B196" s="1632"/>
      <c r="C196" s="1632"/>
      <c r="D196" s="1632"/>
      <c r="E196" s="797">
        <v>17.1</v>
      </c>
      <c r="F196" s="922" cm="1" t="str">
        <f t="array" ref="F196:F196">OFFSET(G196,-1,-1)</f>
        <v>1</v>
      </c>
      <c r="G196" s="1632"/>
      <c r="H196" s="1632"/>
      <c r="I196" s="1632"/>
      <c r="J196" s="1632"/>
      <c r="K196" s="1632"/>
      <c r="L196" s="922" cm="1" t="str">
        <f t="array" ref="L196:L196">OFFSET(M196,-1,-1)</f>
        <v>false</v>
      </c>
      <c r="M196" s="1632"/>
      <c r="N196" s="1632"/>
      <c r="O196" s="1632"/>
      <c r="P196" s="1632"/>
      <c r="Q196" s="1632"/>
      <c r="R196" s="922" t="s">
        <v>730</v>
      </c>
      <c r="S196" s="159" cm="1" t="str">
        <f t="array" ref="S196:S196">OFFSET(T196,-1,-1)</f>
        <v>true</v>
      </c>
      <c r="T196" s="159">
        <f>AND(L196,AD196&lt;&gt;"25.0")</f>
        <v>0</v>
      </c>
      <c r="U196" s="819">
        <f>AND(S196,IF(ISBLANK(T196),TRUE,T196))</f>
        <v>0</v>
      </c>
      <c r="V196" s="1632"/>
      <c r="W196" s="1632"/>
      <c r="X196" s="159" t="str">
        <f>'Топливо 4.4'!$AE$192&amp;'Топливо 4.4'!$AF$192</f>
        <v>Уголь длиннопламенный</v>
      </c>
      <c r="Y196" s="1632"/>
      <c r="Z196" s="1632"/>
      <c r="AA196" s="1632"/>
      <c r="AB196" s="1486"/>
      <c r="AC196" s="0"/>
      <c r="AD196" s="160" t="s">
        <v>909</v>
      </c>
      <c r="AE196" s="974" cm="1" t="str">
        <f t="array" ref="AE196:AE196">IF(ISBLANK('Топливо 4.4'!$AE$192),"",'Топливо 4.4'!$AE$192)</f>
        <v>Уголь длиннопламенный</v>
      </c>
      <c r="AF196" s="625" cm="1" t="str">
        <f t="array" ref="AF196:AF196">IF(ISBLANK('Топливо 4.4'!$AF$192),"",'Топливо 4.4'!$AF$192)</f>
        <v/>
      </c>
      <c r="AG196" s="1014" t="s">
        <v>810</v>
      </c>
      <c r="AH196" s="86">
        <f>AH$163*AH192</f>
        <v>4482.56</v>
      </c>
      <c r="AI196" s="87">
        <f>AI$163*AI192</f>
        <v>6156.13</v>
      </c>
      <c r="AJ196" s="87">
        <f>AJ$163*AJ192</f>
        <v>4592.34</v>
      </c>
      <c r="AK196" s="87">
        <f>AK$163*AK192</f>
        <v>3906.28</v>
      </c>
      <c r="AL196" s="862">
        <f>AM196+AN196</f>
        <v>4628.68</v>
      </c>
      <c r="AM196" s="87">
        <f>AM$163*AM192</f>
        <v>2572.62</v>
      </c>
      <c r="AN196" s="87">
        <f>AN$163*AN192</f>
        <v>2056.06</v>
      </c>
      <c r="AO196" s="862">
        <f>AP196+AQ196</f>
        <v>0</v>
      </c>
      <c r="AP196" s="87">
        <f>AP$163*AP192</f>
        <v>0</v>
      </c>
      <c r="AQ196" s="87">
        <f>AQ$163*AQ192</f>
        <v>0</v>
      </c>
      <c r="AR196" s="862">
        <f>AS196+AT196</f>
        <v>0</v>
      </c>
      <c r="AS196" s="87">
        <f>AS$163*AS192</f>
        <v>0</v>
      </c>
      <c r="AT196" s="87">
        <f>AT$163*AT192</f>
        <v>0</v>
      </c>
      <c r="AU196" s="862">
        <f>AV196+AW196</f>
        <v>0</v>
      </c>
      <c r="AV196" s="87">
        <f>AV$163*AV192</f>
        <v>0</v>
      </c>
      <c r="AW196" s="87">
        <f>AW$163*AW192</f>
        <v>0</v>
      </c>
      <c r="AX196" s="862">
        <f>AY196+AZ196</f>
        <v>0</v>
      </c>
      <c r="AY196" s="87">
        <f>AY$163*AY192</f>
        <v>0</v>
      </c>
      <c r="AZ196" s="87">
        <f>AZ$163*AZ192</f>
        <v>0</v>
      </c>
      <c r="BA196" s="862">
        <f>BB196+BC196</f>
        <v>0</v>
      </c>
      <c r="BB196" s="87">
        <f>BB$163*BB192</f>
        <v>0</v>
      </c>
      <c r="BC196" s="87">
        <f>BC$163*BC192</f>
        <v>0</v>
      </c>
      <c r="BD196" s="862">
        <f>BE196+BF196</f>
        <v>0</v>
      </c>
      <c r="BE196" s="87">
        <f>BE$163*BE192</f>
        <v>0</v>
      </c>
      <c r="BF196" s="87">
        <f>BF$163*BF192</f>
        <v>0</v>
      </c>
      <c r="BG196" s="862">
        <f>BH196+BI196</f>
        <v>0</v>
      </c>
      <c r="BH196" s="87">
        <f>BH$163*BH192</f>
        <v>0</v>
      </c>
      <c r="BI196" s="87">
        <f>BI$163*BI192</f>
        <v>0</v>
      </c>
      <c r="BJ196" s="862">
        <f>BK196+BL196</f>
        <v>0</v>
      </c>
      <c r="BK196" s="87">
        <f>BK$163*BK192</f>
        <v>0</v>
      </c>
      <c r="BL196" s="87">
        <f>BL$163*BL192</f>
        <v>0</v>
      </c>
      <c r="BM196" s="862">
        <f>BN196+BO196</f>
        <v>0</v>
      </c>
      <c r="BN196" s="87">
        <f>BN$163*BN192</f>
        <v>0</v>
      </c>
      <c r="BO196" s="87">
        <f>BO$163*BO192</f>
        <v>0</v>
      </c>
      <c r="BP196" s="862">
        <f>BQ196+BR196</f>
        <v>4485.44780425533</v>
      </c>
      <c r="BQ196" s="979">
        <f>BQ$163*BQ192</f>
        <v>2493.01038638299</v>
      </c>
      <c r="BR196" s="979">
        <f>BR$163*BR192</f>
        <v>1992.43741787234</v>
      </c>
      <c r="BS196" s="862">
        <f>BT196+BU196</f>
        <v>0</v>
      </c>
      <c r="BT196" s="87">
        <f>BT$163*BT192</f>
        <v>0</v>
      </c>
      <c r="BU196" s="87">
        <f>BU$163*BU192</f>
        <v>0</v>
      </c>
      <c r="BV196" s="862">
        <f>BW196+BX196</f>
        <v>0</v>
      </c>
      <c r="BW196" s="87">
        <f>BW$163*BW192</f>
        <v>0</v>
      </c>
      <c r="BX196" s="87">
        <f>BX$163*BX192</f>
        <v>0</v>
      </c>
      <c r="BY196" s="862">
        <f>BZ196+CA196</f>
        <v>0</v>
      </c>
      <c r="BZ196" s="87">
        <f>BZ$163*BZ192</f>
        <v>0</v>
      </c>
      <c r="CA196" s="87">
        <f>CA$163*CA192</f>
        <v>0</v>
      </c>
      <c r="CB196" s="862">
        <f>CC196+CD196</f>
        <v>0</v>
      </c>
      <c r="CC196" s="87">
        <f>CC$163*CC192</f>
        <v>0</v>
      </c>
      <c r="CD196" s="87">
        <f>CD$163*CD192</f>
        <v>0</v>
      </c>
      <c r="CE196" s="862">
        <f>CF196+CG196</f>
        <v>0</v>
      </c>
      <c r="CF196" s="87">
        <f>CF$163*CF192</f>
        <v>0</v>
      </c>
      <c r="CG196" s="87">
        <f>CG$163*CG192</f>
        <v>0</v>
      </c>
      <c r="CH196" s="862">
        <f>CI196+CJ196</f>
        <v>0</v>
      </c>
      <c r="CI196" s="87">
        <f>CI$163*CI192</f>
        <v>0</v>
      </c>
      <c r="CJ196" s="87">
        <f>CJ$163*CJ192</f>
        <v>0</v>
      </c>
      <c r="CK196" s="862">
        <f>CL196+CM196</f>
        <v>0</v>
      </c>
      <c r="CL196" s="87">
        <f>CL$163*CL192</f>
        <v>0</v>
      </c>
      <c r="CM196" s="87">
        <f>CM$163*CM192</f>
        <v>0</v>
      </c>
      <c r="CN196" s="862">
        <f>CO196+CP196</f>
        <v>0</v>
      </c>
      <c r="CO196" s="87">
        <f>CO$163*CO192</f>
        <v>0</v>
      </c>
      <c r="CP196" s="87">
        <f>CP$163*CP192</f>
        <v>0</v>
      </c>
      <c r="CQ196" s="862">
        <f>CR196+CS196</f>
        <v>0</v>
      </c>
      <c r="CR196" s="87">
        <f>CR$163*CR192</f>
        <v>0</v>
      </c>
      <c r="CS196" s="87">
        <f>CS$163*CS192</f>
        <v>0</v>
      </c>
      <c r="CT196" s="73"/>
      <c r="CU196" s="0"/>
      <c r="CV196" s="1632"/>
      <c r="CW196" s="1173" t="s">
        <v>815</v>
      </c>
      <c r="CX196" s="1178" t="s">
        <v>792</v>
      </c>
      <c r="CY196" s="1182" cm="1" t="str">
        <f t="array" ref="CY196:CY196">AE196</f>
        <v>Уголь длиннопламенный</v>
      </c>
      <c r="CZ196" s="1182" cm="1" t="str">
        <f t="array" ref="CZ196:CZ196">AF196</f>
        <v/>
      </c>
      <c r="DA196" s="1179"/>
      <c r="DB196" s="1179"/>
    </row>
    <row s="1632" customFormat="1" customHeight="1" ht="15" hidden="1">
      <c r="A197" s="1443"/>
      <c r="B197" s="927"/>
      <c r="C197" s="1443"/>
      <c r="D197" s="1443"/>
      <c r="E197" s="797">
        <v>0</v>
      </c>
      <c r="F197" s="922" cm="1" t="str">
        <f t="array" ref="F197:F197">OFFSET(G197,-1,-1)</f>
        <v>1</v>
      </c>
      <c r="G197" s="965"/>
      <c r="H197" s="965"/>
      <c r="I197" s="965"/>
      <c r="J197" s="965"/>
      <c r="K197" s="965"/>
      <c r="L197" s="922" cm="1" t="str">
        <f t="array" ref="L197:L197">OFFSET(M197,-1,-1)</f>
        <v>false</v>
      </c>
      <c r="M197" s="965"/>
      <c r="N197" s="965"/>
      <c r="O197" s="965"/>
      <c r="P197" s="965"/>
      <c r="Q197" s="965"/>
      <c r="R197" s="1443"/>
      <c r="S197" s="159" cm="1" t="str">
        <f t="array" ref="S197:S197">OFFSET(T197,-1,-1)</f>
        <v>true</v>
      </c>
      <c r="T197" s="1443"/>
      <c r="U197" s="819">
        <f>AND(S197,IF(ISBLANK(T197),TRUE,T197))</f>
        <v>1</v>
      </c>
      <c r="V197" s="1443"/>
      <c r="W197" s="1443"/>
      <c r="X197" s="973" t="str">
        <f>"{                  
         funcDyn: 'msg1',
         blok: 'blok_2',
         wsCross: 'Топливо 4.4',
         linkFormula: 'AE-AE#AF-AF',
         levelDyn: "&amp;Y139&amp;"
}"</f>
        <v>{                  
         funcDyn: 'msg1',
         blok: 'blok_2',
         wsCross: 'Топливо 4.4',
         linkFormula: 'AE-AE#AF-AF',
         levelDyn: 1
}</v>
      </c>
      <c r="Y197" s="1443"/>
      <c r="Z197" s="1443"/>
      <c r="AA197" s="820"/>
      <c r="AB197" s="1487"/>
      <c r="AC197" s="0"/>
      <c r="AD197" s="976"/>
      <c r="AE197" s="975" t="s">
        <v>236</v>
      </c>
      <c r="AF197" s="874"/>
      <c r="AG197" s="1014"/>
      <c r="AH197" s="861"/>
      <c r="AI197" s="863"/>
      <c r="AJ197" s="863"/>
      <c r="AK197" s="863"/>
      <c r="AL197" s="863"/>
      <c r="AM197" s="863"/>
      <c r="AN197" s="863"/>
      <c r="AO197" s="863"/>
      <c r="AP197" s="863"/>
      <c r="AQ197" s="863"/>
      <c r="AR197" s="863"/>
      <c r="AS197" s="863"/>
      <c r="AT197" s="863"/>
      <c r="AU197" s="863"/>
      <c r="AV197" s="863"/>
      <c r="AW197" s="863"/>
      <c r="AX197" s="863"/>
      <c r="AY197" s="863"/>
      <c r="AZ197" s="863"/>
      <c r="BA197" s="863"/>
      <c r="BB197" s="863"/>
      <c r="BC197" s="863"/>
      <c r="BD197" s="863"/>
      <c r="BE197" s="863"/>
      <c r="BF197" s="863"/>
      <c r="BG197" s="863"/>
      <c r="BH197" s="863"/>
      <c r="BI197" s="863"/>
      <c r="BJ197" s="863"/>
      <c r="BK197" s="863"/>
      <c r="BL197" s="863"/>
      <c r="BM197" s="863"/>
      <c r="BN197" s="863"/>
      <c r="BO197" s="863"/>
      <c r="BP197" s="863"/>
      <c r="BQ197" s="863"/>
      <c r="BR197" s="863"/>
      <c r="BS197" s="863"/>
      <c r="BT197" s="863"/>
      <c r="BU197" s="863"/>
      <c r="BV197" s="863"/>
      <c r="BW197" s="863"/>
      <c r="BX197" s="863"/>
      <c r="BY197" s="863"/>
      <c r="BZ197" s="863"/>
      <c r="CA197" s="863"/>
      <c r="CB197" s="863"/>
      <c r="CC197" s="863"/>
      <c r="CD197" s="863"/>
      <c r="CE197" s="863"/>
      <c r="CF197" s="863"/>
      <c r="CG197" s="863"/>
      <c r="CH197" s="863"/>
      <c r="CI197" s="863"/>
      <c r="CJ197" s="863"/>
      <c r="CK197" s="863"/>
      <c r="CL197" s="863"/>
      <c r="CM197" s="863"/>
      <c r="CN197" s="863"/>
      <c r="CO197" s="863"/>
      <c r="CP197" s="863"/>
      <c r="CQ197" s="863"/>
      <c r="CR197" s="863"/>
      <c r="CS197" s="863"/>
      <c r="CT197" s="91"/>
      <c r="CU197" s="0"/>
      <c r="CV197" s="1632"/>
      <c r="CW197" s="1173" t="str">
        <f>IF(AND(ISNUMBER(VALUE(TRIM(SUBSTITUTE(AD197,".","")))),TRIM(SUBSTITUTE(AD197,".",""))&lt;&gt;""),"P"&amp;SUBSTITUTE(AD197,".",""),"")</f>
        <v/>
      </c>
      <c r="CX197" s="1178"/>
      <c r="CY197" s="1178"/>
      <c r="CZ197" s="1178"/>
      <c r="DA197" s="1179"/>
      <c r="DB197" s="1179"/>
    </row>
    <row s="1632" customFormat="1" customHeight="1" ht="16.5">
      <c r="A198" s="1443"/>
      <c r="B198" s="927"/>
      <c r="C198" s="1443"/>
      <c r="D198" s="1443"/>
      <c r="E198" s="797">
        <v>17.1</v>
      </c>
      <c r="F198" s="922" cm="1" t="str">
        <f t="array" ref="F198:F198">OFFSET(G198,-1,-1)</f>
        <v>1</v>
      </c>
      <c r="G198" s="965"/>
      <c r="H198" s="965"/>
      <c r="I198" s="965"/>
      <c r="J198" s="965"/>
      <c r="K198" s="965"/>
      <c r="L198" s="922" cm="1" t="str">
        <f t="array" ref="L198:L198">OFFSET(M198,-1,-1)</f>
        <v>false</v>
      </c>
      <c r="M198" s="965"/>
      <c r="N198" s="965"/>
      <c r="O198" s="965"/>
      <c r="P198" s="965"/>
      <c r="Q198" s="965"/>
      <c r="R198" s="1443"/>
      <c r="S198" s="159" cm="1" t="str">
        <f t="array" ref="S198:S198">OFFSET(T198,-1,-1)</f>
        <v>true</v>
      </c>
      <c r="T198" s="1443"/>
      <c r="U198" s="819">
        <f>AND(S198,IF(ISBLANK(T198),TRUE,T198))</f>
        <v>1</v>
      </c>
      <c r="V198" s="1443"/>
      <c r="W198" s="1443"/>
      <c r="X198" s="1443"/>
      <c r="Y198" s="1443"/>
      <c r="Z198" s="1443"/>
      <c r="AA198" s="820"/>
      <c r="AB198" s="1491" t="s">
        <v>817</v>
      </c>
      <c r="AC198" s="0"/>
      <c r="AD198" s="173">
        <v>26</v>
      </c>
      <c r="AE198" s="1497" t="s">
        <v>818</v>
      </c>
      <c r="AF198" s="323"/>
      <c r="AG198" s="1010"/>
      <c r="AH198" s="861"/>
      <c r="AI198" s="863"/>
      <c r="AJ198" s="863"/>
      <c r="AK198" s="863"/>
      <c r="AL198" s="863"/>
      <c r="AM198" s="863"/>
      <c r="AN198" s="863"/>
      <c r="AO198" s="863"/>
      <c r="AP198" s="863"/>
      <c r="AQ198" s="863"/>
      <c r="AR198" s="863"/>
      <c r="AS198" s="863"/>
      <c r="AT198" s="863"/>
      <c r="AU198" s="863"/>
      <c r="AV198" s="863"/>
      <c r="AW198" s="863"/>
      <c r="AX198" s="863"/>
      <c r="AY198" s="863"/>
      <c r="AZ198" s="863"/>
      <c r="BA198" s="863"/>
      <c r="BB198" s="863"/>
      <c r="BC198" s="863"/>
      <c r="BD198" s="863"/>
      <c r="BE198" s="863"/>
      <c r="BF198" s="863"/>
      <c r="BG198" s="863"/>
      <c r="BH198" s="863"/>
      <c r="BI198" s="863"/>
      <c r="BJ198" s="863"/>
      <c r="BK198" s="863"/>
      <c r="BL198" s="863"/>
      <c r="BM198" s="863"/>
      <c r="BN198" s="863"/>
      <c r="BO198" s="863"/>
      <c r="BP198" s="863"/>
      <c r="BQ198" s="863"/>
      <c r="BR198" s="863"/>
      <c r="BS198" s="863"/>
      <c r="BT198" s="863"/>
      <c r="BU198" s="863"/>
      <c r="BV198" s="863"/>
      <c r="BW198" s="863"/>
      <c r="BX198" s="863"/>
      <c r="BY198" s="863"/>
      <c r="BZ198" s="863"/>
      <c r="CA198" s="863"/>
      <c r="CB198" s="863"/>
      <c r="CC198" s="863"/>
      <c r="CD198" s="863"/>
      <c r="CE198" s="863"/>
      <c r="CF198" s="863"/>
      <c r="CG198" s="863"/>
      <c r="CH198" s="863"/>
      <c r="CI198" s="863"/>
      <c r="CJ198" s="863"/>
      <c r="CK198" s="863"/>
      <c r="CL198" s="863"/>
      <c r="CM198" s="863"/>
      <c r="CN198" s="863"/>
      <c r="CO198" s="863"/>
      <c r="CP198" s="863"/>
      <c r="CQ198" s="863"/>
      <c r="CR198" s="863"/>
      <c r="CS198" s="863"/>
      <c r="CT198" s="1719"/>
      <c r="CU198" s="0"/>
      <c r="CV198" s="1632"/>
      <c r="CW198" s="1173" t="s">
        <v>819</v>
      </c>
      <c r="CX198" s="1178"/>
      <c r="CY198" s="1178"/>
      <c r="CZ198" s="1178"/>
      <c r="DA198" s="1179"/>
      <c r="DB198" s="1179"/>
    </row>
    <row s="1632" customFormat="1" customHeight="1" ht="16.5" hidden="1">
      <c r="E199" s="797">
        <v>17.1</v>
      </c>
      <c r="F199" s="922" cm="1" t="str">
        <f t="array" ref="F199:F199">OFFSET(G199,-1,-1)</f>
        <v>1</v>
      </c>
      <c r="L199" s="922" cm="1" t="str">
        <f t="array" ref="L199:L199">OFFSET(M199,-1,-1)</f>
        <v>false</v>
      </c>
      <c r="S199" s="159" cm="1" t="str">
        <f t="array" ref="S199:S199">OFFSET(T199,-1,-1)</f>
        <v>true</v>
      </c>
      <c r="T199" s="159">
        <f>AD199&lt;&gt;"26.0"</f>
        <v>0</v>
      </c>
      <c r="U199" s="819">
        <f>AND(S199,IF(ISBLANK(T199),TRUE,T199))</f>
        <v>0</v>
      </c>
      <c r="X199" s="159" t="s">
        <v>234</v>
      </c>
      <c r="AB199" s="1492"/>
      <c r="AD199" s="160" t="s">
        <v>820</v>
      </c>
      <c r="AE199" s="974"/>
      <c r="AF199" s="625"/>
      <c r="AG199" s="859" t="s">
        <v>498</v>
      </c>
      <c r="AH199" s="90"/>
      <c r="AI199" s="94"/>
      <c r="AJ199" s="94"/>
      <c r="AK199" s="94"/>
      <c r="AL199" s="863"/>
      <c r="AM199" s="87"/>
      <c r="AN199" s="87"/>
      <c r="AO199" s="863"/>
      <c r="AP199" s="94"/>
      <c r="AQ199" s="94"/>
      <c r="AR199" s="863"/>
      <c r="AS199" s="94"/>
      <c r="AT199" s="94"/>
      <c r="AU199" s="863"/>
      <c r="AV199" s="94"/>
      <c r="AW199" s="94"/>
      <c r="AX199" s="863"/>
      <c r="AY199" s="94"/>
      <c r="AZ199" s="94"/>
      <c r="BA199" s="863"/>
      <c r="BB199" s="94"/>
      <c r="BC199" s="94"/>
      <c r="BD199" s="863"/>
      <c r="BE199" s="94"/>
      <c r="BF199" s="94"/>
      <c r="BG199" s="863"/>
      <c r="BH199" s="94"/>
      <c r="BI199" s="94"/>
      <c r="BJ199" s="863"/>
      <c r="BK199" s="94"/>
      <c r="BL199" s="94"/>
      <c r="BM199" s="863"/>
      <c r="BN199" s="94"/>
      <c r="BO199" s="94"/>
      <c r="BP199" s="863"/>
      <c r="BQ199" s="1864"/>
      <c r="BR199" s="984"/>
      <c r="BS199" s="863"/>
      <c r="BT199" s="94"/>
      <c r="BU199" s="94"/>
      <c r="BV199" s="863"/>
      <c r="BW199" s="94"/>
      <c r="BX199" s="94"/>
      <c r="BY199" s="863"/>
      <c r="BZ199" s="94"/>
      <c r="CA199" s="94"/>
      <c r="CB199" s="863"/>
      <c r="CC199" s="94"/>
      <c r="CD199" s="94"/>
      <c r="CE199" s="863"/>
      <c r="CF199" s="94"/>
      <c r="CG199" s="94"/>
      <c r="CH199" s="863"/>
      <c r="CI199" s="94"/>
      <c r="CJ199" s="94"/>
      <c r="CK199" s="863"/>
      <c r="CL199" s="94"/>
      <c r="CM199" s="94"/>
      <c r="CN199" s="863"/>
      <c r="CO199" s="94"/>
      <c r="CP199" s="94"/>
      <c r="CQ199" s="863"/>
      <c r="CR199" s="94"/>
      <c r="CS199" s="94"/>
      <c r="CT199" s="73"/>
      <c r="CW199" s="1173" t="s">
        <v>819</v>
      </c>
      <c r="CX199" s="1178" t="s">
        <v>792</v>
      </c>
      <c r="CY199" s="1182" cm="1" t="str">
        <f t="array" ref="CY199:CY199">AE199</f>
        <v>0</v>
      </c>
      <c r="CZ199" s="1182" cm="1" t="str">
        <f t="array" ref="CZ199:CZ199">AF199</f>
        <v>0</v>
      </c>
      <c r="DA199" s="1179"/>
      <c r="DB199" s="1179"/>
    </row>
    <row s="1632" customFormat="1" customHeight="1" ht="16.5">
      <c r="A200" s="1632"/>
      <c r="B200" s="1632"/>
      <c r="C200" s="1632"/>
      <c r="D200" s="1632"/>
      <c r="E200" s="797">
        <v>17.1</v>
      </c>
      <c r="F200" s="922" cm="1" t="str">
        <f t="array" ref="F200:F200">OFFSET(G200,-1,-1)</f>
        <v>1</v>
      </c>
      <c r="G200" s="1632"/>
      <c r="H200" s="1632"/>
      <c r="I200" s="1632"/>
      <c r="J200" s="1632"/>
      <c r="K200" s="1632"/>
      <c r="L200" s="922" cm="1" t="str">
        <f t="array" ref="L200:L200">OFFSET(M200,-1,-1)</f>
        <v>false</v>
      </c>
      <c r="M200" s="1632"/>
      <c r="N200" s="1632"/>
      <c r="O200" s="1632"/>
      <c r="P200" s="1632"/>
      <c r="Q200" s="1632"/>
      <c r="R200" s="1632"/>
      <c r="S200" s="159" cm="1" t="str">
        <f t="array" ref="S200:S200">OFFSET(T200,-1,-1)</f>
        <v>true</v>
      </c>
      <c r="T200" s="159">
        <f>AD200&lt;&gt;"26.0"</f>
        <v>1</v>
      </c>
      <c r="U200" s="819">
        <f>AND(S200,IF(ISBLANK(T200),TRUE,T200))</f>
        <v>1</v>
      </c>
      <c r="V200" s="1632"/>
      <c r="W200" s="1632"/>
      <c r="X200" s="159" t="str">
        <f>'Топливо 4.4'!$AE$196&amp;'Топливо 4.4'!$AF$196</f>
        <v>Уголь длиннопламенный</v>
      </c>
      <c r="Y200" s="1632"/>
      <c r="Z200" s="1632"/>
      <c r="AA200" s="1632"/>
      <c r="AB200" s="1492"/>
      <c r="AC200" s="0"/>
      <c r="AD200" s="160" t="s">
        <v>910</v>
      </c>
      <c r="AE200" s="974" cm="1" t="str">
        <f t="array" ref="AE200:AE200">IF(ISBLANK('Топливо 4.4'!$AE$196),"",'Топливо 4.4'!$AE$196)</f>
        <v>Уголь длиннопламенный</v>
      </c>
      <c r="AF200" s="625" cm="1" t="str">
        <f t="array" ref="AF200:AF200">IF(ISBLANK('Топливо 4.4'!$AF$196),"",'Топливо 4.4'!$AF$196)</f>
        <v/>
      </c>
      <c r="AG200" s="859" t="s">
        <v>498</v>
      </c>
      <c r="AH200" s="1804"/>
      <c r="AI200" s="1829"/>
      <c r="AJ200" s="1829"/>
      <c r="AK200" s="1829"/>
      <c r="AL200" s="863"/>
      <c r="AM200" s="1772"/>
      <c r="AN200" s="1772"/>
      <c r="AO200" s="863"/>
      <c r="AP200" s="1829"/>
      <c r="AQ200" s="1829"/>
      <c r="AR200" s="863"/>
      <c r="AS200" s="1829"/>
      <c r="AT200" s="1829"/>
      <c r="AU200" s="863"/>
      <c r="AV200" s="1829"/>
      <c r="AW200" s="1829"/>
      <c r="AX200" s="863"/>
      <c r="AY200" s="1829"/>
      <c r="AZ200" s="1829"/>
      <c r="BA200" s="863"/>
      <c r="BB200" s="1829"/>
      <c r="BC200" s="1829"/>
      <c r="BD200" s="863"/>
      <c r="BE200" s="1829"/>
      <c r="BF200" s="1829"/>
      <c r="BG200" s="863"/>
      <c r="BH200" s="1829"/>
      <c r="BI200" s="1829"/>
      <c r="BJ200" s="863"/>
      <c r="BK200" s="1829"/>
      <c r="BL200" s="1829"/>
      <c r="BM200" s="863"/>
      <c r="BN200" s="1829"/>
      <c r="BO200" s="1829"/>
      <c r="BP200" s="863"/>
      <c r="BQ200" s="984"/>
      <c r="BR200" s="984"/>
      <c r="BS200" s="863"/>
      <c r="BT200" s="1829"/>
      <c r="BU200" s="1829"/>
      <c r="BV200" s="863"/>
      <c r="BW200" s="1829"/>
      <c r="BX200" s="1829"/>
      <c r="BY200" s="863"/>
      <c r="BZ200" s="1829"/>
      <c r="CA200" s="1829"/>
      <c r="CB200" s="863"/>
      <c r="CC200" s="1829"/>
      <c r="CD200" s="1829"/>
      <c r="CE200" s="863"/>
      <c r="CF200" s="1829"/>
      <c r="CG200" s="1829"/>
      <c r="CH200" s="863"/>
      <c r="CI200" s="1829"/>
      <c r="CJ200" s="1829"/>
      <c r="CK200" s="863"/>
      <c r="CL200" s="1829"/>
      <c r="CM200" s="1829"/>
      <c r="CN200" s="863"/>
      <c r="CO200" s="1829"/>
      <c r="CP200" s="1829"/>
      <c r="CQ200" s="863"/>
      <c r="CR200" s="1829"/>
      <c r="CS200" s="1829"/>
      <c r="CT200" s="1719"/>
      <c r="CU200" s="0"/>
      <c r="CV200" s="1632"/>
      <c r="CW200" s="1173" t="s">
        <v>819</v>
      </c>
      <c r="CX200" s="1178" t="s">
        <v>792</v>
      </c>
      <c r="CY200" s="1182" cm="1" t="str">
        <f t="array" ref="CY200:CY200">AE200</f>
        <v>Уголь длиннопламенный</v>
      </c>
      <c r="CZ200" s="1182" cm="1" t="str">
        <f t="array" ref="CZ200:CZ200">AF200</f>
        <v/>
      </c>
      <c r="DA200" s="1179"/>
      <c r="DB200" s="1179"/>
    </row>
    <row s="1632" customFormat="1" customHeight="1" ht="15" hidden="1">
      <c r="A201" s="1443"/>
      <c r="B201" s="927"/>
      <c r="C201" s="1443"/>
      <c r="D201" s="1443"/>
      <c r="E201" s="797">
        <v>0</v>
      </c>
      <c r="F201" s="922" cm="1" t="str">
        <f t="array" ref="F201:F201">OFFSET(G201,-1,-1)</f>
        <v>1</v>
      </c>
      <c r="G201" s="965"/>
      <c r="H201" s="965"/>
      <c r="I201" s="965"/>
      <c r="J201" s="965"/>
      <c r="K201" s="965"/>
      <c r="L201" s="922" cm="1" t="str">
        <f t="array" ref="L201:L201">OFFSET(M201,-1,-1)</f>
        <v>false</v>
      </c>
      <c r="M201" s="965"/>
      <c r="N201" s="965"/>
      <c r="O201" s="965"/>
      <c r="P201" s="965"/>
      <c r="Q201" s="965"/>
      <c r="R201" s="1443"/>
      <c r="S201" s="159" cm="1" t="str">
        <f t="array" ref="S201:S201">OFFSET(T201,-1,-1)</f>
        <v>true</v>
      </c>
      <c r="T201" s="1443"/>
      <c r="U201" s="819">
        <f>AND(S201,IF(ISBLANK(T201),TRUE,T201))</f>
        <v>1</v>
      </c>
      <c r="V201" s="1443"/>
      <c r="W201" s="1443"/>
      <c r="X201" s="973" t="str">
        <f>"{                  
         funcDyn: 'msg1',
         blok: 'blok_2',
         wsCross: 'Топливо 4.4',
         linkFormula: 'AE-AE#AF-AF',
         levelDyn: "&amp;Y139&amp;"
}"</f>
        <v>{                  
         funcDyn: 'msg1',
         blok: 'blok_2',
         wsCross: 'Топливо 4.4',
         linkFormula: 'AE-AE#AF-AF',
         levelDyn: 1
}</v>
      </c>
      <c r="Y201" s="1443"/>
      <c r="Z201" s="1443"/>
      <c r="AA201" s="820"/>
      <c r="AB201" s="1492"/>
      <c r="AC201" s="0"/>
      <c r="AD201" s="976"/>
      <c r="AE201" s="975" t="s">
        <v>236</v>
      </c>
      <c r="AF201" s="874"/>
      <c r="AG201" s="859"/>
      <c r="AH201" s="876"/>
      <c r="AI201" s="95"/>
      <c r="AJ201" s="95"/>
      <c r="AK201" s="95"/>
      <c r="AL201" s="863"/>
      <c r="AM201" s="95"/>
      <c r="AN201" s="95"/>
      <c r="AO201" s="863"/>
      <c r="AP201" s="95"/>
      <c r="AQ201" s="95"/>
      <c r="AR201" s="863"/>
      <c r="AS201" s="95"/>
      <c r="AT201" s="95"/>
      <c r="AU201" s="863"/>
      <c r="AV201" s="95"/>
      <c r="AW201" s="95"/>
      <c r="AX201" s="863"/>
      <c r="AY201" s="95"/>
      <c r="AZ201" s="95"/>
      <c r="BA201" s="863"/>
      <c r="BB201" s="95"/>
      <c r="BC201" s="95"/>
      <c r="BD201" s="863"/>
      <c r="BE201" s="95"/>
      <c r="BF201" s="95"/>
      <c r="BG201" s="863"/>
      <c r="BH201" s="95"/>
      <c r="BI201" s="95"/>
      <c r="BJ201" s="863"/>
      <c r="BK201" s="95"/>
      <c r="BL201" s="95"/>
      <c r="BM201" s="863"/>
      <c r="BN201" s="95"/>
      <c r="BO201" s="95"/>
      <c r="BP201" s="863"/>
      <c r="BQ201" s="95"/>
      <c r="BR201" s="95"/>
      <c r="BS201" s="863"/>
      <c r="BT201" s="95"/>
      <c r="BU201" s="95"/>
      <c r="BV201" s="863"/>
      <c r="BW201" s="95"/>
      <c r="BX201" s="95"/>
      <c r="BY201" s="863"/>
      <c r="BZ201" s="95"/>
      <c r="CA201" s="95"/>
      <c r="CB201" s="863"/>
      <c r="CC201" s="95"/>
      <c r="CD201" s="95"/>
      <c r="CE201" s="863"/>
      <c r="CF201" s="95"/>
      <c r="CG201" s="95"/>
      <c r="CH201" s="863"/>
      <c r="CI201" s="95"/>
      <c r="CJ201" s="95"/>
      <c r="CK201" s="863"/>
      <c r="CL201" s="95"/>
      <c r="CM201" s="95"/>
      <c r="CN201" s="863"/>
      <c r="CO201" s="95"/>
      <c r="CP201" s="95"/>
      <c r="CQ201" s="863"/>
      <c r="CR201" s="95"/>
      <c r="CS201" s="95"/>
      <c r="CT201" s="91"/>
      <c r="CU201" s="0"/>
      <c r="CV201" s="1632"/>
      <c r="CW201" s="1173" t="str">
        <f>IF(AND(ISNUMBER(VALUE(TRIM(SUBSTITUTE(AD201,".","")))),TRIM(SUBSTITUTE(AD201,".",""))&lt;&gt;""),"P"&amp;SUBSTITUTE(AD201,".",""),"")</f>
        <v/>
      </c>
      <c r="CX201" s="1178"/>
      <c r="CY201" s="1178"/>
      <c r="CZ201" s="1178"/>
      <c r="DA201" s="1179"/>
      <c r="DB201" s="1179"/>
    </row>
    <row s="1632" customFormat="1" customHeight="1" ht="16.5">
      <c r="A202" s="1443"/>
      <c r="B202" s="927"/>
      <c r="C202" s="1443"/>
      <c r="D202" s="1443"/>
      <c r="E202" s="797">
        <v>17.1</v>
      </c>
      <c r="F202" s="922" cm="1" t="str">
        <f t="array" ref="F202:F202">OFFSET(G202,-1,-1)</f>
        <v>1</v>
      </c>
      <c r="G202" s="965"/>
      <c r="H202" s="965"/>
      <c r="I202" s="965"/>
      <c r="J202" s="965"/>
      <c r="K202" s="965"/>
      <c r="L202" s="922" cm="1" t="str">
        <f t="array" ref="L202:L202">OFFSET(M202,-1,-1)</f>
        <v>false</v>
      </c>
      <c r="M202" s="965"/>
      <c r="N202" s="965"/>
      <c r="O202" s="965"/>
      <c r="P202" s="965"/>
      <c r="Q202" s="965"/>
      <c r="R202" s="1443"/>
      <c r="S202" s="159" cm="1" t="str">
        <f t="array" ref="S202:S202">OFFSET(T202,-1,-1)</f>
        <v>true</v>
      </c>
      <c r="T202" s="1443"/>
      <c r="U202" s="819">
        <f>AND(S202,IF(ISBLANK(T202),TRUE,T202))</f>
        <v>1</v>
      </c>
      <c r="V202" s="1443"/>
      <c r="W202" s="1443"/>
      <c r="X202" s="1443"/>
      <c r="Y202" s="1443"/>
      <c r="Z202" s="1443"/>
      <c r="AA202" s="820"/>
      <c r="AB202" s="1492"/>
      <c r="AC202" s="0"/>
      <c r="AD202" s="173">
        <v>27</v>
      </c>
      <c r="AE202" s="1497" t="s">
        <v>821</v>
      </c>
      <c r="AF202" s="323"/>
      <c r="AG202" s="1010"/>
      <c r="AH202" s="861"/>
      <c r="AI202" s="863"/>
      <c r="AJ202" s="863"/>
      <c r="AK202" s="863"/>
      <c r="AL202" s="863"/>
      <c r="AM202" s="863"/>
      <c r="AN202" s="863"/>
      <c r="AO202" s="863"/>
      <c r="AP202" s="863"/>
      <c r="AQ202" s="863"/>
      <c r="AR202" s="863"/>
      <c r="AS202" s="863"/>
      <c r="AT202" s="863"/>
      <c r="AU202" s="863"/>
      <c r="AV202" s="863"/>
      <c r="AW202" s="863"/>
      <c r="AX202" s="863"/>
      <c r="AY202" s="863"/>
      <c r="AZ202" s="863"/>
      <c r="BA202" s="863"/>
      <c r="BB202" s="863"/>
      <c r="BC202" s="863"/>
      <c r="BD202" s="863"/>
      <c r="BE202" s="863"/>
      <c r="BF202" s="863"/>
      <c r="BG202" s="863"/>
      <c r="BH202" s="863"/>
      <c r="BI202" s="863"/>
      <c r="BJ202" s="863"/>
      <c r="BK202" s="863"/>
      <c r="BL202" s="863"/>
      <c r="BM202" s="863"/>
      <c r="BN202" s="863"/>
      <c r="BO202" s="863"/>
      <c r="BP202" s="863"/>
      <c r="BQ202" s="863"/>
      <c r="BR202" s="863"/>
      <c r="BS202" s="863"/>
      <c r="BT202" s="863"/>
      <c r="BU202" s="863"/>
      <c r="BV202" s="863"/>
      <c r="BW202" s="863"/>
      <c r="BX202" s="863"/>
      <c r="BY202" s="863"/>
      <c r="BZ202" s="863"/>
      <c r="CA202" s="863"/>
      <c r="CB202" s="863"/>
      <c r="CC202" s="863"/>
      <c r="CD202" s="863"/>
      <c r="CE202" s="863"/>
      <c r="CF202" s="863"/>
      <c r="CG202" s="863"/>
      <c r="CH202" s="863"/>
      <c r="CI202" s="863"/>
      <c r="CJ202" s="863"/>
      <c r="CK202" s="863"/>
      <c r="CL202" s="863"/>
      <c r="CM202" s="863"/>
      <c r="CN202" s="863"/>
      <c r="CO202" s="863"/>
      <c r="CP202" s="863"/>
      <c r="CQ202" s="863"/>
      <c r="CR202" s="863"/>
      <c r="CS202" s="863"/>
      <c r="CT202" s="1719"/>
      <c r="CU202" s="0"/>
      <c r="CV202" s="1632"/>
      <c r="CW202" s="1173" t="s">
        <v>822</v>
      </c>
      <c r="CX202" s="1178"/>
      <c r="CY202" s="1178"/>
      <c r="CZ202" s="1178"/>
      <c r="DA202" s="1179"/>
      <c r="DB202" s="1179"/>
    </row>
    <row s="1632" customFormat="1" customHeight="1" ht="16.5" hidden="1">
      <c r="E203" s="797">
        <v>17.1</v>
      </c>
      <c r="F203" s="922" cm="1" t="str">
        <f t="array" ref="F203:F203">OFFSET(G203,-1,-1)</f>
        <v>1</v>
      </c>
      <c r="L203" s="922" cm="1" t="str">
        <f t="array" ref="L203:L203">OFFSET(M203,-1,-1)</f>
        <v>false</v>
      </c>
      <c r="S203" s="159" cm="1" t="str">
        <f t="array" ref="S203:S203">OFFSET(T203,-1,-1)</f>
        <v>true</v>
      </c>
      <c r="T203" s="159">
        <f>AD203&lt;&gt;"27.0"</f>
        <v>0</v>
      </c>
      <c r="U203" s="819">
        <f>AND(S203,IF(ISBLANK(T203),TRUE,T203))</f>
        <v>0</v>
      </c>
      <c r="X203" s="159" t="s">
        <v>234</v>
      </c>
      <c r="AB203" s="1492"/>
      <c r="AD203" s="160" t="s">
        <v>823</v>
      </c>
      <c r="AE203" s="974"/>
      <c r="AF203" s="625"/>
      <c r="AG203" s="1815"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2">
        <f>_xlfn.IFERROR(AL208/AL178,0)*1000</f>
        <v>0</v>
      </c>
      <c r="AM203" s="87"/>
      <c r="AN203" s="87"/>
      <c r="AO203" s="862">
        <f>_xlfn.IFERROR(AO208/AO178,0)*1000</f>
        <v>0</v>
      </c>
      <c r="AP203" s="87"/>
      <c r="AQ203" s="87"/>
      <c r="AR203" s="862">
        <f>_xlfn.IFERROR(AR208/AR178,0)*1000</f>
        <v>0</v>
      </c>
      <c r="AS203" s="87"/>
      <c r="AT203" s="87"/>
      <c r="AU203" s="862">
        <f>_xlfn.IFERROR(AU208/AU178,0)*1000</f>
        <v>0</v>
      </c>
      <c r="AV203" s="87"/>
      <c r="AW203" s="87"/>
      <c r="AX203" s="862">
        <f>_xlfn.IFERROR(AX208/AX178,0)*1000</f>
        <v>0</v>
      </c>
      <c r="AY203" s="87"/>
      <c r="AZ203" s="87"/>
      <c r="BA203" s="862">
        <f>_xlfn.IFERROR(BA208/BA178,0)*1000</f>
        <v>0</v>
      </c>
      <c r="BB203" s="87"/>
      <c r="BC203" s="87"/>
      <c r="BD203" s="862">
        <f>_xlfn.IFERROR(BD208/BD178,0)*1000</f>
        <v>0</v>
      </c>
      <c r="BE203" s="87"/>
      <c r="BF203" s="87"/>
      <c r="BG203" s="862">
        <f>_xlfn.IFERROR(BG208/BG178,0)*1000</f>
        <v>0</v>
      </c>
      <c r="BH203" s="87"/>
      <c r="BI203" s="87"/>
      <c r="BJ203" s="862">
        <f>_xlfn.IFERROR(BJ208/BJ178,0)*1000</f>
        <v>0</v>
      </c>
      <c r="BK203" s="87"/>
      <c r="BL203" s="87"/>
      <c r="BM203" s="862">
        <f>_xlfn.IFERROR(BM208/BM178,0)*1000</f>
        <v>0</v>
      </c>
      <c r="BN203" s="87"/>
      <c r="BO203" s="87"/>
      <c r="BP203" s="862">
        <f>_xlfn.IFERROR(BP208/BP178,0)*1000</f>
        <v>0</v>
      </c>
      <c r="BQ203" s="979"/>
      <c r="BR203" s="979"/>
      <c r="BS203" s="862">
        <f>_xlfn.IFERROR(BS208/BS178,0)*1000</f>
        <v>0</v>
      </c>
      <c r="BT203" s="87"/>
      <c r="BU203" s="87"/>
      <c r="BV203" s="862">
        <f>_xlfn.IFERROR(BV208/BV178,0)*1000</f>
        <v>0</v>
      </c>
      <c r="BW203" s="87"/>
      <c r="BX203" s="87"/>
      <c r="BY203" s="862">
        <f>_xlfn.IFERROR(BY208/BY178,0)*1000</f>
        <v>0</v>
      </c>
      <c r="BZ203" s="87"/>
      <c r="CA203" s="87"/>
      <c r="CB203" s="862">
        <f>_xlfn.IFERROR(CB208/CB178,0)*1000</f>
        <v>0</v>
      </c>
      <c r="CC203" s="87"/>
      <c r="CD203" s="87"/>
      <c r="CE203" s="862">
        <f>_xlfn.IFERROR(CE208/CE178,0)*1000</f>
        <v>0</v>
      </c>
      <c r="CF203" s="87"/>
      <c r="CG203" s="87"/>
      <c r="CH203" s="862">
        <f>_xlfn.IFERROR(CH208/CH178,0)*1000</f>
        <v>0</v>
      </c>
      <c r="CI203" s="87"/>
      <c r="CJ203" s="87"/>
      <c r="CK203" s="862">
        <f>_xlfn.IFERROR(CK208/CK178,0)*1000</f>
        <v>0</v>
      </c>
      <c r="CL203" s="87"/>
      <c r="CM203" s="87"/>
      <c r="CN203" s="862">
        <f>_xlfn.IFERROR(CN208/CN178,0)*1000</f>
        <v>0</v>
      </c>
      <c r="CO203" s="87"/>
      <c r="CP203" s="87"/>
      <c r="CQ203" s="862">
        <f>_xlfn.IFERROR(CQ208/CQ178,0)*1000</f>
        <v>0</v>
      </c>
      <c r="CR203" s="87"/>
      <c r="CS203" s="87"/>
      <c r="CT203" s="73"/>
      <c r="CW203" s="1173" t="s">
        <v>822</v>
      </c>
      <c r="CX203" s="1178" t="s">
        <v>792</v>
      </c>
      <c r="CY203" s="1182" cm="1" t="str">
        <f t="array" ref="CY203:CY203">AE203</f>
        <v>0</v>
      </c>
      <c r="CZ203" s="1182" cm="1" t="str">
        <f t="array" ref="CZ203:CZ203">AF203</f>
        <v>0</v>
      </c>
      <c r="DA203" s="1179"/>
      <c r="DB203" s="1179"/>
    </row>
    <row s="1632" customFormat="1" customHeight="1" ht="16.5">
      <c r="A204" s="1632"/>
      <c r="B204" s="1632"/>
      <c r="C204" s="1632"/>
      <c r="D204" s="1632"/>
      <c r="E204" s="797">
        <v>17.1</v>
      </c>
      <c r="F204" s="922" cm="1" t="str">
        <f t="array" ref="F204:F204">OFFSET(G204,-1,-1)</f>
        <v>1</v>
      </c>
      <c r="G204" s="1632"/>
      <c r="H204" s="1632"/>
      <c r="I204" s="1632"/>
      <c r="J204" s="1632"/>
      <c r="K204" s="1632"/>
      <c r="L204" s="922" cm="1" t="str">
        <f t="array" ref="L204:L204">OFFSET(M204,-1,-1)</f>
        <v>false</v>
      </c>
      <c r="M204" s="1632"/>
      <c r="N204" s="1632"/>
      <c r="O204" s="1632"/>
      <c r="P204" s="1632"/>
      <c r="Q204" s="1632"/>
      <c r="R204" s="1632"/>
      <c r="S204" s="159" cm="1" t="str">
        <f t="array" ref="S204:S204">OFFSET(T204,-1,-1)</f>
        <v>true</v>
      </c>
      <c r="T204" s="159">
        <f>AD204&lt;&gt;"27.0"</f>
        <v>1</v>
      </c>
      <c r="U204" s="819">
        <f>AND(S204,IF(ISBLANK(T204),TRUE,T204))</f>
        <v>1</v>
      </c>
      <c r="V204" s="1632"/>
      <c r="W204" s="1632"/>
      <c r="X204" s="159" t="str">
        <f>'Топливо 4.4'!$AE$200&amp;'Топливо 4.4'!$AF$200</f>
        <v>Уголь длиннопламенный</v>
      </c>
      <c r="Y204" s="1632"/>
      <c r="Z204" s="1632"/>
      <c r="AA204" s="1632"/>
      <c r="AB204" s="1492"/>
      <c r="AC204" s="0"/>
      <c r="AD204" s="160" t="s">
        <v>911</v>
      </c>
      <c r="AE204" s="974" cm="1" t="str">
        <f t="array" ref="AE204:AE204">IF(ISBLANK('Топливо 4.4'!$AE$200),"",'Топливо 4.4'!$AE$200)</f>
        <v>Уголь длиннопламенный</v>
      </c>
      <c r="AF204" s="625" cm="1" t="str">
        <f t="array" ref="AF204:AF204">IF(ISBLANK('Топливо 4.4'!$AF$200),"",'Топливо 4.4'!$AF$200)</f>
        <v/>
      </c>
      <c r="AG204" s="1815" t="str">
        <f>"руб./"&amp;_xlfn.IFERROR(INDEX(fuel_ed_izm_list,MATCH(AE204,fuel_list,0)),"")</f>
        <v>руб./тнт</v>
      </c>
      <c r="AH204" s="1791">
        <f>_xlfn.IFERROR(AH209/AH179,0)*1000</f>
        <v>0</v>
      </c>
      <c r="AI204" s="1791">
        <f>_xlfn.IFERROR(AI209/AI179,0)*1000</f>
        <v>0</v>
      </c>
      <c r="AJ204" s="1791">
        <f>_xlfn.IFERROR(AJ209/AJ179,0)*1000</f>
        <v>0</v>
      </c>
      <c r="AK204" s="1791">
        <f>_xlfn.IFERROR(AK209/AK179,0)*1000</f>
        <v>0</v>
      </c>
      <c r="AL204" s="862">
        <f>_xlfn.IFERROR(AL209/AL179,0)*1000</f>
        <v>0</v>
      </c>
      <c r="AM204" s="1772"/>
      <c r="AN204" s="1772"/>
      <c r="AO204" s="862">
        <f>_xlfn.IFERROR(AO209/AO179,0)*1000</f>
        <v>0</v>
      </c>
      <c r="AP204" s="1772"/>
      <c r="AQ204" s="1772"/>
      <c r="AR204" s="862">
        <f>_xlfn.IFERROR(AR209/AR179,0)*1000</f>
        <v>0</v>
      </c>
      <c r="AS204" s="1772"/>
      <c r="AT204" s="1772"/>
      <c r="AU204" s="862">
        <f>_xlfn.IFERROR(AU209/AU179,0)*1000</f>
        <v>0</v>
      </c>
      <c r="AV204" s="1772"/>
      <c r="AW204" s="1772"/>
      <c r="AX204" s="862">
        <f>_xlfn.IFERROR(AX209/AX179,0)*1000</f>
        <v>0</v>
      </c>
      <c r="AY204" s="1772"/>
      <c r="AZ204" s="1772"/>
      <c r="BA204" s="862">
        <f>_xlfn.IFERROR(BA209/BA179,0)*1000</f>
        <v>0</v>
      </c>
      <c r="BB204" s="1772"/>
      <c r="BC204" s="1772"/>
      <c r="BD204" s="862">
        <f>_xlfn.IFERROR(BD209/BD179,0)*1000</f>
        <v>0</v>
      </c>
      <c r="BE204" s="1772"/>
      <c r="BF204" s="1772"/>
      <c r="BG204" s="862">
        <f>_xlfn.IFERROR(BG209/BG179,0)*1000</f>
        <v>0</v>
      </c>
      <c r="BH204" s="1772"/>
      <c r="BI204" s="1772"/>
      <c r="BJ204" s="862">
        <f>_xlfn.IFERROR(BJ209/BJ179,0)*1000</f>
        <v>0</v>
      </c>
      <c r="BK204" s="1772"/>
      <c r="BL204" s="1772"/>
      <c r="BM204" s="862">
        <f>_xlfn.IFERROR(BM209/BM179,0)*1000</f>
        <v>0</v>
      </c>
      <c r="BN204" s="1772"/>
      <c r="BO204" s="1772"/>
      <c r="BP204" s="862">
        <f>_xlfn.IFERROR(BP209/BP179,0)*1000</f>
        <v>0</v>
      </c>
      <c r="BQ204" s="979"/>
      <c r="BR204" s="979"/>
      <c r="BS204" s="862">
        <f>_xlfn.IFERROR(BS209/BS179,0)*1000</f>
        <v>0</v>
      </c>
      <c r="BT204" s="1772"/>
      <c r="BU204" s="1772"/>
      <c r="BV204" s="862">
        <f>_xlfn.IFERROR(BV209/BV179,0)*1000</f>
        <v>0</v>
      </c>
      <c r="BW204" s="1772"/>
      <c r="BX204" s="1772"/>
      <c r="BY204" s="862">
        <f>_xlfn.IFERROR(BY209/BY179,0)*1000</f>
        <v>0</v>
      </c>
      <c r="BZ204" s="1772"/>
      <c r="CA204" s="1772"/>
      <c r="CB204" s="862">
        <f>_xlfn.IFERROR(CB209/CB179,0)*1000</f>
        <v>0</v>
      </c>
      <c r="CC204" s="1772"/>
      <c r="CD204" s="1772"/>
      <c r="CE204" s="862">
        <f>_xlfn.IFERROR(CE209/CE179,0)*1000</f>
        <v>0</v>
      </c>
      <c r="CF204" s="1772"/>
      <c r="CG204" s="1772"/>
      <c r="CH204" s="862">
        <f>_xlfn.IFERROR(CH209/CH179,0)*1000</f>
        <v>0</v>
      </c>
      <c r="CI204" s="1772"/>
      <c r="CJ204" s="1772"/>
      <c r="CK204" s="862">
        <f>_xlfn.IFERROR(CK209/CK179,0)*1000</f>
        <v>0</v>
      </c>
      <c r="CL204" s="1772"/>
      <c r="CM204" s="1772"/>
      <c r="CN204" s="862">
        <f>_xlfn.IFERROR(CN209/CN179,0)*1000</f>
        <v>0</v>
      </c>
      <c r="CO204" s="1772"/>
      <c r="CP204" s="1772"/>
      <c r="CQ204" s="862">
        <f>_xlfn.IFERROR(CQ209/CQ179,0)*1000</f>
        <v>0</v>
      </c>
      <c r="CR204" s="1772"/>
      <c r="CS204" s="1772"/>
      <c r="CT204" s="1719"/>
      <c r="CU204" s="0"/>
      <c r="CV204" s="1632"/>
      <c r="CW204" s="1173" t="s">
        <v>822</v>
      </c>
      <c r="CX204" s="1178" t="s">
        <v>792</v>
      </c>
      <c r="CY204" s="1182" cm="1" t="str">
        <f t="array" ref="CY204:CY204">AE204</f>
        <v>Уголь длиннопламенный</v>
      </c>
      <c r="CZ204" s="1182" cm="1" t="str">
        <f t="array" ref="CZ204:CZ204">AF204</f>
        <v/>
      </c>
      <c r="DA204" s="1179"/>
      <c r="DB204" s="1179"/>
    </row>
    <row s="1632" customFormat="1" customHeight="1" ht="15" hidden="1">
      <c r="A205" s="1443"/>
      <c r="B205" s="927"/>
      <c r="C205" s="1443"/>
      <c r="D205" s="1443"/>
      <c r="E205" s="797">
        <v>0</v>
      </c>
      <c r="F205" s="922" cm="1" t="str">
        <f t="array" ref="F205:F205">OFFSET(G205,-1,-1)</f>
        <v>1</v>
      </c>
      <c r="G205" s="965"/>
      <c r="H205" s="965"/>
      <c r="I205" s="965"/>
      <c r="J205" s="965"/>
      <c r="K205" s="965"/>
      <c r="L205" s="922" cm="1" t="str">
        <f t="array" ref="L205:L205">OFFSET(M205,-1,-1)</f>
        <v>false</v>
      </c>
      <c r="M205" s="965"/>
      <c r="N205" s="965"/>
      <c r="O205" s="965"/>
      <c r="P205" s="965"/>
      <c r="Q205" s="965"/>
      <c r="R205" s="1443"/>
      <c r="S205" s="159" cm="1" t="str">
        <f t="array" ref="S205:S205">OFFSET(T205,-1,-1)</f>
        <v>true</v>
      </c>
      <c r="T205" s="1443"/>
      <c r="U205" s="819">
        <f>AND(S205,IF(ISBLANK(T205),TRUE,T205))</f>
        <v>1</v>
      </c>
      <c r="V205" s="1443"/>
      <c r="W205" s="1443"/>
      <c r="X205" s="973" t="str">
        <f>"{                  
         funcDyn: 'msg1',
         blok: 'blok_2',
         wsCross: 'Топливо 4.4',
         linkFormula: 'AE-AE#AF-AF',
         levelDyn: "&amp;Y139&amp;"
}"</f>
        <v>{                  
         funcDyn: 'msg1',
         blok: 'blok_2',
         wsCross: 'Топливо 4.4',
         linkFormula: 'AE-AE#AF-AF',
         levelDyn: 1
}</v>
      </c>
      <c r="Y205" s="1443"/>
      <c r="Z205" s="1443"/>
      <c r="AA205" s="820"/>
      <c r="AB205" s="1492"/>
      <c r="AC205" s="0"/>
      <c r="AD205" s="976"/>
      <c r="AE205" s="975" t="s">
        <v>236</v>
      </c>
      <c r="AF205" s="874"/>
      <c r="AG205" s="859"/>
      <c r="AH205" s="861"/>
      <c r="AI205" s="863"/>
      <c r="AJ205" s="863"/>
      <c r="AK205" s="863"/>
      <c r="AL205" s="863"/>
      <c r="AM205" s="863"/>
      <c r="AN205" s="863"/>
      <c r="AO205" s="863"/>
      <c r="AP205" s="863"/>
      <c r="AQ205" s="863"/>
      <c r="AR205" s="863"/>
      <c r="AS205" s="863"/>
      <c r="AT205" s="863"/>
      <c r="AU205" s="863"/>
      <c r="AV205" s="863"/>
      <c r="AW205" s="863"/>
      <c r="AX205" s="863"/>
      <c r="AY205" s="863"/>
      <c r="AZ205" s="863"/>
      <c r="BA205" s="863"/>
      <c r="BB205" s="863"/>
      <c r="BC205" s="863"/>
      <c r="BD205" s="863"/>
      <c r="BE205" s="863"/>
      <c r="BF205" s="863"/>
      <c r="BG205" s="863"/>
      <c r="BH205" s="863"/>
      <c r="BI205" s="863"/>
      <c r="BJ205" s="863"/>
      <c r="BK205" s="863"/>
      <c r="BL205" s="863"/>
      <c r="BM205" s="863"/>
      <c r="BN205" s="863"/>
      <c r="BO205" s="863"/>
      <c r="BP205" s="863"/>
      <c r="BQ205" s="863"/>
      <c r="BR205" s="863"/>
      <c r="BS205" s="863"/>
      <c r="BT205" s="863"/>
      <c r="BU205" s="863"/>
      <c r="BV205" s="863"/>
      <c r="BW205" s="863"/>
      <c r="BX205" s="863"/>
      <c r="BY205" s="863"/>
      <c r="BZ205" s="863"/>
      <c r="CA205" s="863"/>
      <c r="CB205" s="863"/>
      <c r="CC205" s="863"/>
      <c r="CD205" s="863"/>
      <c r="CE205" s="863"/>
      <c r="CF205" s="863"/>
      <c r="CG205" s="863"/>
      <c r="CH205" s="863"/>
      <c r="CI205" s="863"/>
      <c r="CJ205" s="863"/>
      <c r="CK205" s="863"/>
      <c r="CL205" s="863"/>
      <c r="CM205" s="863"/>
      <c r="CN205" s="863"/>
      <c r="CO205" s="863"/>
      <c r="CP205" s="863"/>
      <c r="CQ205" s="863"/>
      <c r="CR205" s="863"/>
      <c r="CS205" s="863"/>
      <c r="CT205" s="91"/>
      <c r="CU205" s="0"/>
      <c r="CV205" s="1632"/>
      <c r="CW205" s="1173" t="str">
        <f>IF(AND(ISNUMBER(VALUE(TRIM(SUBSTITUTE(AD205,".","")))),TRIM(SUBSTITUTE(AD205,".",""))&lt;&gt;""),"P"&amp;SUBSTITUTE(AD205,".",""),"")</f>
        <v/>
      </c>
      <c r="CX205" s="1178"/>
      <c r="CY205" s="1178"/>
      <c r="CZ205" s="1178"/>
      <c r="DA205" s="1179"/>
      <c r="DB205" s="1179"/>
    </row>
    <row s="1632" customFormat="1" customHeight="1" ht="16.5">
      <c r="A206" s="1443"/>
      <c r="B206" s="927"/>
      <c r="C206" s="1443"/>
      <c r="D206" s="1443"/>
      <c r="E206" s="797">
        <v>17.1</v>
      </c>
      <c r="F206" s="922" cm="1" t="str">
        <f t="array" ref="F206:F206">OFFSET(G206,-1,-1)</f>
        <v>1</v>
      </c>
      <c r="G206" s="965"/>
      <c r="H206" s="965"/>
      <c r="I206" s="965"/>
      <c r="J206" s="965"/>
      <c r="K206" s="965"/>
      <c r="L206" s="922" cm="1" t="str">
        <f t="array" ref="L206:L206">OFFSET(M206,-1,-1)</f>
        <v>false</v>
      </c>
      <c r="M206" s="965"/>
      <c r="N206" s="965"/>
      <c r="O206" s="965"/>
      <c r="P206" s="965"/>
      <c r="Q206" s="965"/>
      <c r="R206" s="1443"/>
      <c r="S206" s="159" cm="1" t="str">
        <f t="array" ref="S206:S206">OFFSET(T206,-1,-1)</f>
        <v>true</v>
      </c>
      <c r="T206" s="1443"/>
      <c r="U206" s="819">
        <f>AND(S206,IF(ISBLANK(T206),TRUE,T206))</f>
        <v>1</v>
      </c>
      <c r="V206" s="1443"/>
      <c r="W206" s="1443"/>
      <c r="X206" s="1443"/>
      <c r="Y206" s="1443"/>
      <c r="Z206" s="1443"/>
      <c r="AA206" s="820"/>
      <c r="AB206" s="1492"/>
      <c r="AC206" s="0"/>
      <c r="AD206" s="173">
        <v>28</v>
      </c>
      <c r="AE206" s="1497" t="s">
        <v>824</v>
      </c>
      <c r="AF206" s="323"/>
      <c r="AG206" s="859" t="s">
        <v>810</v>
      </c>
      <c r="AH206" s="860">
        <f>SUM(AH208:AH210)</f>
        <v>0</v>
      </c>
      <c r="AI206" s="860">
        <f>SUM(AI208:AI210)</f>
        <v>0</v>
      </c>
      <c r="AJ206" s="860">
        <f>SUM(AJ208:AJ210)</f>
        <v>0</v>
      </c>
      <c r="AK206" s="860">
        <f>SUM(AK208:AK210)</f>
        <v>0</v>
      </c>
      <c r="AL206" s="860">
        <f>SUM(AL208:AL210)</f>
        <v>0</v>
      </c>
      <c r="AM206" s="860">
        <f>SUM(AM208:AM210)</f>
        <v>0</v>
      </c>
      <c r="AN206" s="860">
        <f>SUM(AN208:AN210)</f>
        <v>0</v>
      </c>
      <c r="AO206" s="860">
        <f>SUM(AO208:AO210)</f>
        <v>0</v>
      </c>
      <c r="AP206" s="860">
        <f>SUM(AP208:AP210)</f>
        <v>0</v>
      </c>
      <c r="AQ206" s="860">
        <f>SUM(AQ208:AQ210)</f>
        <v>0</v>
      </c>
      <c r="AR206" s="860">
        <f>SUM(AR208:AR210)</f>
        <v>0</v>
      </c>
      <c r="AS206" s="860">
        <f>SUM(AS208:AS210)</f>
        <v>0</v>
      </c>
      <c r="AT206" s="860">
        <f>SUM(AT208:AT210)</f>
        <v>0</v>
      </c>
      <c r="AU206" s="860">
        <f>SUM(AU208:AU210)</f>
        <v>0</v>
      </c>
      <c r="AV206" s="860">
        <f>SUM(AV208:AV210)</f>
        <v>0</v>
      </c>
      <c r="AW206" s="860">
        <f>SUM(AW208:AW210)</f>
        <v>0</v>
      </c>
      <c r="AX206" s="860">
        <f>SUM(AX208:AX210)</f>
        <v>0</v>
      </c>
      <c r="AY206" s="860">
        <f>SUM(AY208:AY210)</f>
        <v>0</v>
      </c>
      <c r="AZ206" s="860">
        <f>SUM(AZ208:AZ210)</f>
        <v>0</v>
      </c>
      <c r="BA206" s="860">
        <f>SUM(BA208:BA210)</f>
        <v>0</v>
      </c>
      <c r="BB206" s="860">
        <f>SUM(BB208:BB210)</f>
        <v>0</v>
      </c>
      <c r="BC206" s="860">
        <f>SUM(BC208:BC210)</f>
        <v>0</v>
      </c>
      <c r="BD206" s="860">
        <f>SUM(BD208:BD210)</f>
        <v>0</v>
      </c>
      <c r="BE206" s="860">
        <f>SUM(BE208:BE210)</f>
        <v>0</v>
      </c>
      <c r="BF206" s="860">
        <f>SUM(BF208:BF210)</f>
        <v>0</v>
      </c>
      <c r="BG206" s="860">
        <f>SUM(BG208:BG210)</f>
        <v>0</v>
      </c>
      <c r="BH206" s="860">
        <f>SUM(BH208:BH210)</f>
        <v>0</v>
      </c>
      <c r="BI206" s="860">
        <f>SUM(BI208:BI210)</f>
        <v>0</v>
      </c>
      <c r="BJ206" s="860">
        <f>SUM(BJ208:BJ210)</f>
        <v>0</v>
      </c>
      <c r="BK206" s="860">
        <f>SUM(BK208:BK210)</f>
        <v>0</v>
      </c>
      <c r="BL206" s="860">
        <f>SUM(BL208:BL210)</f>
        <v>0</v>
      </c>
      <c r="BM206" s="860">
        <f>SUM(BM208:BM210)</f>
        <v>0</v>
      </c>
      <c r="BN206" s="860">
        <f>SUM(BN208:BN210)</f>
        <v>0</v>
      </c>
      <c r="BO206" s="860">
        <f>SUM(BO208:BO210)</f>
        <v>0</v>
      </c>
      <c r="BP206" s="860">
        <f>SUM(BP208:BP210)</f>
        <v>0</v>
      </c>
      <c r="BQ206" s="860">
        <f>SUM(BQ208:BQ210)</f>
        <v>0</v>
      </c>
      <c r="BR206" s="860">
        <f>SUM(BR208:BR210)</f>
        <v>0</v>
      </c>
      <c r="BS206" s="860">
        <f>SUM(BS208:BS210)</f>
        <v>0</v>
      </c>
      <c r="BT206" s="860">
        <f>SUM(BT208:BT210)</f>
        <v>0</v>
      </c>
      <c r="BU206" s="860">
        <f>SUM(BU208:BU210)</f>
        <v>0</v>
      </c>
      <c r="BV206" s="860">
        <f>SUM(BV208:BV210)</f>
        <v>0</v>
      </c>
      <c r="BW206" s="860">
        <f>SUM(BW208:BW210)</f>
        <v>0</v>
      </c>
      <c r="BX206" s="860">
        <f>SUM(BX208:BX210)</f>
        <v>0</v>
      </c>
      <c r="BY206" s="860">
        <f>SUM(BY208:BY210)</f>
        <v>0</v>
      </c>
      <c r="BZ206" s="860">
        <f>SUM(BZ208:BZ210)</f>
        <v>0</v>
      </c>
      <c r="CA206" s="860">
        <f>SUM(CA208:CA210)</f>
        <v>0</v>
      </c>
      <c r="CB206" s="860">
        <f>SUM(CB208:CB210)</f>
        <v>0</v>
      </c>
      <c r="CC206" s="860">
        <f>SUM(CC208:CC210)</f>
        <v>0</v>
      </c>
      <c r="CD206" s="860">
        <f>SUM(CD208:CD210)</f>
        <v>0</v>
      </c>
      <c r="CE206" s="860">
        <f>SUM(CE208:CE210)</f>
        <v>0</v>
      </c>
      <c r="CF206" s="860">
        <f>SUM(CF208:CF210)</f>
        <v>0</v>
      </c>
      <c r="CG206" s="860">
        <f>SUM(CG208:CG210)</f>
        <v>0</v>
      </c>
      <c r="CH206" s="860">
        <f>SUM(CH208:CH210)</f>
        <v>0</v>
      </c>
      <c r="CI206" s="860">
        <f>SUM(CI208:CI210)</f>
        <v>0</v>
      </c>
      <c r="CJ206" s="860">
        <f>SUM(CJ208:CJ210)</f>
        <v>0</v>
      </c>
      <c r="CK206" s="860">
        <f>SUM(CK208:CK210)</f>
        <v>0</v>
      </c>
      <c r="CL206" s="860">
        <f>SUM(CL208:CL210)</f>
        <v>0</v>
      </c>
      <c r="CM206" s="860">
        <f>SUM(CM208:CM210)</f>
        <v>0</v>
      </c>
      <c r="CN206" s="860">
        <f>SUM(CN208:CN210)</f>
        <v>0</v>
      </c>
      <c r="CO206" s="860">
        <f>SUM(CO208:CO210)</f>
        <v>0</v>
      </c>
      <c r="CP206" s="860">
        <f>SUM(CP208:CP210)</f>
        <v>0</v>
      </c>
      <c r="CQ206" s="860">
        <f>SUM(CQ208:CQ210)</f>
        <v>0</v>
      </c>
      <c r="CR206" s="860">
        <f>SUM(CR208:CR210)</f>
        <v>0</v>
      </c>
      <c r="CS206" s="860">
        <f>SUM(CS208:CS210)</f>
        <v>0</v>
      </c>
      <c r="CT206" s="1719"/>
      <c r="CU206" s="0"/>
      <c r="CV206" s="1632"/>
      <c r="CW206" s="1173" t="s">
        <v>825</v>
      </c>
      <c r="CX206" s="1178"/>
      <c r="CY206" s="1178"/>
      <c r="CZ206" s="1178"/>
      <c r="DA206" s="1179"/>
      <c r="DB206" s="1179"/>
    </row>
    <row s="1632" customFormat="1" customHeight="1" ht="16.5" hidden="1">
      <c r="A207" s="1443"/>
      <c r="B207" s="927"/>
      <c r="C207" s="1443"/>
      <c r="D207" s="1443"/>
      <c r="E207" s="797">
        <v>17.1</v>
      </c>
      <c r="F207" s="922" cm="1" t="str">
        <f t="array" ref="F207:F207">OFFSET(G207,-1,-1)</f>
        <v>1</v>
      </c>
      <c r="G207" s="965"/>
      <c r="H207" s="965"/>
      <c r="I207" s="965"/>
      <c r="J207" s="965"/>
      <c r="K207" s="965"/>
      <c r="L207" s="922" cm="1" t="str">
        <f t="array" ref="L207:L207">OFFSET(M207,-1,-1)</f>
        <v>false</v>
      </c>
      <c r="M207" s="965"/>
      <c r="N207" s="965"/>
      <c r="O207" s="965"/>
      <c r="P207" s="965"/>
      <c r="Q207" s="965"/>
      <c r="R207" s="922" t="s">
        <v>730</v>
      </c>
      <c r="S207" s="159" cm="1" t="str">
        <f t="array" ref="S207:S207">OFFSET(T207,-1,-1)</f>
        <v>true</v>
      </c>
      <c r="T207" s="922" t="b">
        <v>0</v>
      </c>
      <c r="U207" s="819">
        <f>AND(S207,IF(ISBLANK(T207),TRUE,T207))</f>
        <v>0</v>
      </c>
      <c r="V207" s="1443"/>
      <c r="W207" s="1443"/>
      <c r="X207" s="1443"/>
      <c r="Y207" s="1443"/>
      <c r="Z207" s="1443"/>
      <c r="AA207" s="820"/>
      <c r="AB207" s="1492"/>
      <c r="AC207" s="0"/>
      <c r="AD207" s="160" t="str">
        <f>AD206&amp;".0"</f>
        <v>28.0</v>
      </c>
      <c r="AE207" s="1349" t="s">
        <v>741</v>
      </c>
      <c r="AF207" s="164"/>
      <c r="AG207" s="859" t="s">
        <v>810</v>
      </c>
      <c r="AH207" s="86">
        <f>AH$163*AH206</f>
        <v>0</v>
      </c>
      <c r="AI207" s="87">
        <f>AI$163*AI206</f>
        <v>0</v>
      </c>
      <c r="AJ207" s="87">
        <f>AJ$163*AJ206</f>
        <v>0</v>
      </c>
      <c r="AK207" s="87">
        <f>AK$163*AK206</f>
        <v>0</v>
      </c>
      <c r="AL207" s="862">
        <f>AM207+AN207</f>
        <v>0</v>
      </c>
      <c r="AM207" s="87">
        <f>AM$163*AM206</f>
        <v>0</v>
      </c>
      <c r="AN207" s="87">
        <f>AN$163*AN206</f>
        <v>0</v>
      </c>
      <c r="AO207" s="862">
        <f>AP207+AQ207</f>
        <v>0</v>
      </c>
      <c r="AP207" s="87">
        <f>AP$163*AP206</f>
        <v>0</v>
      </c>
      <c r="AQ207" s="87">
        <f>AQ$163*AQ206</f>
        <v>0</v>
      </c>
      <c r="AR207" s="862">
        <f>AS207+AT207</f>
        <v>0</v>
      </c>
      <c r="AS207" s="87">
        <f>AS$163*AS206</f>
        <v>0</v>
      </c>
      <c r="AT207" s="87">
        <f>AT$163*AT206</f>
        <v>0</v>
      </c>
      <c r="AU207" s="862">
        <f>AV207+AW207</f>
        <v>0</v>
      </c>
      <c r="AV207" s="87">
        <f>AV$163*AV206</f>
        <v>0</v>
      </c>
      <c r="AW207" s="87">
        <f>AW$163*AW206</f>
        <v>0</v>
      </c>
      <c r="AX207" s="862">
        <f>AY207+AZ207</f>
        <v>0</v>
      </c>
      <c r="AY207" s="87">
        <f>AY$163*AY206</f>
        <v>0</v>
      </c>
      <c r="AZ207" s="87">
        <f>AZ$163*AZ206</f>
        <v>0</v>
      </c>
      <c r="BA207" s="862">
        <f>BB207+BC207</f>
        <v>0</v>
      </c>
      <c r="BB207" s="87">
        <f>BB$163*BB206</f>
        <v>0</v>
      </c>
      <c r="BC207" s="87">
        <f>BC$163*BC206</f>
        <v>0</v>
      </c>
      <c r="BD207" s="862">
        <f>BE207+BF207</f>
        <v>0</v>
      </c>
      <c r="BE207" s="87">
        <f>BE$163*BE206</f>
        <v>0</v>
      </c>
      <c r="BF207" s="87">
        <f>BF$163*BF206</f>
        <v>0</v>
      </c>
      <c r="BG207" s="862">
        <f>BH207+BI207</f>
        <v>0</v>
      </c>
      <c r="BH207" s="87">
        <f>BH$163*BH206</f>
        <v>0</v>
      </c>
      <c r="BI207" s="87">
        <f>BI$163*BI206</f>
        <v>0</v>
      </c>
      <c r="BJ207" s="862">
        <f>BK207+BL207</f>
        <v>0</v>
      </c>
      <c r="BK207" s="87">
        <f>BK$163*BK206</f>
        <v>0</v>
      </c>
      <c r="BL207" s="87">
        <f>BL$163*BL206</f>
        <v>0</v>
      </c>
      <c r="BM207" s="862">
        <f>BN207+BO207</f>
        <v>0</v>
      </c>
      <c r="BN207" s="87">
        <f>BN$163*BN206</f>
        <v>0</v>
      </c>
      <c r="BO207" s="87">
        <f>BO$163*BO206</f>
        <v>0</v>
      </c>
      <c r="BP207" s="862">
        <f>BQ207+BR207</f>
        <v>0</v>
      </c>
      <c r="BQ207" s="1772">
        <f>BQ$163*BQ206</f>
        <v>0</v>
      </c>
      <c r="BR207" s="1772">
        <f>BR$163*BR206</f>
        <v>0</v>
      </c>
      <c r="BS207" s="862">
        <f>BT207+BU207</f>
        <v>0</v>
      </c>
      <c r="BT207" s="87">
        <f>BT$163*BT206</f>
        <v>0</v>
      </c>
      <c r="BU207" s="87">
        <f>BU$163*BU206</f>
        <v>0</v>
      </c>
      <c r="BV207" s="862">
        <f>BW207+BX207</f>
        <v>0</v>
      </c>
      <c r="BW207" s="87">
        <f>BW$163*BW206</f>
        <v>0</v>
      </c>
      <c r="BX207" s="87">
        <f>BX$163*BX206</f>
        <v>0</v>
      </c>
      <c r="BY207" s="862">
        <f>BZ207+CA207</f>
        <v>0</v>
      </c>
      <c r="BZ207" s="87">
        <f>BZ$163*BZ206</f>
        <v>0</v>
      </c>
      <c r="CA207" s="87">
        <f>CA$163*CA206</f>
        <v>0</v>
      </c>
      <c r="CB207" s="862">
        <f>CC207+CD207</f>
        <v>0</v>
      </c>
      <c r="CC207" s="87">
        <f>CC$163*CC206</f>
        <v>0</v>
      </c>
      <c r="CD207" s="87">
        <f>CD$163*CD206</f>
        <v>0</v>
      </c>
      <c r="CE207" s="862">
        <f>CF207+CG207</f>
        <v>0</v>
      </c>
      <c r="CF207" s="87">
        <f>CF$163*CF206</f>
        <v>0</v>
      </c>
      <c r="CG207" s="87">
        <f>CG$163*CG206</f>
        <v>0</v>
      </c>
      <c r="CH207" s="862">
        <f>CI207+CJ207</f>
        <v>0</v>
      </c>
      <c r="CI207" s="87">
        <f>CI$163*CI206</f>
        <v>0</v>
      </c>
      <c r="CJ207" s="87">
        <f>CJ$163*CJ206</f>
        <v>0</v>
      </c>
      <c r="CK207" s="862">
        <f>CL207+CM207</f>
        <v>0</v>
      </c>
      <c r="CL207" s="87">
        <f>CL$163*CL206</f>
        <v>0</v>
      </c>
      <c r="CM207" s="87">
        <f>CM$163*CM206</f>
        <v>0</v>
      </c>
      <c r="CN207" s="862">
        <f>CO207+CP207</f>
        <v>0</v>
      </c>
      <c r="CO207" s="87">
        <f>CO$163*CO206</f>
        <v>0</v>
      </c>
      <c r="CP207" s="87">
        <f>CP$163*CP206</f>
        <v>0</v>
      </c>
      <c r="CQ207" s="862">
        <f>CR207+CS207</f>
        <v>0</v>
      </c>
      <c r="CR207" s="87">
        <f>CR$163*CR206</f>
        <v>0</v>
      </c>
      <c r="CS207" s="87">
        <f>CS$163*CS206</f>
        <v>0</v>
      </c>
      <c r="CT207" s="73"/>
      <c r="CU207" s="0"/>
      <c r="CV207" s="1632"/>
      <c r="CW207" s="1173" t="s">
        <v>826</v>
      </c>
      <c r="CX207" s="1178"/>
      <c r="CY207" s="1178"/>
      <c r="CZ207" s="1178"/>
      <c r="DA207" s="1179"/>
      <c r="DB207" s="1179"/>
    </row>
    <row s="1632" customFormat="1" customHeight="1" ht="16.5" hidden="1">
      <c r="E208" s="797">
        <v>17.1</v>
      </c>
      <c r="F208" s="922" cm="1" t="str">
        <f t="array" ref="F208:F208">OFFSET(G208,-1,-1)</f>
        <v>1</v>
      </c>
      <c r="L208" s="922" cm="1" t="str">
        <f t="array" ref="L208:L208">OFFSET(M208,-1,-1)</f>
        <v>false</v>
      </c>
      <c r="S208" s="159" cm="1" t="str">
        <f t="array" ref="S208:S208">OFFSET(T208,-1,-1)</f>
        <v>true</v>
      </c>
      <c r="T208" s="159">
        <f>AD208&lt;&gt;"28.0"</f>
        <v>0</v>
      </c>
      <c r="U208" s="819">
        <f>AND(S208,IF(ISBLANK(T208),TRUE,T208))</f>
        <v>0</v>
      </c>
      <c r="X208" s="159" t="s">
        <v>234</v>
      </c>
      <c r="AB208" s="1492"/>
      <c r="AD208" s="160" t="s">
        <v>827</v>
      </c>
      <c r="AE208" s="974"/>
      <c r="AF208" s="625"/>
      <c r="AG208" s="859" t="s">
        <v>810</v>
      </c>
      <c r="AH208" s="86"/>
      <c r="AI208" s="87"/>
      <c r="AJ208" s="87"/>
      <c r="AK208" s="87"/>
      <c r="AL208" s="862">
        <f>AM208+AN208</f>
        <v>0</v>
      </c>
      <c r="AM208" s="87">
        <f>AM203*AM178/1000</f>
        <v>0</v>
      </c>
      <c r="AN208" s="87">
        <f>AN203*AN178/1000</f>
        <v>0</v>
      </c>
      <c r="AO208" s="862">
        <f>AP208+AQ208</f>
        <v>0</v>
      </c>
      <c r="AP208" s="87">
        <f>AP203*AP178/1000</f>
        <v>0</v>
      </c>
      <c r="AQ208" s="87">
        <f>AQ203*AQ178/1000</f>
        <v>0</v>
      </c>
      <c r="AR208" s="862">
        <f>AS208+AT208</f>
        <v>0</v>
      </c>
      <c r="AS208" s="87">
        <f>AS203*AS178/1000</f>
        <v>0</v>
      </c>
      <c r="AT208" s="87">
        <f>AT203*AT178/1000</f>
        <v>0</v>
      </c>
      <c r="AU208" s="862">
        <f>AV208+AW208</f>
        <v>0</v>
      </c>
      <c r="AV208" s="87">
        <f>AV203*AV178/1000</f>
        <v>0</v>
      </c>
      <c r="AW208" s="87">
        <f>AW203*AW178/1000</f>
        <v>0</v>
      </c>
      <c r="AX208" s="862">
        <f>AY208+AZ208</f>
        <v>0</v>
      </c>
      <c r="AY208" s="87">
        <f>AY203*AY178/1000</f>
        <v>0</v>
      </c>
      <c r="AZ208" s="87">
        <f>AZ203*AZ178/1000</f>
        <v>0</v>
      </c>
      <c r="BA208" s="862">
        <f>BB208+BC208</f>
        <v>0</v>
      </c>
      <c r="BB208" s="87">
        <f>BB203*BB178/1000</f>
        <v>0</v>
      </c>
      <c r="BC208" s="87">
        <f>BC203*BC178/1000</f>
        <v>0</v>
      </c>
      <c r="BD208" s="862">
        <f>BE208+BF208</f>
        <v>0</v>
      </c>
      <c r="BE208" s="87">
        <f>BE203*BE178/1000</f>
        <v>0</v>
      </c>
      <c r="BF208" s="87">
        <f>BF203*BF178/1000</f>
        <v>0</v>
      </c>
      <c r="BG208" s="862">
        <f>BH208+BI208</f>
        <v>0</v>
      </c>
      <c r="BH208" s="87">
        <f>BH203*BH178/1000</f>
        <v>0</v>
      </c>
      <c r="BI208" s="87">
        <f>BI203*BI178/1000</f>
        <v>0</v>
      </c>
      <c r="BJ208" s="862">
        <f>BK208+BL208</f>
        <v>0</v>
      </c>
      <c r="BK208" s="87">
        <f>BK203*BK178/1000</f>
        <v>0</v>
      </c>
      <c r="BL208" s="87">
        <f>BL203*BL178/1000</f>
        <v>0</v>
      </c>
      <c r="BM208" s="862">
        <f>BN208+BO208</f>
        <v>0</v>
      </c>
      <c r="BN208" s="87">
        <f>BN203*BN178/1000</f>
        <v>0</v>
      </c>
      <c r="BO208" s="87">
        <f>BO203*BO178/1000</f>
        <v>0</v>
      </c>
      <c r="BP208" s="862">
        <f>BQ208+BR208</f>
        <v>0</v>
      </c>
      <c r="BQ208" s="979">
        <f>BQ203*BQ178/1000</f>
        <v>0</v>
      </c>
      <c r="BR208" s="979">
        <f>BR203*BR178/1000</f>
        <v>0</v>
      </c>
      <c r="BS208" s="862">
        <f>BT208+BU208</f>
        <v>0</v>
      </c>
      <c r="BT208" s="87">
        <f>BT203*BT178/1000</f>
        <v>0</v>
      </c>
      <c r="BU208" s="87">
        <f>BU203*BU178/1000</f>
        <v>0</v>
      </c>
      <c r="BV208" s="862">
        <f>BW208+BX208</f>
        <v>0</v>
      </c>
      <c r="BW208" s="87">
        <f>BW203*BW178/1000</f>
        <v>0</v>
      </c>
      <c r="BX208" s="87">
        <f>BX203*BX178/1000</f>
        <v>0</v>
      </c>
      <c r="BY208" s="862">
        <f>BZ208+CA208</f>
        <v>0</v>
      </c>
      <c r="BZ208" s="87">
        <f>BZ203*BZ178/1000</f>
        <v>0</v>
      </c>
      <c r="CA208" s="87">
        <f>CA203*CA178/1000</f>
        <v>0</v>
      </c>
      <c r="CB208" s="862">
        <f>CC208+CD208</f>
        <v>0</v>
      </c>
      <c r="CC208" s="87">
        <f>CC203*CC178/1000</f>
        <v>0</v>
      </c>
      <c r="CD208" s="87">
        <f>CD203*CD178/1000</f>
        <v>0</v>
      </c>
      <c r="CE208" s="862">
        <f>CF208+CG208</f>
        <v>0</v>
      </c>
      <c r="CF208" s="87">
        <f>CF203*CF178/1000</f>
        <v>0</v>
      </c>
      <c r="CG208" s="87">
        <f>CG203*CG178/1000</f>
        <v>0</v>
      </c>
      <c r="CH208" s="862">
        <f>CI208+CJ208</f>
        <v>0</v>
      </c>
      <c r="CI208" s="87">
        <f>CI203*CI178/1000</f>
        <v>0</v>
      </c>
      <c r="CJ208" s="87">
        <f>CJ203*CJ178/1000</f>
        <v>0</v>
      </c>
      <c r="CK208" s="862">
        <f>CL208+CM208</f>
        <v>0</v>
      </c>
      <c r="CL208" s="87">
        <f>CL203*CL178/1000</f>
        <v>0</v>
      </c>
      <c r="CM208" s="87">
        <f>CM203*CM178/1000</f>
        <v>0</v>
      </c>
      <c r="CN208" s="862">
        <f>CO208+CP208</f>
        <v>0</v>
      </c>
      <c r="CO208" s="87">
        <f>CO203*CO178/1000</f>
        <v>0</v>
      </c>
      <c r="CP208" s="87">
        <f>CP203*CP178/1000</f>
        <v>0</v>
      </c>
      <c r="CQ208" s="862">
        <f>CR208+CS208</f>
        <v>0</v>
      </c>
      <c r="CR208" s="87">
        <f>CR203*CR178/1000</f>
        <v>0</v>
      </c>
      <c r="CS208" s="87">
        <f>CS203*CS178/1000</f>
        <v>0</v>
      </c>
      <c r="CT208" s="73"/>
      <c r="CW208" s="1173" t="s">
        <v>826</v>
      </c>
      <c r="CX208" s="1178" t="s">
        <v>792</v>
      </c>
      <c r="CY208" s="1182" cm="1" t="str">
        <f t="array" ref="CY208:CY208">AE208</f>
        <v>0</v>
      </c>
      <c r="CZ208" s="1182" cm="1" t="str">
        <f t="array" ref="CZ208:CZ208">AF208</f>
        <v>0</v>
      </c>
      <c r="DA208" s="1179"/>
      <c r="DB208" s="1179"/>
    </row>
    <row s="1632" customFormat="1" customHeight="1" ht="16.5">
      <c r="A209" s="1632"/>
      <c r="B209" s="1632"/>
      <c r="C209" s="1632"/>
      <c r="D209" s="1632"/>
      <c r="E209" s="797">
        <v>17.1</v>
      </c>
      <c r="F209" s="922" cm="1" t="str">
        <f t="array" ref="F209:F209">OFFSET(G209,-1,-1)</f>
        <v>1</v>
      </c>
      <c r="G209" s="1632"/>
      <c r="H209" s="1632"/>
      <c r="I209" s="1632"/>
      <c r="J209" s="1632"/>
      <c r="K209" s="1632"/>
      <c r="L209" s="922" cm="1" t="str">
        <f t="array" ref="L209:L209">OFFSET(M209,-1,-1)</f>
        <v>false</v>
      </c>
      <c r="M209" s="1632"/>
      <c r="N209" s="1632"/>
      <c r="O209" s="1632"/>
      <c r="P209" s="1632"/>
      <c r="Q209" s="1632"/>
      <c r="R209" s="1632"/>
      <c r="S209" s="159" cm="1" t="str">
        <f t="array" ref="S209:S209">OFFSET(T209,-1,-1)</f>
        <v>true</v>
      </c>
      <c r="T209" s="159">
        <f>AD209&lt;&gt;"28.0"</f>
        <v>1</v>
      </c>
      <c r="U209" s="819">
        <f>AND(S209,IF(ISBLANK(T209),TRUE,T209))</f>
        <v>1</v>
      </c>
      <c r="V209" s="1632"/>
      <c r="W209" s="1632"/>
      <c r="X209" s="159" t="str">
        <f>'Топливо 4.4'!$AE$204&amp;'Топливо 4.4'!$AF$204</f>
        <v>Уголь длиннопламенный</v>
      </c>
      <c r="Y209" s="1632"/>
      <c r="Z209" s="1632"/>
      <c r="AA209" s="1632"/>
      <c r="AB209" s="1492"/>
      <c r="AC209" s="0"/>
      <c r="AD209" s="160" t="s">
        <v>912</v>
      </c>
      <c r="AE209" s="974" cm="1" t="str">
        <f t="array" ref="AE209:AE209">IF(ISBLANK('Топливо 4.4'!$AE$204),"",'Топливо 4.4'!$AE$204)</f>
        <v>Уголь длиннопламенный</v>
      </c>
      <c r="AF209" s="625" cm="1" t="str">
        <f t="array" ref="AF209:AF209">IF(ISBLANK('Топливо 4.4'!$AF$204),"",'Топливо 4.4'!$AF$204)</f>
        <v/>
      </c>
      <c r="AG209" s="859" t="s">
        <v>810</v>
      </c>
      <c r="AH209" s="1791"/>
      <c r="AI209" s="1772"/>
      <c r="AJ209" s="1772"/>
      <c r="AK209" s="1772"/>
      <c r="AL209" s="862">
        <f>AM209+AN209</f>
        <v>0</v>
      </c>
      <c r="AM209" s="1772">
        <f>AM204*AM179/1000</f>
        <v>0</v>
      </c>
      <c r="AN209" s="1772">
        <f>AN204*AN179/1000</f>
        <v>0</v>
      </c>
      <c r="AO209" s="862">
        <f>AP209+AQ209</f>
        <v>0</v>
      </c>
      <c r="AP209" s="1772">
        <f>AP204*AP179/1000</f>
        <v>0</v>
      </c>
      <c r="AQ209" s="1772">
        <f>AQ204*AQ179/1000</f>
        <v>0</v>
      </c>
      <c r="AR209" s="862">
        <f>AS209+AT209</f>
        <v>0</v>
      </c>
      <c r="AS209" s="1772">
        <f>AS204*AS179/1000</f>
        <v>0</v>
      </c>
      <c r="AT209" s="1772">
        <f>AT204*AT179/1000</f>
        <v>0</v>
      </c>
      <c r="AU209" s="862">
        <f>AV209+AW209</f>
        <v>0</v>
      </c>
      <c r="AV209" s="1772">
        <f>AV204*AV179/1000</f>
        <v>0</v>
      </c>
      <c r="AW209" s="1772">
        <f>AW204*AW179/1000</f>
        <v>0</v>
      </c>
      <c r="AX209" s="862">
        <f>AY209+AZ209</f>
        <v>0</v>
      </c>
      <c r="AY209" s="1772">
        <f>AY204*AY179/1000</f>
        <v>0</v>
      </c>
      <c r="AZ209" s="1772">
        <f>AZ204*AZ179/1000</f>
        <v>0</v>
      </c>
      <c r="BA209" s="862">
        <f>BB209+BC209</f>
        <v>0</v>
      </c>
      <c r="BB209" s="1772">
        <f>BB204*BB179/1000</f>
        <v>0</v>
      </c>
      <c r="BC209" s="1772">
        <f>BC204*BC179/1000</f>
        <v>0</v>
      </c>
      <c r="BD209" s="862">
        <f>BE209+BF209</f>
        <v>0</v>
      </c>
      <c r="BE209" s="1772">
        <f>BE204*BE179/1000</f>
        <v>0</v>
      </c>
      <c r="BF209" s="1772">
        <f>BF204*BF179/1000</f>
        <v>0</v>
      </c>
      <c r="BG209" s="862">
        <f>BH209+BI209</f>
        <v>0</v>
      </c>
      <c r="BH209" s="1772">
        <f>BH204*BH179/1000</f>
        <v>0</v>
      </c>
      <c r="BI209" s="1772">
        <f>BI204*BI179/1000</f>
        <v>0</v>
      </c>
      <c r="BJ209" s="862">
        <f>BK209+BL209</f>
        <v>0</v>
      </c>
      <c r="BK209" s="1772">
        <f>BK204*BK179/1000</f>
        <v>0</v>
      </c>
      <c r="BL209" s="1772">
        <f>BL204*BL179/1000</f>
        <v>0</v>
      </c>
      <c r="BM209" s="862">
        <f>BN209+BO209</f>
        <v>0</v>
      </c>
      <c r="BN209" s="1772">
        <f>BN204*BN179/1000</f>
        <v>0</v>
      </c>
      <c r="BO209" s="1772">
        <f>BO204*BO179/1000</f>
        <v>0</v>
      </c>
      <c r="BP209" s="862">
        <f>BQ209+BR209</f>
        <v>0</v>
      </c>
      <c r="BQ209" s="979">
        <f>BQ204*BQ179/1000</f>
        <v>0</v>
      </c>
      <c r="BR209" s="979">
        <f>BR204*BR179/1000</f>
        <v>0</v>
      </c>
      <c r="BS209" s="862">
        <f>BT209+BU209</f>
        <v>0</v>
      </c>
      <c r="BT209" s="1772">
        <f>BT204*BT179/1000</f>
        <v>0</v>
      </c>
      <c r="BU209" s="1772">
        <f>BU204*BU179/1000</f>
        <v>0</v>
      </c>
      <c r="BV209" s="862">
        <f>BW209+BX209</f>
        <v>0</v>
      </c>
      <c r="BW209" s="1772">
        <f>BW204*BW179/1000</f>
        <v>0</v>
      </c>
      <c r="BX209" s="1772">
        <f>BX204*BX179/1000</f>
        <v>0</v>
      </c>
      <c r="BY209" s="862">
        <f>BZ209+CA209</f>
        <v>0</v>
      </c>
      <c r="BZ209" s="1772">
        <f>BZ204*BZ179/1000</f>
        <v>0</v>
      </c>
      <c r="CA209" s="1772">
        <f>CA204*CA179/1000</f>
        <v>0</v>
      </c>
      <c r="CB209" s="862">
        <f>CC209+CD209</f>
        <v>0</v>
      </c>
      <c r="CC209" s="1772">
        <f>CC204*CC179/1000</f>
        <v>0</v>
      </c>
      <c r="CD209" s="1772">
        <f>CD204*CD179/1000</f>
        <v>0</v>
      </c>
      <c r="CE209" s="862">
        <f>CF209+CG209</f>
        <v>0</v>
      </c>
      <c r="CF209" s="1772">
        <f>CF204*CF179/1000</f>
        <v>0</v>
      </c>
      <c r="CG209" s="1772">
        <f>CG204*CG179/1000</f>
        <v>0</v>
      </c>
      <c r="CH209" s="862">
        <f>CI209+CJ209</f>
        <v>0</v>
      </c>
      <c r="CI209" s="1772">
        <f>CI204*CI179/1000</f>
        <v>0</v>
      </c>
      <c r="CJ209" s="1772">
        <f>CJ204*CJ179/1000</f>
        <v>0</v>
      </c>
      <c r="CK209" s="862">
        <f>CL209+CM209</f>
        <v>0</v>
      </c>
      <c r="CL209" s="1772">
        <f>CL204*CL179/1000</f>
        <v>0</v>
      </c>
      <c r="CM209" s="1772">
        <f>CM204*CM179/1000</f>
        <v>0</v>
      </c>
      <c r="CN209" s="862">
        <f>CO209+CP209</f>
        <v>0</v>
      </c>
      <c r="CO209" s="1772">
        <f>CO204*CO179/1000</f>
        <v>0</v>
      </c>
      <c r="CP209" s="1772">
        <f>CP204*CP179/1000</f>
        <v>0</v>
      </c>
      <c r="CQ209" s="862">
        <f>CR209+CS209</f>
        <v>0</v>
      </c>
      <c r="CR209" s="1772">
        <f>CR204*CR179/1000</f>
        <v>0</v>
      </c>
      <c r="CS209" s="1772">
        <f>CS204*CS179/1000</f>
        <v>0</v>
      </c>
      <c r="CT209" s="1719"/>
      <c r="CU209" s="0"/>
      <c r="CV209" s="1632"/>
      <c r="CW209" s="1173" t="s">
        <v>826</v>
      </c>
      <c r="CX209" s="1178" t="s">
        <v>792</v>
      </c>
      <c r="CY209" s="1182" cm="1" t="str">
        <f t="array" ref="CY209:CY209">AE209</f>
        <v>Уголь длиннопламенный</v>
      </c>
      <c r="CZ209" s="1182" cm="1" t="str">
        <f t="array" ref="CZ209:CZ209">AF209</f>
        <v/>
      </c>
      <c r="DA209" s="1179"/>
      <c r="DB209" s="1179"/>
    </row>
    <row s="1632" customFormat="1" customHeight="1" ht="15" hidden="1">
      <c r="A210" s="1443"/>
      <c r="B210" s="927"/>
      <c r="C210" s="1443"/>
      <c r="D210" s="1443"/>
      <c r="E210" s="797">
        <v>0</v>
      </c>
      <c r="F210" s="922" cm="1" t="str">
        <f t="array" ref="F210:F210">OFFSET(G210,-1,-1)</f>
        <v>1</v>
      </c>
      <c r="G210" s="965"/>
      <c r="H210" s="965"/>
      <c r="I210" s="965"/>
      <c r="J210" s="965"/>
      <c r="K210" s="965"/>
      <c r="L210" s="922" cm="1" t="str">
        <f t="array" ref="L210:L210">OFFSET(M210,-1,-1)</f>
        <v>false</v>
      </c>
      <c r="M210" s="965"/>
      <c r="N210" s="965"/>
      <c r="O210" s="965"/>
      <c r="P210" s="965"/>
      <c r="Q210" s="965"/>
      <c r="R210" s="1443"/>
      <c r="S210" s="159" cm="1" t="str">
        <f t="array" ref="S210:S210">OFFSET(T210,-1,-1)</f>
        <v>true</v>
      </c>
      <c r="T210" s="1443"/>
      <c r="U210" s="819">
        <f>AND(S210,IF(ISBLANK(T210),TRUE,T210))</f>
        <v>1</v>
      </c>
      <c r="V210" s="1443"/>
      <c r="W210" s="1443"/>
      <c r="X210" s="973" t="str">
        <f>"{                  
         funcDyn: 'msg1',
         blok: 'blok_2',
         wsCross: 'Топливо 4.4',
         linkFormula: 'AE-AE#AF-AF',
         levelDyn: "&amp;Y139&amp;"
}"</f>
        <v>{                  
         funcDyn: 'msg1',
         blok: 'blok_2',
         wsCross: 'Топливо 4.4',
         linkFormula: 'AE-AE#AF-AF',
         levelDyn: 1
}</v>
      </c>
      <c r="Y210" s="1443"/>
      <c r="Z210" s="1443"/>
      <c r="AA210" s="820"/>
      <c r="AB210" s="1492"/>
      <c r="AC210" s="0"/>
      <c r="AD210" s="976"/>
      <c r="AE210" s="975" t="s">
        <v>236</v>
      </c>
      <c r="AF210" s="874"/>
      <c r="AG210" s="859"/>
      <c r="AH210" s="861"/>
      <c r="AI210" s="863"/>
      <c r="AJ210" s="863"/>
      <c r="AK210" s="863"/>
      <c r="AL210" s="863"/>
      <c r="AM210" s="863"/>
      <c r="AN210" s="863"/>
      <c r="AO210" s="863"/>
      <c r="AP210" s="863"/>
      <c r="AQ210" s="863"/>
      <c r="AR210" s="863"/>
      <c r="AS210" s="863"/>
      <c r="AT210" s="863"/>
      <c r="AU210" s="863"/>
      <c r="AV210" s="863"/>
      <c r="AW210" s="863"/>
      <c r="AX210" s="863"/>
      <c r="AY210" s="863"/>
      <c r="AZ210" s="863"/>
      <c r="BA210" s="863"/>
      <c r="BB210" s="863"/>
      <c r="BC210" s="863"/>
      <c r="BD210" s="863"/>
      <c r="BE210" s="863"/>
      <c r="BF210" s="863"/>
      <c r="BG210" s="863"/>
      <c r="BH210" s="863"/>
      <c r="BI210" s="863"/>
      <c r="BJ210" s="863"/>
      <c r="BK210" s="863"/>
      <c r="BL210" s="863"/>
      <c r="BM210" s="863"/>
      <c r="BN210" s="863"/>
      <c r="BO210" s="863"/>
      <c r="BP210" s="863"/>
      <c r="BQ210" s="863"/>
      <c r="BR210" s="863"/>
      <c r="BS210" s="863"/>
      <c r="BT210" s="863"/>
      <c r="BU210" s="863"/>
      <c r="BV210" s="863"/>
      <c r="BW210" s="863"/>
      <c r="BX210" s="863"/>
      <c r="BY210" s="863"/>
      <c r="BZ210" s="863"/>
      <c r="CA210" s="863"/>
      <c r="CB210" s="863"/>
      <c r="CC210" s="863"/>
      <c r="CD210" s="863"/>
      <c r="CE210" s="863"/>
      <c r="CF210" s="863"/>
      <c r="CG210" s="863"/>
      <c r="CH210" s="863"/>
      <c r="CI210" s="863"/>
      <c r="CJ210" s="863"/>
      <c r="CK210" s="863"/>
      <c r="CL210" s="863"/>
      <c r="CM210" s="863"/>
      <c r="CN210" s="863"/>
      <c r="CO210" s="863"/>
      <c r="CP210" s="863"/>
      <c r="CQ210" s="863"/>
      <c r="CR210" s="863"/>
      <c r="CS210" s="863"/>
      <c r="CT210" s="91"/>
      <c r="CU210" s="0"/>
      <c r="CV210" s="1632"/>
      <c r="CW210" s="1173" t="str">
        <f>IF(AND(ISNUMBER(VALUE(TRIM(SUBSTITUTE(AD210,".","")))),TRIM(SUBSTITUTE(AD210,".",""))&lt;&gt;""),"P"&amp;SUBSTITUTE(AD210,".",""),"")</f>
        <v/>
      </c>
      <c r="CX210" s="1178"/>
      <c r="CY210" s="1178"/>
      <c r="CZ210" s="1178"/>
      <c r="DA210" s="1179"/>
      <c r="DB210" s="1179"/>
    </row>
    <row s="1632" customFormat="1" customHeight="1" ht="29.25" hidden="1">
      <c r="A211" s="1443"/>
      <c r="B211" s="927"/>
      <c r="C211" s="1443"/>
      <c r="D211" s="1443"/>
      <c r="E211" s="797">
        <v>30</v>
      </c>
      <c r="F211" s="922" cm="1" t="str">
        <f t="array" ref="F211:F211">OFFSET(G211,-1,-1)</f>
        <v>1</v>
      </c>
      <c r="G211" s="965"/>
      <c r="H211" s="965"/>
      <c r="I211" s="965"/>
      <c r="J211" s="965"/>
      <c r="K211" s="965"/>
      <c r="L211" s="922" cm="1" t="str">
        <f t="array" ref="L211:L211">OFFSET(M211,-1,-1)</f>
        <v>false</v>
      </c>
      <c r="M211" s="965"/>
      <c r="N211" s="965"/>
      <c r="O211" s="965"/>
      <c r="P211" s="965"/>
      <c r="Q211" s="965"/>
      <c r="R211" s="922" t="s">
        <v>730</v>
      </c>
      <c r="S211" s="159" cm="1" t="str">
        <f t="array" ref="S211:S211">OFFSET(T211,-1,-1)</f>
        <v>true</v>
      </c>
      <c r="T211" s="159" cm="1" t="str">
        <f t="array" ref="T211:T211">L211</f>
        <v>false</v>
      </c>
      <c r="U211" s="819">
        <f>AND(S211,IF(ISBLANK(T211),TRUE,T211))</f>
        <v>0</v>
      </c>
      <c r="V211" s="1443"/>
      <c r="W211" s="1443"/>
      <c r="X211" s="1443"/>
      <c r="Y211" s="1443"/>
      <c r="Z211" s="1443"/>
      <c r="AA211" s="820"/>
      <c r="AB211" s="1492"/>
      <c r="AC211" s="0"/>
      <c r="AD211" s="173">
        <v>29</v>
      </c>
      <c r="AE211" s="1502" t="s">
        <v>828</v>
      </c>
      <c r="AF211" s="163"/>
      <c r="AG211" s="859" t="s">
        <v>810</v>
      </c>
      <c r="AH211" s="860">
        <f>SUM(AH212:AH214)</f>
        <v>0</v>
      </c>
      <c r="AI211" s="860">
        <f>SUM(AI212:AI214)</f>
        <v>0</v>
      </c>
      <c r="AJ211" s="860">
        <f>SUM(AJ212:AJ214)</f>
        <v>0</v>
      </c>
      <c r="AK211" s="860">
        <f>SUM(AK212:AK214)</f>
        <v>0</v>
      </c>
      <c r="AL211" s="860">
        <f>SUM(AL212:AL214)</f>
        <v>0</v>
      </c>
      <c r="AM211" s="860">
        <f>SUM(AM212:AM214)</f>
        <v>0</v>
      </c>
      <c r="AN211" s="860">
        <f>SUM(AN212:AN214)</f>
        <v>0</v>
      </c>
      <c r="AO211" s="860">
        <f>SUM(AO212:AO214)</f>
        <v>0</v>
      </c>
      <c r="AP211" s="860">
        <f>SUM(AP212:AP214)</f>
        <v>0</v>
      </c>
      <c r="AQ211" s="860">
        <f>SUM(AQ212:AQ214)</f>
        <v>0</v>
      </c>
      <c r="AR211" s="860">
        <f>SUM(AR212:AR214)</f>
        <v>0</v>
      </c>
      <c r="AS211" s="860">
        <f>SUM(AS212:AS214)</f>
        <v>0</v>
      </c>
      <c r="AT211" s="860">
        <f>SUM(AT212:AT214)</f>
        <v>0</v>
      </c>
      <c r="AU211" s="860">
        <f>SUM(AU212:AU214)</f>
        <v>0</v>
      </c>
      <c r="AV211" s="860">
        <f>SUM(AV212:AV214)</f>
        <v>0</v>
      </c>
      <c r="AW211" s="860">
        <f>SUM(AW212:AW214)</f>
        <v>0</v>
      </c>
      <c r="AX211" s="860">
        <f>SUM(AX212:AX214)</f>
        <v>0</v>
      </c>
      <c r="AY211" s="860">
        <f>SUM(AY212:AY214)</f>
        <v>0</v>
      </c>
      <c r="AZ211" s="860">
        <f>SUM(AZ212:AZ214)</f>
        <v>0</v>
      </c>
      <c r="BA211" s="860">
        <f>SUM(BA212:BA214)</f>
        <v>0</v>
      </c>
      <c r="BB211" s="860">
        <f>SUM(BB212:BB214)</f>
        <v>0</v>
      </c>
      <c r="BC211" s="860">
        <f>SUM(BC212:BC214)</f>
        <v>0</v>
      </c>
      <c r="BD211" s="860">
        <f>SUM(BD212:BD214)</f>
        <v>0</v>
      </c>
      <c r="BE211" s="860">
        <f>SUM(BE212:BE214)</f>
        <v>0</v>
      </c>
      <c r="BF211" s="860">
        <f>SUM(BF212:BF214)</f>
        <v>0</v>
      </c>
      <c r="BG211" s="860">
        <f>SUM(BG212:BG214)</f>
        <v>0</v>
      </c>
      <c r="BH211" s="860">
        <f>SUM(BH212:BH214)</f>
        <v>0</v>
      </c>
      <c r="BI211" s="860">
        <f>SUM(BI212:BI214)</f>
        <v>0</v>
      </c>
      <c r="BJ211" s="860">
        <f>SUM(BJ212:BJ214)</f>
        <v>0</v>
      </c>
      <c r="BK211" s="860">
        <f>SUM(BK212:BK214)</f>
        <v>0</v>
      </c>
      <c r="BL211" s="860">
        <f>SUM(BL212:BL214)</f>
        <v>0</v>
      </c>
      <c r="BM211" s="860">
        <f>SUM(BM212:BM214)</f>
        <v>0</v>
      </c>
      <c r="BN211" s="860">
        <f>SUM(BN212:BN214)</f>
        <v>0</v>
      </c>
      <c r="BO211" s="860">
        <f>SUM(BO212:BO214)</f>
        <v>0</v>
      </c>
      <c r="BP211" s="860">
        <f>SUM(BP212:BP214)</f>
        <v>0</v>
      </c>
      <c r="BQ211" s="860">
        <f>SUM(BQ212:BQ214)</f>
        <v>0</v>
      </c>
      <c r="BR211" s="860">
        <f>SUM(BR212:BR214)</f>
        <v>0</v>
      </c>
      <c r="BS211" s="860">
        <f>SUM(BS212:BS214)</f>
        <v>0</v>
      </c>
      <c r="BT211" s="860">
        <f>SUM(BT212:BT214)</f>
        <v>0</v>
      </c>
      <c r="BU211" s="860">
        <f>SUM(BU212:BU214)</f>
        <v>0</v>
      </c>
      <c r="BV211" s="860">
        <f>SUM(BV212:BV214)</f>
        <v>0</v>
      </c>
      <c r="BW211" s="860">
        <f>SUM(BW212:BW214)</f>
        <v>0</v>
      </c>
      <c r="BX211" s="860">
        <f>SUM(BX212:BX214)</f>
        <v>0</v>
      </c>
      <c r="BY211" s="860">
        <f>SUM(BY212:BY214)</f>
        <v>0</v>
      </c>
      <c r="BZ211" s="860">
        <f>SUM(BZ212:BZ214)</f>
        <v>0</v>
      </c>
      <c r="CA211" s="860">
        <f>SUM(CA212:CA214)</f>
        <v>0</v>
      </c>
      <c r="CB211" s="860">
        <f>SUM(CB212:CB214)</f>
        <v>0</v>
      </c>
      <c r="CC211" s="860">
        <f>SUM(CC212:CC214)</f>
        <v>0</v>
      </c>
      <c r="CD211" s="860">
        <f>SUM(CD212:CD214)</f>
        <v>0</v>
      </c>
      <c r="CE211" s="860">
        <f>SUM(CE212:CE214)</f>
        <v>0</v>
      </c>
      <c r="CF211" s="860">
        <f>SUM(CF212:CF214)</f>
        <v>0</v>
      </c>
      <c r="CG211" s="860">
        <f>SUM(CG212:CG214)</f>
        <v>0</v>
      </c>
      <c r="CH211" s="860">
        <f>SUM(CH212:CH214)</f>
        <v>0</v>
      </c>
      <c r="CI211" s="860">
        <f>SUM(CI212:CI214)</f>
        <v>0</v>
      </c>
      <c r="CJ211" s="860">
        <f>SUM(CJ212:CJ214)</f>
        <v>0</v>
      </c>
      <c r="CK211" s="860">
        <f>SUM(CK212:CK214)</f>
        <v>0</v>
      </c>
      <c r="CL211" s="860">
        <f>SUM(CL212:CL214)</f>
        <v>0</v>
      </c>
      <c r="CM211" s="860">
        <f>SUM(CM212:CM214)</f>
        <v>0</v>
      </c>
      <c r="CN211" s="860">
        <f>SUM(CN212:CN214)</f>
        <v>0</v>
      </c>
      <c r="CO211" s="860">
        <f>SUM(CO212:CO214)</f>
        <v>0</v>
      </c>
      <c r="CP211" s="860">
        <f>SUM(CP212:CP214)</f>
        <v>0</v>
      </c>
      <c r="CQ211" s="860">
        <f>SUM(CQ212:CQ214)</f>
        <v>0</v>
      </c>
      <c r="CR211" s="860">
        <f>SUM(CR212:CR214)</f>
        <v>0</v>
      </c>
      <c r="CS211" s="860">
        <f>SUM(CS212:CS214)</f>
        <v>0</v>
      </c>
      <c r="CT211" s="73"/>
      <c r="CU211" s="0"/>
      <c r="CV211" s="1632"/>
      <c r="CW211" s="1173" t="s">
        <v>829</v>
      </c>
      <c r="CX211" s="1178"/>
      <c r="CY211" s="1178"/>
      <c r="CZ211" s="1178"/>
      <c r="DA211" s="1179"/>
      <c r="DB211" s="1179"/>
    </row>
    <row s="1632" customFormat="1" customHeight="1" ht="16.5" hidden="1">
      <c r="E212" s="797">
        <v>17.1</v>
      </c>
      <c r="F212" s="922" cm="1" t="str">
        <f t="array" ref="F212:F212">OFFSET(G212,-1,-1)</f>
        <v>1</v>
      </c>
      <c r="L212" s="922" cm="1" t="str">
        <f t="array" ref="L212:L212">OFFSET(M212,-1,-1)</f>
        <v>false</v>
      </c>
      <c r="R212" s="922" t="s">
        <v>730</v>
      </c>
      <c r="S212" s="159" cm="1" t="str">
        <f t="array" ref="S212:S212">OFFSET(T212,-1,-1)</f>
        <v>true</v>
      </c>
      <c r="T212" s="159">
        <f>AND(L212,AD212&lt;&gt;"29.0")</f>
        <v>0</v>
      </c>
      <c r="U212" s="819">
        <f>AND(S212,IF(ISBLANK(T212),TRUE,T212))</f>
        <v>0</v>
      </c>
      <c r="X212" s="159" t="s">
        <v>234</v>
      </c>
      <c r="AB212" s="1492"/>
      <c r="AD212" s="160" t="s">
        <v>830</v>
      </c>
      <c r="AE212" s="974"/>
      <c r="AF212" s="625"/>
      <c r="AG212" s="859" t="s">
        <v>810</v>
      </c>
      <c r="AH212" s="86">
        <f>AH$163*AH208</f>
        <v>0</v>
      </c>
      <c r="AI212" s="87">
        <f>AI$163*AI208</f>
        <v>0</v>
      </c>
      <c r="AJ212" s="87">
        <f>AJ$163*AJ208</f>
        <v>0</v>
      </c>
      <c r="AK212" s="87">
        <f>AK$163*AK208</f>
        <v>0</v>
      </c>
      <c r="AL212" s="862">
        <f>AM212+AN212</f>
        <v>0</v>
      </c>
      <c r="AM212" s="87">
        <f>AM$163*AM208</f>
        <v>0</v>
      </c>
      <c r="AN212" s="87">
        <f>AN$163*AN208</f>
        <v>0</v>
      </c>
      <c r="AO212" s="862">
        <f>AP212+AQ212</f>
        <v>0</v>
      </c>
      <c r="AP212" s="87">
        <f>AP$163*AP208</f>
        <v>0</v>
      </c>
      <c r="AQ212" s="87">
        <f>AQ$163*AQ208</f>
        <v>0</v>
      </c>
      <c r="AR212" s="862">
        <f>AS212+AT212</f>
        <v>0</v>
      </c>
      <c r="AS212" s="87">
        <f>AS$163*AS208</f>
        <v>0</v>
      </c>
      <c r="AT212" s="87">
        <f>AT$163*AT208</f>
        <v>0</v>
      </c>
      <c r="AU212" s="862">
        <f>AV212+AW212</f>
        <v>0</v>
      </c>
      <c r="AV212" s="87">
        <f>AV$163*AV208</f>
        <v>0</v>
      </c>
      <c r="AW212" s="87">
        <f>AW$163*AW208</f>
        <v>0</v>
      </c>
      <c r="AX212" s="862">
        <f>AY212+AZ212</f>
        <v>0</v>
      </c>
      <c r="AY212" s="87">
        <f>AY$163*AY208</f>
        <v>0</v>
      </c>
      <c r="AZ212" s="87">
        <f>AZ$163*AZ208</f>
        <v>0</v>
      </c>
      <c r="BA212" s="862">
        <f>BB212+BC212</f>
        <v>0</v>
      </c>
      <c r="BB212" s="87">
        <f>BB$163*BB208</f>
        <v>0</v>
      </c>
      <c r="BC212" s="87">
        <f>BC$163*BC208</f>
        <v>0</v>
      </c>
      <c r="BD212" s="862">
        <f>BE212+BF212</f>
        <v>0</v>
      </c>
      <c r="BE212" s="87">
        <f>BE$163*BE208</f>
        <v>0</v>
      </c>
      <c r="BF212" s="87">
        <f>BF$163*BF208</f>
        <v>0</v>
      </c>
      <c r="BG212" s="862">
        <f>BH212+BI212</f>
        <v>0</v>
      </c>
      <c r="BH212" s="87">
        <f>BH$163*BH208</f>
        <v>0</v>
      </c>
      <c r="BI212" s="87">
        <f>BI$163*BI208</f>
        <v>0</v>
      </c>
      <c r="BJ212" s="862">
        <f>BK212+BL212</f>
        <v>0</v>
      </c>
      <c r="BK212" s="87">
        <f>BK$163*BK208</f>
        <v>0</v>
      </c>
      <c r="BL212" s="87">
        <f>BL$163*BL208</f>
        <v>0</v>
      </c>
      <c r="BM212" s="862">
        <f>BN212+BO212</f>
        <v>0</v>
      </c>
      <c r="BN212" s="87">
        <f>BN$163*BN208</f>
        <v>0</v>
      </c>
      <c r="BO212" s="87">
        <f>BO$163*BO208</f>
        <v>0</v>
      </c>
      <c r="BP212" s="862">
        <f>BQ212+BR212</f>
        <v>0</v>
      </c>
      <c r="BQ212" s="979">
        <f>BQ$163*BQ208</f>
        <v>0</v>
      </c>
      <c r="BR212" s="979">
        <f>BR$163*BR208</f>
        <v>0</v>
      </c>
      <c r="BS212" s="862">
        <f>BT212+BU212</f>
        <v>0</v>
      </c>
      <c r="BT212" s="87">
        <f>BT$163*BT208</f>
        <v>0</v>
      </c>
      <c r="BU212" s="87">
        <f>BU$163*BU208</f>
        <v>0</v>
      </c>
      <c r="BV212" s="862">
        <f>BW212+BX212</f>
        <v>0</v>
      </c>
      <c r="BW212" s="87">
        <f>BW$163*BW208</f>
        <v>0</v>
      </c>
      <c r="BX212" s="87">
        <f>BX$163*BX208</f>
        <v>0</v>
      </c>
      <c r="BY212" s="862">
        <f>BZ212+CA212</f>
        <v>0</v>
      </c>
      <c r="BZ212" s="87">
        <f>BZ$163*BZ208</f>
        <v>0</v>
      </c>
      <c r="CA212" s="87">
        <f>CA$163*CA208</f>
        <v>0</v>
      </c>
      <c r="CB212" s="862">
        <f>CC212+CD212</f>
        <v>0</v>
      </c>
      <c r="CC212" s="87">
        <f>CC$163*CC208</f>
        <v>0</v>
      </c>
      <c r="CD212" s="87">
        <f>CD$163*CD208</f>
        <v>0</v>
      </c>
      <c r="CE212" s="862">
        <f>CF212+CG212</f>
        <v>0</v>
      </c>
      <c r="CF212" s="87">
        <f>CF$163*CF208</f>
        <v>0</v>
      </c>
      <c r="CG212" s="87">
        <f>CG$163*CG208</f>
        <v>0</v>
      </c>
      <c r="CH212" s="862">
        <f>CI212+CJ212</f>
        <v>0</v>
      </c>
      <c r="CI212" s="87">
        <f>CI$163*CI208</f>
        <v>0</v>
      </c>
      <c r="CJ212" s="87">
        <f>CJ$163*CJ208</f>
        <v>0</v>
      </c>
      <c r="CK212" s="862">
        <f>CL212+CM212</f>
        <v>0</v>
      </c>
      <c r="CL212" s="87">
        <f>CL$163*CL208</f>
        <v>0</v>
      </c>
      <c r="CM212" s="87">
        <f>CM$163*CM208</f>
        <v>0</v>
      </c>
      <c r="CN212" s="862">
        <f>CO212+CP212</f>
        <v>0</v>
      </c>
      <c r="CO212" s="87">
        <f>CO$163*CO208</f>
        <v>0</v>
      </c>
      <c r="CP212" s="87">
        <f>CP$163*CP208</f>
        <v>0</v>
      </c>
      <c r="CQ212" s="862">
        <f>CR212+CS212</f>
        <v>0</v>
      </c>
      <c r="CR212" s="87">
        <f>CR$163*CR208</f>
        <v>0</v>
      </c>
      <c r="CS212" s="87">
        <f>CS$163*CS208</f>
        <v>0</v>
      </c>
      <c r="CT212" s="73"/>
      <c r="CW212" s="1173" t="s">
        <v>829</v>
      </c>
      <c r="CX212" s="1178" t="s">
        <v>792</v>
      </c>
      <c r="CY212" s="1182" cm="1" t="str">
        <f t="array" ref="CY212:CY212">AE212</f>
        <v>0</v>
      </c>
      <c r="CZ212" s="1182" cm="1" t="str">
        <f t="array" ref="CZ212:CZ212">AF212</f>
        <v>0</v>
      </c>
      <c r="DA212" s="1179"/>
      <c r="DB212" s="1179"/>
    </row>
    <row s="1632" customFormat="1" customHeight="1" ht="16.5" hidden="1">
      <c r="A213" s="1632"/>
      <c r="B213" s="1632"/>
      <c r="C213" s="1632"/>
      <c r="D213" s="1632"/>
      <c r="E213" s="797">
        <v>17.1</v>
      </c>
      <c r="F213" s="922" cm="1" t="str">
        <f t="array" ref="F213:F213">OFFSET(G213,-1,-1)</f>
        <v>1</v>
      </c>
      <c r="G213" s="1632"/>
      <c r="H213" s="1632"/>
      <c r="I213" s="1632"/>
      <c r="J213" s="1632"/>
      <c r="K213" s="1632"/>
      <c r="L213" s="922" cm="1" t="str">
        <f t="array" ref="L213:L213">OFFSET(M213,-1,-1)</f>
        <v>false</v>
      </c>
      <c r="M213" s="1632"/>
      <c r="N213" s="1632"/>
      <c r="O213" s="1632"/>
      <c r="P213" s="1632"/>
      <c r="Q213" s="1632"/>
      <c r="R213" s="922" t="s">
        <v>730</v>
      </c>
      <c r="S213" s="159" cm="1" t="str">
        <f t="array" ref="S213:S213">OFFSET(T213,-1,-1)</f>
        <v>true</v>
      </c>
      <c r="T213" s="159">
        <f>AND(L213,AD213&lt;&gt;"29.0")</f>
        <v>0</v>
      </c>
      <c r="U213" s="819">
        <f>AND(S213,IF(ISBLANK(T213),TRUE,T213))</f>
        <v>0</v>
      </c>
      <c r="V213" s="1632"/>
      <c r="W213" s="1632"/>
      <c r="X213" s="159" t="str">
        <f>'Топливо 4.4'!$AE$209&amp;'Топливо 4.4'!$AF$209</f>
        <v>Уголь длиннопламенный</v>
      </c>
      <c r="Y213" s="1632"/>
      <c r="Z213" s="1632"/>
      <c r="AA213" s="1632"/>
      <c r="AB213" s="1492"/>
      <c r="AC213" s="0"/>
      <c r="AD213" s="160" t="s">
        <v>913</v>
      </c>
      <c r="AE213" s="974" cm="1" t="str">
        <f t="array" ref="AE213:AE213">IF(ISBLANK('Топливо 4.4'!$AE$209),"",'Топливо 4.4'!$AE$209)</f>
        <v>Уголь длиннопламенный</v>
      </c>
      <c r="AF213" s="625" cm="1" t="str">
        <f t="array" ref="AF213:AF213">IF(ISBLANK('Топливо 4.4'!$AF$209),"",'Топливо 4.4'!$AF$209)</f>
        <v/>
      </c>
      <c r="AG213" s="859" t="s">
        <v>810</v>
      </c>
      <c r="AH213" s="86">
        <f>AH$163*AH209</f>
        <v>0</v>
      </c>
      <c r="AI213" s="87">
        <f>AI$163*AI209</f>
        <v>0</v>
      </c>
      <c r="AJ213" s="87">
        <f>AJ$163*AJ209</f>
        <v>0</v>
      </c>
      <c r="AK213" s="87">
        <f>AK$163*AK209</f>
        <v>0</v>
      </c>
      <c r="AL213" s="862">
        <f>AM213+AN213</f>
        <v>0</v>
      </c>
      <c r="AM213" s="87">
        <f>AM$163*AM209</f>
        <v>0</v>
      </c>
      <c r="AN213" s="87">
        <f>AN$163*AN209</f>
        <v>0</v>
      </c>
      <c r="AO213" s="862">
        <f>AP213+AQ213</f>
        <v>0</v>
      </c>
      <c r="AP213" s="87">
        <f>AP$163*AP209</f>
        <v>0</v>
      </c>
      <c r="AQ213" s="87">
        <f>AQ$163*AQ209</f>
        <v>0</v>
      </c>
      <c r="AR213" s="862">
        <f>AS213+AT213</f>
        <v>0</v>
      </c>
      <c r="AS213" s="87">
        <f>AS$163*AS209</f>
        <v>0</v>
      </c>
      <c r="AT213" s="87">
        <f>AT$163*AT209</f>
        <v>0</v>
      </c>
      <c r="AU213" s="862">
        <f>AV213+AW213</f>
        <v>0</v>
      </c>
      <c r="AV213" s="87">
        <f>AV$163*AV209</f>
        <v>0</v>
      </c>
      <c r="AW213" s="87">
        <f>AW$163*AW209</f>
        <v>0</v>
      </c>
      <c r="AX213" s="862">
        <f>AY213+AZ213</f>
        <v>0</v>
      </c>
      <c r="AY213" s="87">
        <f>AY$163*AY209</f>
        <v>0</v>
      </c>
      <c r="AZ213" s="87">
        <f>AZ$163*AZ209</f>
        <v>0</v>
      </c>
      <c r="BA213" s="862">
        <f>BB213+BC213</f>
        <v>0</v>
      </c>
      <c r="BB213" s="87">
        <f>BB$163*BB209</f>
        <v>0</v>
      </c>
      <c r="BC213" s="87">
        <f>BC$163*BC209</f>
        <v>0</v>
      </c>
      <c r="BD213" s="862">
        <f>BE213+BF213</f>
        <v>0</v>
      </c>
      <c r="BE213" s="87">
        <f>BE$163*BE209</f>
        <v>0</v>
      </c>
      <c r="BF213" s="87">
        <f>BF$163*BF209</f>
        <v>0</v>
      </c>
      <c r="BG213" s="862">
        <f>BH213+BI213</f>
        <v>0</v>
      </c>
      <c r="BH213" s="87">
        <f>BH$163*BH209</f>
        <v>0</v>
      </c>
      <c r="BI213" s="87">
        <f>BI$163*BI209</f>
        <v>0</v>
      </c>
      <c r="BJ213" s="862">
        <f>BK213+BL213</f>
        <v>0</v>
      </c>
      <c r="BK213" s="87">
        <f>BK$163*BK209</f>
        <v>0</v>
      </c>
      <c r="BL213" s="87">
        <f>BL$163*BL209</f>
        <v>0</v>
      </c>
      <c r="BM213" s="862">
        <f>BN213+BO213</f>
        <v>0</v>
      </c>
      <c r="BN213" s="87">
        <f>BN$163*BN209</f>
        <v>0</v>
      </c>
      <c r="BO213" s="87">
        <f>BO$163*BO209</f>
        <v>0</v>
      </c>
      <c r="BP213" s="862">
        <f>BQ213+BR213</f>
        <v>0</v>
      </c>
      <c r="BQ213" s="979">
        <f>BQ$163*BQ209</f>
        <v>0</v>
      </c>
      <c r="BR213" s="979">
        <f>BR$163*BR209</f>
        <v>0</v>
      </c>
      <c r="BS213" s="862">
        <f>BT213+BU213</f>
        <v>0</v>
      </c>
      <c r="BT213" s="87">
        <f>BT$163*BT209</f>
        <v>0</v>
      </c>
      <c r="BU213" s="87">
        <f>BU$163*BU209</f>
        <v>0</v>
      </c>
      <c r="BV213" s="862">
        <f>BW213+BX213</f>
        <v>0</v>
      </c>
      <c r="BW213" s="87">
        <f>BW$163*BW209</f>
        <v>0</v>
      </c>
      <c r="BX213" s="87">
        <f>BX$163*BX209</f>
        <v>0</v>
      </c>
      <c r="BY213" s="862">
        <f>BZ213+CA213</f>
        <v>0</v>
      </c>
      <c r="BZ213" s="87">
        <f>BZ$163*BZ209</f>
        <v>0</v>
      </c>
      <c r="CA213" s="87">
        <f>CA$163*CA209</f>
        <v>0</v>
      </c>
      <c r="CB213" s="862">
        <f>CC213+CD213</f>
        <v>0</v>
      </c>
      <c r="CC213" s="87">
        <f>CC$163*CC209</f>
        <v>0</v>
      </c>
      <c r="CD213" s="87">
        <f>CD$163*CD209</f>
        <v>0</v>
      </c>
      <c r="CE213" s="862">
        <f>CF213+CG213</f>
        <v>0</v>
      </c>
      <c r="CF213" s="87">
        <f>CF$163*CF209</f>
        <v>0</v>
      </c>
      <c r="CG213" s="87">
        <f>CG$163*CG209</f>
        <v>0</v>
      </c>
      <c r="CH213" s="862">
        <f>CI213+CJ213</f>
        <v>0</v>
      </c>
      <c r="CI213" s="87">
        <f>CI$163*CI209</f>
        <v>0</v>
      </c>
      <c r="CJ213" s="87">
        <f>CJ$163*CJ209</f>
        <v>0</v>
      </c>
      <c r="CK213" s="862">
        <f>CL213+CM213</f>
        <v>0</v>
      </c>
      <c r="CL213" s="87">
        <f>CL$163*CL209</f>
        <v>0</v>
      </c>
      <c r="CM213" s="87">
        <f>CM$163*CM209</f>
        <v>0</v>
      </c>
      <c r="CN213" s="862">
        <f>CO213+CP213</f>
        <v>0</v>
      </c>
      <c r="CO213" s="87">
        <f>CO$163*CO209</f>
        <v>0</v>
      </c>
      <c r="CP213" s="87">
        <f>CP$163*CP209</f>
        <v>0</v>
      </c>
      <c r="CQ213" s="862">
        <f>CR213+CS213</f>
        <v>0</v>
      </c>
      <c r="CR213" s="87">
        <f>CR$163*CR209</f>
        <v>0</v>
      </c>
      <c r="CS213" s="87">
        <f>CS$163*CS209</f>
        <v>0</v>
      </c>
      <c r="CT213" s="73"/>
      <c r="CU213" s="0"/>
      <c r="CV213" s="1632"/>
      <c r="CW213" s="1173" t="s">
        <v>829</v>
      </c>
      <c r="CX213" s="1178" t="s">
        <v>792</v>
      </c>
      <c r="CY213" s="1182" cm="1" t="str">
        <f t="array" ref="CY213:CY213">AE213</f>
        <v>Уголь длиннопламенный</v>
      </c>
      <c r="CZ213" s="1182" cm="1" t="str">
        <f t="array" ref="CZ213:CZ213">AF213</f>
        <v/>
      </c>
      <c r="DA213" s="1179"/>
      <c r="DB213" s="1179"/>
    </row>
    <row s="1632" customFormat="1" customHeight="1" ht="15" hidden="1">
      <c r="A214" s="1443"/>
      <c r="B214" s="927"/>
      <c r="C214" s="1443"/>
      <c r="D214" s="1443"/>
      <c r="E214" s="797">
        <v>0</v>
      </c>
      <c r="F214" s="922" cm="1" t="str">
        <f t="array" ref="F214:F214">OFFSET(G214,-1,-1)</f>
        <v>1</v>
      </c>
      <c r="G214" s="965"/>
      <c r="H214" s="965"/>
      <c r="I214" s="965"/>
      <c r="J214" s="965"/>
      <c r="K214" s="965"/>
      <c r="L214" s="922" cm="1" t="str">
        <f t="array" ref="L214:L214">OFFSET(M214,-1,-1)</f>
        <v>false</v>
      </c>
      <c r="M214" s="965"/>
      <c r="N214" s="965"/>
      <c r="O214" s="965"/>
      <c r="P214" s="965"/>
      <c r="Q214" s="965"/>
      <c r="R214" s="1443"/>
      <c r="S214" s="159" cm="1" t="str">
        <f t="array" ref="S214:S214">OFFSET(T214,-1,-1)</f>
        <v>true</v>
      </c>
      <c r="T214" s="1443"/>
      <c r="U214" s="819">
        <f>AND(S214,IF(ISBLANK(T214),TRUE,T214))</f>
        <v>1</v>
      </c>
      <c r="V214" s="1443"/>
      <c r="W214" s="1443"/>
      <c r="X214" s="973" t="str">
        <f>"{                  
         funcDyn: 'msg1',
         blok: 'blok_2',
         wsCross: 'Топливо 4.4',
         linkFormula: 'AE-AE#AF-AF',
         levelDyn: "&amp;Y139&amp;"
}"</f>
        <v>{                  
         funcDyn: 'msg1',
         blok: 'blok_2',
         wsCross: 'Топливо 4.4',
         linkFormula: 'AE-AE#AF-AF',
         levelDyn: 1
}</v>
      </c>
      <c r="Y214" s="1443"/>
      <c r="Z214" s="1443"/>
      <c r="AA214" s="820"/>
      <c r="AB214" s="1493"/>
      <c r="AC214" s="0"/>
      <c r="AD214" s="976"/>
      <c r="AE214" s="975" t="s">
        <v>236</v>
      </c>
      <c r="AF214" s="874"/>
      <c r="AG214" s="859"/>
      <c r="AH214" s="861"/>
      <c r="AI214" s="863"/>
      <c r="AJ214" s="863"/>
      <c r="AK214" s="863"/>
      <c r="AL214" s="863"/>
      <c r="AM214" s="863"/>
      <c r="AN214" s="863"/>
      <c r="AO214" s="863"/>
      <c r="AP214" s="863"/>
      <c r="AQ214" s="863"/>
      <c r="AR214" s="863"/>
      <c r="AS214" s="863"/>
      <c r="AT214" s="863"/>
      <c r="AU214" s="863"/>
      <c r="AV214" s="863"/>
      <c r="AW214" s="863"/>
      <c r="AX214" s="863"/>
      <c r="AY214" s="863"/>
      <c r="AZ214" s="863"/>
      <c r="BA214" s="863"/>
      <c r="BB214" s="863"/>
      <c r="BC214" s="863"/>
      <c r="BD214" s="863"/>
      <c r="BE214" s="863"/>
      <c r="BF214" s="863"/>
      <c r="BG214" s="863"/>
      <c r="BH214" s="863"/>
      <c r="BI214" s="863"/>
      <c r="BJ214" s="863"/>
      <c r="BK214" s="863"/>
      <c r="BL214" s="863"/>
      <c r="BM214" s="863"/>
      <c r="BN214" s="863"/>
      <c r="BO214" s="863"/>
      <c r="BP214" s="863"/>
      <c r="BQ214" s="863"/>
      <c r="BR214" s="863"/>
      <c r="BS214" s="863"/>
      <c r="BT214" s="863"/>
      <c r="BU214" s="863"/>
      <c r="BV214" s="863"/>
      <c r="BW214" s="863"/>
      <c r="BX214" s="863"/>
      <c r="BY214" s="863"/>
      <c r="BZ214" s="863"/>
      <c r="CA214" s="863"/>
      <c r="CB214" s="863"/>
      <c r="CC214" s="863"/>
      <c r="CD214" s="863"/>
      <c r="CE214" s="863"/>
      <c r="CF214" s="863"/>
      <c r="CG214" s="863"/>
      <c r="CH214" s="863"/>
      <c r="CI214" s="863"/>
      <c r="CJ214" s="863"/>
      <c r="CK214" s="863"/>
      <c r="CL214" s="863"/>
      <c r="CM214" s="863"/>
      <c r="CN214" s="863"/>
      <c r="CO214" s="863"/>
      <c r="CP214" s="863"/>
      <c r="CQ214" s="863"/>
      <c r="CR214" s="863"/>
      <c r="CS214" s="863"/>
      <c r="CT214" s="91"/>
      <c r="CU214" s="0"/>
      <c r="CV214" s="1632"/>
      <c r="CW214" s="1173" t="str">
        <f>IF(AND(ISNUMBER(VALUE(TRIM(SUBSTITUTE(AD214,".","")))),TRIM(SUBSTITUTE(AD214,".",""))&lt;&gt;""),"P"&amp;SUBSTITUTE(AD214,".",""),"")</f>
        <v/>
      </c>
      <c r="CX214" s="1178"/>
      <c r="CY214" s="1178"/>
      <c r="CZ214" s="1178"/>
      <c r="DA214" s="1179"/>
      <c r="DB214" s="1179"/>
    </row>
    <row s="1632" customFormat="1" customHeight="1" ht="16.5">
      <c r="A215" s="1443"/>
      <c r="B215" s="927"/>
      <c r="C215" s="1443"/>
      <c r="D215" s="1443"/>
      <c r="E215" s="797">
        <v>17.1</v>
      </c>
      <c r="F215" s="922" cm="1" t="str">
        <f t="array" ref="F215:F215">OFFSET(G215,-1,-1)</f>
        <v>1</v>
      </c>
      <c r="G215" s="965"/>
      <c r="H215" s="965"/>
      <c r="I215" s="965"/>
      <c r="J215" s="965"/>
      <c r="K215" s="965"/>
      <c r="L215" s="922" cm="1" t="str">
        <f t="array" ref="L215:L215">OFFSET(M215,-1,-1)</f>
        <v>false</v>
      </c>
      <c r="M215" s="965"/>
      <c r="N215" s="965"/>
      <c r="O215" s="965"/>
      <c r="P215" s="965"/>
      <c r="Q215" s="965"/>
      <c r="R215" s="1443"/>
      <c r="S215" s="159" cm="1" t="str">
        <f t="array" ref="S215:S215">OFFSET(T215,-1,-1)</f>
        <v>true</v>
      </c>
      <c r="T215" s="1443"/>
      <c r="U215" s="819">
        <f>AND(S215,IF(ISBLANK(T215),TRUE,T215))</f>
        <v>1</v>
      </c>
      <c r="V215" s="1443"/>
      <c r="W215" s="1443"/>
      <c r="X215" s="1443"/>
      <c r="Y215" s="1443"/>
      <c r="Z215" s="1443"/>
      <c r="AA215" s="820"/>
      <c r="AB215" s="1494" t="s">
        <v>831</v>
      </c>
      <c r="AC215" s="0"/>
      <c r="AD215" s="173" t="s">
        <v>832</v>
      </c>
      <c r="AE215" s="1497" t="s">
        <v>833</v>
      </c>
      <c r="AF215" s="323"/>
      <c r="AG215" s="1010"/>
      <c r="AH215" s="861"/>
      <c r="AI215" s="863"/>
      <c r="AJ215" s="863"/>
      <c r="AK215" s="863"/>
      <c r="AL215" s="863"/>
      <c r="AM215" s="863"/>
      <c r="AN215" s="863"/>
      <c r="AO215" s="863"/>
      <c r="AP215" s="863"/>
      <c r="AQ215" s="863"/>
      <c r="AR215" s="863"/>
      <c r="AS215" s="863"/>
      <c r="AT215" s="863"/>
      <c r="AU215" s="863"/>
      <c r="AV215" s="863"/>
      <c r="AW215" s="863"/>
      <c r="AX215" s="863"/>
      <c r="AY215" s="863"/>
      <c r="AZ215" s="863"/>
      <c r="BA215" s="863"/>
      <c r="BB215" s="863"/>
      <c r="BC215" s="863"/>
      <c r="BD215" s="863"/>
      <c r="BE215" s="863"/>
      <c r="BF215" s="863"/>
      <c r="BG215" s="863"/>
      <c r="BH215" s="863"/>
      <c r="BI215" s="863"/>
      <c r="BJ215" s="863"/>
      <c r="BK215" s="863"/>
      <c r="BL215" s="863"/>
      <c r="BM215" s="863"/>
      <c r="BN215" s="863"/>
      <c r="BO215" s="863"/>
      <c r="BP215" s="863"/>
      <c r="BQ215" s="863"/>
      <c r="BR215" s="863"/>
      <c r="BS215" s="863"/>
      <c r="BT215" s="863"/>
      <c r="BU215" s="863"/>
      <c r="BV215" s="863"/>
      <c r="BW215" s="863"/>
      <c r="BX215" s="863"/>
      <c r="BY215" s="863"/>
      <c r="BZ215" s="863"/>
      <c r="CA215" s="863"/>
      <c r="CB215" s="863"/>
      <c r="CC215" s="863"/>
      <c r="CD215" s="863"/>
      <c r="CE215" s="863"/>
      <c r="CF215" s="863"/>
      <c r="CG215" s="863"/>
      <c r="CH215" s="863"/>
      <c r="CI215" s="863"/>
      <c r="CJ215" s="863"/>
      <c r="CK215" s="863"/>
      <c r="CL215" s="863"/>
      <c r="CM215" s="863"/>
      <c r="CN215" s="863"/>
      <c r="CO215" s="863"/>
      <c r="CP215" s="863"/>
      <c r="CQ215" s="863"/>
      <c r="CR215" s="863"/>
      <c r="CS215" s="863"/>
      <c r="CT215" s="1719"/>
      <c r="CU215" s="0"/>
      <c r="CV215" s="1632"/>
      <c r="CW215" s="1173" t="s">
        <v>834</v>
      </c>
      <c r="CX215" s="1178"/>
      <c r="CY215" s="1178"/>
      <c r="CZ215" s="1178"/>
      <c r="DA215" s="1179"/>
      <c r="DB215" s="1179"/>
    </row>
    <row s="1632" customFormat="1" customHeight="1" ht="16.5" hidden="1">
      <c r="E216" s="797">
        <v>17.1</v>
      </c>
      <c r="F216" s="922" cm="1" t="str">
        <f t="array" ref="F216:F216">OFFSET(G216,-1,-1)</f>
        <v>1</v>
      </c>
      <c r="L216" s="922" cm="1" t="str">
        <f t="array" ref="L216:L216">OFFSET(M216,-1,-1)</f>
        <v>false</v>
      </c>
      <c r="S216" s="159" cm="1" t="str">
        <f t="array" ref="S216:S216">OFFSET(T216,-1,-1)</f>
        <v>true</v>
      </c>
      <c r="T216" s="159">
        <f>AD216&lt;&gt;"30.0"</f>
        <v>0</v>
      </c>
      <c r="U216" s="819">
        <f>AND(S216,IF(ISBLANK(T216),TRUE,T216))</f>
        <v>0</v>
      </c>
      <c r="X216" s="159" t="s">
        <v>234</v>
      </c>
      <c r="AB216" s="1495"/>
      <c r="AD216" s="160" t="s">
        <v>835</v>
      </c>
      <c r="AE216" s="974"/>
      <c r="AF216" s="625"/>
      <c r="AG216" s="859" t="s">
        <v>498</v>
      </c>
      <c r="AH216" s="90"/>
      <c r="AI216" s="94"/>
      <c r="AJ216" s="94"/>
      <c r="AK216" s="94"/>
      <c r="AL216" s="863"/>
      <c r="AM216" s="94"/>
      <c r="AN216" s="94"/>
      <c r="AO216" s="863"/>
      <c r="AP216" s="94"/>
      <c r="AQ216" s="94"/>
      <c r="AR216" s="863"/>
      <c r="AS216" s="94"/>
      <c r="AT216" s="94"/>
      <c r="AU216" s="863"/>
      <c r="AV216" s="94"/>
      <c r="AW216" s="94"/>
      <c r="AX216" s="863"/>
      <c r="AY216" s="94"/>
      <c r="AZ216" s="94"/>
      <c r="BA216" s="863"/>
      <c r="BB216" s="94"/>
      <c r="BC216" s="94"/>
      <c r="BD216" s="863"/>
      <c r="BE216" s="94"/>
      <c r="BF216" s="94"/>
      <c r="BG216" s="863"/>
      <c r="BH216" s="94"/>
      <c r="BI216" s="94"/>
      <c r="BJ216" s="863"/>
      <c r="BK216" s="94"/>
      <c r="BL216" s="94"/>
      <c r="BM216" s="863"/>
      <c r="BN216" s="94"/>
      <c r="BO216" s="94"/>
      <c r="BP216" s="863"/>
      <c r="BQ216" s="984"/>
      <c r="BR216" s="984"/>
      <c r="BS216" s="863"/>
      <c r="BT216" s="94"/>
      <c r="BU216" s="94"/>
      <c r="BV216" s="863"/>
      <c r="BW216" s="94"/>
      <c r="BX216" s="94"/>
      <c r="BY216" s="863"/>
      <c r="BZ216" s="94"/>
      <c r="CA216" s="94"/>
      <c r="CB216" s="863"/>
      <c r="CC216" s="94"/>
      <c r="CD216" s="94"/>
      <c r="CE216" s="863"/>
      <c r="CF216" s="94"/>
      <c r="CG216" s="94"/>
      <c r="CH216" s="863"/>
      <c r="CI216" s="94"/>
      <c r="CJ216" s="94"/>
      <c r="CK216" s="863"/>
      <c r="CL216" s="94"/>
      <c r="CM216" s="94"/>
      <c r="CN216" s="863"/>
      <c r="CO216" s="94"/>
      <c r="CP216" s="94"/>
      <c r="CQ216" s="863"/>
      <c r="CR216" s="94"/>
      <c r="CS216" s="94"/>
      <c r="CT216" s="73"/>
      <c r="CW216" s="1173" t="s">
        <v>834</v>
      </c>
      <c r="CX216" s="1178" t="s">
        <v>792</v>
      </c>
      <c r="CY216" s="1182" cm="1" t="str">
        <f t="array" ref="CY216:CY216">AE216</f>
        <v>0</v>
      </c>
      <c r="CZ216" s="1182" cm="1" t="str">
        <f t="array" ref="CZ216:CZ216">AF216</f>
        <v>0</v>
      </c>
      <c r="DA216" s="1179"/>
      <c r="DB216" s="1179"/>
    </row>
    <row s="1632" customFormat="1" customHeight="1" ht="16.5">
      <c r="A217" s="1632"/>
      <c r="B217" s="1632"/>
      <c r="C217" s="1632"/>
      <c r="D217" s="1632"/>
      <c r="E217" s="797">
        <v>17.1</v>
      </c>
      <c r="F217" s="922" cm="1" t="str">
        <f t="array" ref="F217:F217">OFFSET(G217,-1,-1)</f>
        <v>1</v>
      </c>
      <c r="G217" s="1632"/>
      <c r="H217" s="1632"/>
      <c r="I217" s="1632"/>
      <c r="J217" s="1632"/>
      <c r="K217" s="1632"/>
      <c r="L217" s="922" cm="1" t="str">
        <f t="array" ref="L217:L217">OFFSET(M217,-1,-1)</f>
        <v>false</v>
      </c>
      <c r="M217" s="1632"/>
      <c r="N217" s="1632"/>
      <c r="O217" s="1632"/>
      <c r="P217" s="1632"/>
      <c r="Q217" s="1632"/>
      <c r="R217" s="1632"/>
      <c r="S217" s="159" cm="1" t="str">
        <f t="array" ref="S217:S217">OFFSET(T217,-1,-1)</f>
        <v>true</v>
      </c>
      <c r="T217" s="159">
        <f>AD217&lt;&gt;"30.0"</f>
        <v>1</v>
      </c>
      <c r="U217" s="819">
        <f>AND(S217,IF(ISBLANK(T217),TRUE,T217))</f>
        <v>1</v>
      </c>
      <c r="V217" s="1632"/>
      <c r="W217" s="1632"/>
      <c r="X217" s="159" t="str">
        <f>'Топливо 4.4'!$AE$213&amp;'Топливо 4.4'!$AF$213</f>
        <v>Уголь длиннопламенный</v>
      </c>
      <c r="Y217" s="1632"/>
      <c r="Z217" s="1632"/>
      <c r="AA217" s="1632"/>
      <c r="AB217" s="1495"/>
      <c r="AC217" s="0"/>
      <c r="AD217" s="160" t="s">
        <v>914</v>
      </c>
      <c r="AE217" s="974" cm="1" t="str">
        <f t="array" ref="AE217:AE217">IF(ISBLANK('Топливо 4.4'!$AE$213),"",'Топливо 4.4'!$AE$213)</f>
        <v>Уголь длиннопламенный</v>
      </c>
      <c r="AF217" s="625" cm="1" t="str">
        <f t="array" ref="AF217:AF217">IF(ISBLANK('Топливо 4.4'!$AF$213),"",'Топливо 4.4'!$AF$213)</f>
        <v/>
      </c>
      <c r="AG217" s="859" t="s">
        <v>498</v>
      </c>
      <c r="AH217" s="1804"/>
      <c r="AI217" s="1829"/>
      <c r="AJ217" s="1829"/>
      <c r="AK217" s="1829"/>
      <c r="AL217" s="863"/>
      <c r="AM217" s="1829"/>
      <c r="AN217" s="1829"/>
      <c r="AO217" s="863"/>
      <c r="AP217" s="1829"/>
      <c r="AQ217" s="1829"/>
      <c r="AR217" s="863"/>
      <c r="AS217" s="1829"/>
      <c r="AT217" s="1829"/>
      <c r="AU217" s="863"/>
      <c r="AV217" s="1829"/>
      <c r="AW217" s="1829"/>
      <c r="AX217" s="863"/>
      <c r="AY217" s="1829"/>
      <c r="AZ217" s="1829"/>
      <c r="BA217" s="863"/>
      <c r="BB217" s="1829"/>
      <c r="BC217" s="1829"/>
      <c r="BD217" s="863"/>
      <c r="BE217" s="1829"/>
      <c r="BF217" s="1829"/>
      <c r="BG217" s="863"/>
      <c r="BH217" s="1829"/>
      <c r="BI217" s="1829"/>
      <c r="BJ217" s="863"/>
      <c r="BK217" s="1829"/>
      <c r="BL217" s="1829"/>
      <c r="BM217" s="863"/>
      <c r="BN217" s="1829"/>
      <c r="BO217" s="1829"/>
      <c r="BP217" s="863"/>
      <c r="BQ217" s="984"/>
      <c r="BR217" s="984"/>
      <c r="BS217" s="863"/>
      <c r="BT217" s="1829"/>
      <c r="BU217" s="1829"/>
      <c r="BV217" s="863"/>
      <c r="BW217" s="1829"/>
      <c r="BX217" s="1829"/>
      <c r="BY217" s="863"/>
      <c r="BZ217" s="1829"/>
      <c r="CA217" s="1829"/>
      <c r="CB217" s="863"/>
      <c r="CC217" s="1829"/>
      <c r="CD217" s="1829"/>
      <c r="CE217" s="863"/>
      <c r="CF217" s="1829"/>
      <c r="CG217" s="1829"/>
      <c r="CH217" s="863"/>
      <c r="CI217" s="1829"/>
      <c r="CJ217" s="1829"/>
      <c r="CK217" s="863"/>
      <c r="CL217" s="1829"/>
      <c r="CM217" s="1829"/>
      <c r="CN217" s="863"/>
      <c r="CO217" s="1829"/>
      <c r="CP217" s="1829"/>
      <c r="CQ217" s="863"/>
      <c r="CR217" s="1829"/>
      <c r="CS217" s="1829"/>
      <c r="CT217" s="1719"/>
      <c r="CU217" s="0"/>
      <c r="CV217" s="1632"/>
      <c r="CW217" s="1173" t="s">
        <v>834</v>
      </c>
      <c r="CX217" s="1178" t="s">
        <v>792</v>
      </c>
      <c r="CY217" s="1182" cm="1" t="str">
        <f t="array" ref="CY217:CY217">AE217</f>
        <v>Уголь длиннопламенный</v>
      </c>
      <c r="CZ217" s="1182" cm="1" t="str">
        <f t="array" ref="CZ217:CZ217">AF217</f>
        <v/>
      </c>
      <c r="DA217" s="1179"/>
      <c r="DB217" s="1179"/>
    </row>
    <row s="1632" customFormat="1" customHeight="1" ht="15" hidden="1">
      <c r="A218" s="1443"/>
      <c r="B218" s="927"/>
      <c r="C218" s="1443"/>
      <c r="D218" s="1443"/>
      <c r="E218" s="797">
        <v>0</v>
      </c>
      <c r="F218" s="922" cm="1" t="str">
        <f t="array" ref="F218:F218">OFFSET(G218,-1,-1)</f>
        <v>1</v>
      </c>
      <c r="G218" s="965"/>
      <c r="H218" s="965"/>
      <c r="I218" s="965"/>
      <c r="J218" s="965"/>
      <c r="K218" s="965"/>
      <c r="L218" s="922" cm="1" t="str">
        <f t="array" ref="L218:L218">OFFSET(M218,-1,-1)</f>
        <v>false</v>
      </c>
      <c r="M218" s="965"/>
      <c r="N218" s="965"/>
      <c r="O218" s="965"/>
      <c r="P218" s="965"/>
      <c r="Q218" s="965"/>
      <c r="R218" s="1443"/>
      <c r="S218" s="159" cm="1" t="str">
        <f t="array" ref="S218:S218">OFFSET(T218,-1,-1)</f>
        <v>true</v>
      </c>
      <c r="T218" s="1443"/>
      <c r="U218" s="819">
        <f>AND(S218,IF(ISBLANK(T218),TRUE,T218))</f>
        <v>1</v>
      </c>
      <c r="V218" s="1443"/>
      <c r="W218" s="1443"/>
      <c r="X218" s="973" t="str">
        <f>"{                  
         funcDyn: 'msg1',
         blok: 'blok_2',
         wsCross: 'Топливо 4.4',
         linkFormula: 'AE-AE#AF-AF',
         levelDyn: "&amp;Y139&amp;"
}"</f>
        <v>{                  
         funcDyn: 'msg1',
         blok: 'blok_2',
         wsCross: 'Топливо 4.4',
         linkFormula: 'AE-AE#AF-AF',
         levelDyn: 1
}</v>
      </c>
      <c r="Y218" s="1443"/>
      <c r="Z218" s="1443"/>
      <c r="AA218" s="820"/>
      <c r="AB218" s="1495"/>
      <c r="AC218" s="0"/>
      <c r="AD218" s="976"/>
      <c r="AE218" s="975" t="s">
        <v>236</v>
      </c>
      <c r="AF218" s="874"/>
      <c r="AG218" s="859"/>
      <c r="AH218" s="876"/>
      <c r="AI218" s="95"/>
      <c r="AJ218" s="95"/>
      <c r="AK218" s="95"/>
      <c r="AL218" s="863"/>
      <c r="AM218" s="95"/>
      <c r="AN218" s="95"/>
      <c r="AO218" s="863"/>
      <c r="AP218" s="95"/>
      <c r="AQ218" s="95"/>
      <c r="AR218" s="863"/>
      <c r="AS218" s="95"/>
      <c r="AT218" s="95"/>
      <c r="AU218" s="863"/>
      <c r="AV218" s="95"/>
      <c r="AW218" s="95"/>
      <c r="AX218" s="863"/>
      <c r="AY218" s="95"/>
      <c r="AZ218" s="95"/>
      <c r="BA218" s="863"/>
      <c r="BB218" s="95"/>
      <c r="BC218" s="95"/>
      <c r="BD218" s="863"/>
      <c r="BE218" s="95"/>
      <c r="BF218" s="95"/>
      <c r="BG218" s="863"/>
      <c r="BH218" s="95"/>
      <c r="BI218" s="95"/>
      <c r="BJ218" s="863"/>
      <c r="BK218" s="95"/>
      <c r="BL218" s="95"/>
      <c r="BM218" s="863"/>
      <c r="BN218" s="95"/>
      <c r="BO218" s="95"/>
      <c r="BP218" s="863"/>
      <c r="BQ218" s="95"/>
      <c r="BR218" s="95"/>
      <c r="BS218" s="863"/>
      <c r="BT218" s="95"/>
      <c r="BU218" s="95"/>
      <c r="BV218" s="863"/>
      <c r="BW218" s="95"/>
      <c r="BX218" s="95"/>
      <c r="BY218" s="863"/>
      <c r="BZ218" s="95"/>
      <c r="CA218" s="95"/>
      <c r="CB218" s="863"/>
      <c r="CC218" s="95"/>
      <c r="CD218" s="95"/>
      <c r="CE218" s="863"/>
      <c r="CF218" s="95"/>
      <c r="CG218" s="95"/>
      <c r="CH218" s="863"/>
      <c r="CI218" s="95"/>
      <c r="CJ218" s="95"/>
      <c r="CK218" s="863"/>
      <c r="CL218" s="95"/>
      <c r="CM218" s="95"/>
      <c r="CN218" s="863"/>
      <c r="CO218" s="95"/>
      <c r="CP218" s="95"/>
      <c r="CQ218" s="863"/>
      <c r="CR218" s="95"/>
      <c r="CS218" s="95"/>
      <c r="CT218" s="91"/>
      <c r="CU218" s="0"/>
      <c r="CV218" s="1632"/>
      <c r="CW218" s="1173" t="str">
        <f>IF(AND(ISNUMBER(VALUE(TRIM(SUBSTITUTE(AD218,".","")))),TRIM(SUBSTITUTE(AD218,".",""))&lt;&gt;""),"P"&amp;SUBSTITUTE(AD218,".",""),"")</f>
        <v/>
      </c>
      <c r="CX218" s="1178"/>
      <c r="CY218" s="1178"/>
      <c r="CZ218" s="1178"/>
      <c r="DA218" s="1179"/>
      <c r="DB218" s="1179"/>
    </row>
    <row s="1632" customFormat="1" customHeight="1" ht="16.5">
      <c r="A219" s="1443"/>
      <c r="B219" s="927"/>
      <c r="C219" s="1443"/>
      <c r="D219" s="1443"/>
      <c r="E219" s="797">
        <v>17.1</v>
      </c>
      <c r="F219" s="922" cm="1" t="str">
        <f t="array" ref="F219:F219">OFFSET(G219,-1,-1)</f>
        <v>1</v>
      </c>
      <c r="G219" s="965"/>
      <c r="H219" s="965"/>
      <c r="I219" s="965"/>
      <c r="J219" s="965"/>
      <c r="K219" s="965"/>
      <c r="L219" s="922" cm="1" t="str">
        <f t="array" ref="L219:L219">OFFSET(M219,-1,-1)</f>
        <v>false</v>
      </c>
      <c r="M219" s="965"/>
      <c r="N219" s="965"/>
      <c r="O219" s="965"/>
      <c r="P219" s="965"/>
      <c r="Q219" s="965"/>
      <c r="R219" s="1443"/>
      <c r="S219" s="159" cm="1" t="str">
        <f t="array" ref="S219:S219">OFFSET(T219,-1,-1)</f>
        <v>true</v>
      </c>
      <c r="T219" s="1443"/>
      <c r="U219" s="819">
        <f>AND(S219,IF(ISBLANK(T219),TRUE,T219))</f>
        <v>1</v>
      </c>
      <c r="V219" s="1443"/>
      <c r="W219" s="1443"/>
      <c r="X219" s="1443"/>
      <c r="Y219" s="1443"/>
      <c r="Z219" s="1443"/>
      <c r="AA219" s="820"/>
      <c r="AB219" s="1495"/>
      <c r="AC219" s="0"/>
      <c r="AD219" s="173" t="s">
        <v>836</v>
      </c>
      <c r="AE219" s="1497" t="s">
        <v>837</v>
      </c>
      <c r="AF219" s="323"/>
      <c r="AG219" s="1010"/>
      <c r="AH219" s="861"/>
      <c r="AI219" s="863"/>
      <c r="AJ219" s="863"/>
      <c r="AK219" s="863"/>
      <c r="AL219" s="863"/>
      <c r="AM219" s="863"/>
      <c r="AN219" s="863"/>
      <c r="AO219" s="863"/>
      <c r="AP219" s="863"/>
      <c r="AQ219" s="863"/>
      <c r="AR219" s="863"/>
      <c r="AS219" s="863"/>
      <c r="AT219" s="863"/>
      <c r="AU219" s="863"/>
      <c r="AV219" s="863"/>
      <c r="AW219" s="863"/>
      <c r="AX219" s="863"/>
      <c r="AY219" s="863"/>
      <c r="AZ219" s="863"/>
      <c r="BA219" s="863"/>
      <c r="BB219" s="863"/>
      <c r="BC219" s="863"/>
      <c r="BD219" s="863"/>
      <c r="BE219" s="863"/>
      <c r="BF219" s="863"/>
      <c r="BG219" s="863"/>
      <c r="BH219" s="863"/>
      <c r="BI219" s="863"/>
      <c r="BJ219" s="863"/>
      <c r="BK219" s="863"/>
      <c r="BL219" s="863"/>
      <c r="BM219" s="863"/>
      <c r="BN219" s="863"/>
      <c r="BO219" s="863"/>
      <c r="BP219" s="863"/>
      <c r="BQ219" s="863"/>
      <c r="BR219" s="863"/>
      <c r="BS219" s="863"/>
      <c r="BT219" s="863"/>
      <c r="BU219" s="863"/>
      <c r="BV219" s="863"/>
      <c r="BW219" s="863"/>
      <c r="BX219" s="863"/>
      <c r="BY219" s="863"/>
      <c r="BZ219" s="863"/>
      <c r="CA219" s="863"/>
      <c r="CB219" s="863"/>
      <c r="CC219" s="863"/>
      <c r="CD219" s="863"/>
      <c r="CE219" s="863"/>
      <c r="CF219" s="863"/>
      <c r="CG219" s="863"/>
      <c r="CH219" s="863"/>
      <c r="CI219" s="863"/>
      <c r="CJ219" s="863"/>
      <c r="CK219" s="863"/>
      <c r="CL219" s="863"/>
      <c r="CM219" s="863"/>
      <c r="CN219" s="863"/>
      <c r="CO219" s="863"/>
      <c r="CP219" s="863"/>
      <c r="CQ219" s="863"/>
      <c r="CR219" s="863"/>
      <c r="CS219" s="863"/>
      <c r="CT219" s="1719"/>
      <c r="CU219" s="0"/>
      <c r="CV219" s="1632"/>
      <c r="CW219" s="1173" t="s">
        <v>838</v>
      </c>
      <c r="CX219" s="1178"/>
      <c r="CY219" s="1178"/>
      <c r="CZ219" s="1178"/>
      <c r="DA219" s="1179"/>
      <c r="DB219" s="1179"/>
    </row>
    <row s="1632" customFormat="1" customHeight="1" ht="16.5" hidden="1">
      <c r="E220" s="797">
        <v>17.1</v>
      </c>
      <c r="F220" s="922" cm="1" t="str">
        <f t="array" ref="F220:F220">OFFSET(G220,-1,-1)</f>
        <v>1</v>
      </c>
      <c r="L220" s="922" cm="1" t="str">
        <f t="array" ref="L220:L220">OFFSET(M220,-1,-1)</f>
        <v>false</v>
      </c>
      <c r="S220" s="159" cm="1" t="str">
        <f t="array" ref="S220:S220">OFFSET(T220,-1,-1)</f>
        <v>true</v>
      </c>
      <c r="T220" s="159">
        <f>AD220&lt;&gt;"31.0"</f>
        <v>0</v>
      </c>
      <c r="U220" s="819">
        <f>AND(S220,IF(ISBLANK(T220),TRUE,T220))</f>
        <v>0</v>
      </c>
      <c r="X220" s="159" t="s">
        <v>234</v>
      </c>
      <c r="AB220" s="1495"/>
      <c r="AD220" s="160" t="s">
        <v>839</v>
      </c>
      <c r="AE220" s="974"/>
      <c r="AF220" s="625"/>
      <c r="AG220" s="1815"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2">
        <f>_xlfn.IFERROR(AL225/AL178,0)*1000</f>
        <v>0</v>
      </c>
      <c r="AM220" s="87"/>
      <c r="AN220" s="87"/>
      <c r="AO220" s="862">
        <f>_xlfn.IFERROR(AO225/AO178,0)*1000</f>
        <v>0</v>
      </c>
      <c r="AP220" s="87"/>
      <c r="AQ220" s="87"/>
      <c r="AR220" s="862">
        <f>_xlfn.IFERROR(AR225/AR178,0)*1000</f>
        <v>0</v>
      </c>
      <c r="AS220" s="87"/>
      <c r="AT220" s="87"/>
      <c r="AU220" s="862">
        <f>_xlfn.IFERROR(AU225/AU178,0)*1000</f>
        <v>0</v>
      </c>
      <c r="AV220" s="87"/>
      <c r="AW220" s="87"/>
      <c r="AX220" s="862">
        <f>_xlfn.IFERROR(AX225/AX178,0)*1000</f>
        <v>0</v>
      </c>
      <c r="AY220" s="87"/>
      <c r="AZ220" s="87"/>
      <c r="BA220" s="862">
        <f>_xlfn.IFERROR(BA225/BA178,0)*1000</f>
        <v>0</v>
      </c>
      <c r="BB220" s="87"/>
      <c r="BC220" s="87"/>
      <c r="BD220" s="862">
        <f>_xlfn.IFERROR(BD225/BD178,0)*1000</f>
        <v>0</v>
      </c>
      <c r="BE220" s="87"/>
      <c r="BF220" s="87"/>
      <c r="BG220" s="862">
        <f>_xlfn.IFERROR(BG225/BG178,0)*1000</f>
        <v>0</v>
      </c>
      <c r="BH220" s="87"/>
      <c r="BI220" s="87"/>
      <c r="BJ220" s="862">
        <f>_xlfn.IFERROR(BJ225/BJ178,0)*1000</f>
        <v>0</v>
      </c>
      <c r="BK220" s="87"/>
      <c r="BL220" s="87"/>
      <c r="BM220" s="862">
        <f>_xlfn.IFERROR(BM225/BM178,0)*1000</f>
        <v>0</v>
      </c>
      <c r="BN220" s="87"/>
      <c r="BO220" s="87"/>
      <c r="BP220" s="862">
        <f>_xlfn.IFERROR(BP225/BP178,0)*1000</f>
        <v>0</v>
      </c>
      <c r="BQ220" s="979"/>
      <c r="BR220" s="979"/>
      <c r="BS220" s="862">
        <f>_xlfn.IFERROR(BS225/BS178,0)*1000</f>
        <v>0</v>
      </c>
      <c r="BT220" s="87"/>
      <c r="BU220" s="87"/>
      <c r="BV220" s="862">
        <f>_xlfn.IFERROR(BV225/BV178,0)*1000</f>
        <v>0</v>
      </c>
      <c r="BW220" s="87"/>
      <c r="BX220" s="87"/>
      <c r="BY220" s="862">
        <f>_xlfn.IFERROR(BY225/BY178,0)*1000</f>
        <v>0</v>
      </c>
      <c r="BZ220" s="87"/>
      <c r="CA220" s="87"/>
      <c r="CB220" s="862">
        <f>_xlfn.IFERROR(CB225/CB178,0)*1000</f>
        <v>0</v>
      </c>
      <c r="CC220" s="87"/>
      <c r="CD220" s="87"/>
      <c r="CE220" s="862">
        <f>_xlfn.IFERROR(CE225/CE178,0)*1000</f>
        <v>0</v>
      </c>
      <c r="CF220" s="87"/>
      <c r="CG220" s="87"/>
      <c r="CH220" s="862">
        <f>_xlfn.IFERROR(CH225/CH178,0)*1000</f>
        <v>0</v>
      </c>
      <c r="CI220" s="87"/>
      <c r="CJ220" s="87"/>
      <c r="CK220" s="862">
        <f>_xlfn.IFERROR(CK225/CK178,0)*1000</f>
        <v>0</v>
      </c>
      <c r="CL220" s="87"/>
      <c r="CM220" s="87"/>
      <c r="CN220" s="862">
        <f>_xlfn.IFERROR(CN225/CN178,0)*1000</f>
        <v>0</v>
      </c>
      <c r="CO220" s="87"/>
      <c r="CP220" s="87"/>
      <c r="CQ220" s="862">
        <f>_xlfn.IFERROR(CQ225/CQ178,0)*1000</f>
        <v>0</v>
      </c>
      <c r="CR220" s="87"/>
      <c r="CS220" s="87"/>
      <c r="CT220" s="73"/>
      <c r="CW220" s="1173" t="s">
        <v>838</v>
      </c>
      <c r="CX220" s="1178" t="s">
        <v>792</v>
      </c>
      <c r="CY220" s="1182" cm="1" t="str">
        <f t="array" ref="CY220:CY220">AE220</f>
        <v>0</v>
      </c>
      <c r="CZ220" s="1182" cm="1" t="str">
        <f t="array" ref="CZ220:CZ220">AF220</f>
        <v>0</v>
      </c>
      <c r="DA220" s="1179"/>
      <c r="DB220" s="1179"/>
    </row>
    <row s="1632" customFormat="1" customHeight="1" ht="16.5">
      <c r="A221" s="1632"/>
      <c r="B221" s="1632"/>
      <c r="C221" s="1632"/>
      <c r="D221" s="1632"/>
      <c r="E221" s="797">
        <v>17.1</v>
      </c>
      <c r="F221" s="922" cm="1" t="str">
        <f t="array" ref="F221:F221">OFFSET(G221,-1,-1)</f>
        <v>1</v>
      </c>
      <c r="G221" s="1632"/>
      <c r="H221" s="1632"/>
      <c r="I221" s="1632"/>
      <c r="J221" s="1632"/>
      <c r="K221" s="1632"/>
      <c r="L221" s="922" cm="1" t="str">
        <f t="array" ref="L221:L221">OFFSET(M221,-1,-1)</f>
        <v>false</v>
      </c>
      <c r="M221" s="1632"/>
      <c r="N221" s="1632"/>
      <c r="O221" s="1632"/>
      <c r="P221" s="1632"/>
      <c r="Q221" s="1632"/>
      <c r="R221" s="1632"/>
      <c r="S221" s="159" cm="1" t="str">
        <f t="array" ref="S221:S221">OFFSET(T221,-1,-1)</f>
        <v>true</v>
      </c>
      <c r="T221" s="159">
        <f>AD221&lt;&gt;"31.0"</f>
        <v>1</v>
      </c>
      <c r="U221" s="819">
        <f>AND(S221,IF(ISBLANK(T221),TRUE,T221))</f>
        <v>1</v>
      </c>
      <c r="V221" s="1632"/>
      <c r="W221" s="1632"/>
      <c r="X221" s="159" t="str">
        <f>'Топливо 4.4'!$AE$217&amp;'Топливо 4.4'!$AF$217</f>
        <v>Уголь длиннопламенный</v>
      </c>
      <c r="Y221" s="1632"/>
      <c r="Z221" s="1632"/>
      <c r="AA221" s="1632"/>
      <c r="AB221" s="1495"/>
      <c r="AC221" s="0"/>
      <c r="AD221" s="160" t="s">
        <v>915</v>
      </c>
      <c r="AE221" s="974" cm="1" t="str">
        <f t="array" ref="AE221:AE221">IF(ISBLANK('Топливо 4.4'!$AE$217),"",'Топливо 4.4'!$AE$217)</f>
        <v>Уголь длиннопламенный</v>
      </c>
      <c r="AF221" s="625" cm="1" t="str">
        <f t="array" ref="AF221:AF221">IF(ISBLANK('Топливо 4.4'!$AF$217),"",'Топливо 4.4'!$AF$217)</f>
        <v/>
      </c>
      <c r="AG221" s="1815" t="str">
        <f>"руб./"&amp;_xlfn.IFERROR(INDEX(fuel_ed_izm_list,MATCH(AE221,fuel_list,0)),"")</f>
        <v>руб./тнт</v>
      </c>
      <c r="AH221" s="1791">
        <f>_xlfn.IFERROR(AH226/AH179,0)*1000</f>
        <v>470.12482767534</v>
      </c>
      <c r="AI221" s="1791">
        <f>_xlfn.IFERROR(AI226/AI179,0)*1000</f>
        <v>500</v>
      </c>
      <c r="AJ221" s="1791">
        <f>_xlfn.IFERROR(AJ226/AJ179,0)*1000</f>
        <v>500.000000000002</v>
      </c>
      <c r="AK221" s="1791">
        <f>_xlfn.IFERROR(AK226/AK179,0)*1000</f>
        <v>534.655247315833</v>
      </c>
      <c r="AL221" s="862">
        <f>_xlfn.IFERROR(AL226/AL179,0)*1000</f>
        <v>445.3</v>
      </c>
      <c r="AM221" s="1772">
        <v>445.3</v>
      </c>
      <c r="AN221" s="1772">
        <v>445.3</v>
      </c>
      <c r="AO221" s="862">
        <f>_xlfn.IFERROR(AO226/AO179,0)*1000</f>
        <v>0</v>
      </c>
      <c r="AP221" s="1772"/>
      <c r="AQ221" s="1772"/>
      <c r="AR221" s="862">
        <f>_xlfn.IFERROR(AR226/AR179,0)*1000</f>
        <v>0</v>
      </c>
      <c r="AS221" s="1772"/>
      <c r="AT221" s="1772"/>
      <c r="AU221" s="862">
        <f>_xlfn.IFERROR(AU226/AU179,0)*1000</f>
        <v>0</v>
      </c>
      <c r="AV221" s="1772"/>
      <c r="AW221" s="1772"/>
      <c r="AX221" s="862">
        <f>_xlfn.IFERROR(AX226/AX179,0)*1000</f>
        <v>0</v>
      </c>
      <c r="AY221" s="1772"/>
      <c r="AZ221" s="1772"/>
      <c r="BA221" s="862">
        <f>_xlfn.IFERROR(BA226/BA179,0)*1000</f>
        <v>0</v>
      </c>
      <c r="BB221" s="1772"/>
      <c r="BC221" s="1772"/>
      <c r="BD221" s="862">
        <f>_xlfn.IFERROR(BD226/BD179,0)*1000</f>
        <v>0</v>
      </c>
      <c r="BE221" s="1772"/>
      <c r="BF221" s="1772"/>
      <c r="BG221" s="862">
        <f>_xlfn.IFERROR(BG226/BG179,0)*1000</f>
        <v>0</v>
      </c>
      <c r="BH221" s="1772"/>
      <c r="BI221" s="1772"/>
      <c r="BJ221" s="862">
        <f>_xlfn.IFERROR(BJ226/BJ179,0)*1000</f>
        <v>0</v>
      </c>
      <c r="BK221" s="1772"/>
      <c r="BL221" s="1772"/>
      <c r="BM221" s="862">
        <f>_xlfn.IFERROR(BM226/BM179,0)*1000</f>
        <v>0</v>
      </c>
      <c r="BN221" s="1772"/>
      <c r="BO221" s="1772"/>
      <c r="BP221" s="862">
        <f>_xlfn.IFERROR(BP226/BP179,0)*1000</f>
        <v>393.85</v>
      </c>
      <c r="BQ221" s="979">
        <v>393.85</v>
      </c>
      <c r="BR221" s="979">
        <v>393.85</v>
      </c>
      <c r="BS221" s="862">
        <f>_xlfn.IFERROR(BS226/BS179,0)*1000</f>
        <v>0</v>
      </c>
      <c r="BT221" s="1772"/>
      <c r="BU221" s="1772"/>
      <c r="BV221" s="862">
        <f>_xlfn.IFERROR(BV226/BV179,0)*1000</f>
        <v>0</v>
      </c>
      <c r="BW221" s="1772"/>
      <c r="BX221" s="1772"/>
      <c r="BY221" s="862">
        <f>_xlfn.IFERROR(BY226/BY179,0)*1000</f>
        <v>0</v>
      </c>
      <c r="BZ221" s="1772"/>
      <c r="CA221" s="1772"/>
      <c r="CB221" s="862">
        <f>_xlfn.IFERROR(CB226/CB179,0)*1000</f>
        <v>0</v>
      </c>
      <c r="CC221" s="1772"/>
      <c r="CD221" s="1772"/>
      <c r="CE221" s="862">
        <f>_xlfn.IFERROR(CE226/CE179,0)*1000</f>
        <v>0</v>
      </c>
      <c r="CF221" s="1772"/>
      <c r="CG221" s="1772"/>
      <c r="CH221" s="862">
        <f>_xlfn.IFERROR(CH226/CH179,0)*1000</f>
        <v>0</v>
      </c>
      <c r="CI221" s="1772"/>
      <c r="CJ221" s="1772"/>
      <c r="CK221" s="862">
        <f>_xlfn.IFERROR(CK226/CK179,0)*1000</f>
        <v>0</v>
      </c>
      <c r="CL221" s="1772"/>
      <c r="CM221" s="1772"/>
      <c r="CN221" s="862">
        <f>_xlfn.IFERROR(CN226/CN179,0)*1000</f>
        <v>0</v>
      </c>
      <c r="CO221" s="1772"/>
      <c r="CP221" s="1772"/>
      <c r="CQ221" s="862">
        <f>_xlfn.IFERROR(CQ226/CQ179,0)*1000</f>
        <v>0</v>
      </c>
      <c r="CR221" s="1772"/>
      <c r="CS221" s="1772"/>
      <c r="CT221" s="1719"/>
      <c r="CU221" s="0"/>
      <c r="CV221" s="1632"/>
      <c r="CW221" s="1173" t="s">
        <v>838</v>
      </c>
      <c r="CX221" s="1178" t="s">
        <v>792</v>
      </c>
      <c r="CY221" s="1182" cm="1" t="str">
        <f t="array" ref="CY221:CY221">AE221</f>
        <v>Уголь длиннопламенный</v>
      </c>
      <c r="CZ221" s="1182" cm="1" t="str">
        <f t="array" ref="CZ221:CZ221">AF221</f>
        <v/>
      </c>
      <c r="DA221" s="1179"/>
      <c r="DB221" s="1179"/>
    </row>
    <row s="1632" customFormat="1" customHeight="1" ht="15" hidden="1">
      <c r="A222" s="1443"/>
      <c r="B222" s="927"/>
      <c r="C222" s="1443"/>
      <c r="D222" s="1443"/>
      <c r="E222" s="797">
        <v>0</v>
      </c>
      <c r="F222" s="922" cm="1" t="str">
        <f t="array" ref="F222:F222">OFFSET(G222,-1,-1)</f>
        <v>1</v>
      </c>
      <c r="G222" s="965"/>
      <c r="H222" s="965"/>
      <c r="I222" s="965"/>
      <c r="J222" s="965"/>
      <c r="K222" s="965"/>
      <c r="L222" s="922" cm="1" t="str">
        <f t="array" ref="L222:L222">OFFSET(M222,-1,-1)</f>
        <v>false</v>
      </c>
      <c r="M222" s="965"/>
      <c r="N222" s="965"/>
      <c r="O222" s="965"/>
      <c r="P222" s="965"/>
      <c r="Q222" s="965"/>
      <c r="R222" s="1443"/>
      <c r="S222" s="159" cm="1" t="str">
        <f t="array" ref="S222:S222">OFFSET(T222,-1,-1)</f>
        <v>true</v>
      </c>
      <c r="T222" s="1443"/>
      <c r="U222" s="819">
        <f>AND(S222,IF(ISBLANK(T222),TRUE,T222))</f>
        <v>1</v>
      </c>
      <c r="V222" s="1443"/>
      <c r="W222" s="1443"/>
      <c r="X222" s="973" t="str">
        <f>"{                  
         funcDyn: 'msg1',
         blok: 'blok_2',
         wsCross: 'Топливо 4.4',
         linkFormula: 'AE-AE#AF-AF',
         levelDyn: "&amp;Y139&amp;"
}"</f>
        <v>{                  
         funcDyn: 'msg1',
         blok: 'blok_2',
         wsCross: 'Топливо 4.4',
         linkFormula: 'AE-AE#AF-AF',
         levelDyn: 1
}</v>
      </c>
      <c r="Y222" s="1443"/>
      <c r="Z222" s="1443"/>
      <c r="AA222" s="820"/>
      <c r="AB222" s="1495"/>
      <c r="AC222" s="0"/>
      <c r="AD222" s="976"/>
      <c r="AE222" s="975" t="s">
        <v>236</v>
      </c>
      <c r="AF222" s="874"/>
      <c r="AG222" s="859"/>
      <c r="AH222" s="863"/>
      <c r="AI222" s="863"/>
      <c r="AJ222" s="863"/>
      <c r="AK222" s="863"/>
      <c r="AL222" s="863"/>
      <c r="AM222" s="863"/>
      <c r="AN222" s="863"/>
      <c r="AO222" s="863"/>
      <c r="AP222" s="863"/>
      <c r="AQ222" s="863"/>
      <c r="AR222" s="863"/>
      <c r="AS222" s="863"/>
      <c r="AT222" s="863"/>
      <c r="AU222" s="863"/>
      <c r="AV222" s="863"/>
      <c r="AW222" s="863"/>
      <c r="AX222" s="863"/>
      <c r="AY222" s="863"/>
      <c r="AZ222" s="863"/>
      <c r="BA222" s="863"/>
      <c r="BB222" s="863"/>
      <c r="BC222" s="863"/>
      <c r="BD222" s="863"/>
      <c r="BE222" s="863"/>
      <c r="BF222" s="863"/>
      <c r="BG222" s="863"/>
      <c r="BH222" s="863"/>
      <c r="BI222" s="863"/>
      <c r="BJ222" s="863"/>
      <c r="BK222" s="863"/>
      <c r="BL222" s="863"/>
      <c r="BM222" s="863"/>
      <c r="BN222" s="863"/>
      <c r="BO222" s="863"/>
      <c r="BP222" s="863"/>
      <c r="BQ222" s="863"/>
      <c r="BR222" s="863"/>
      <c r="BS222" s="863"/>
      <c r="BT222" s="863"/>
      <c r="BU222" s="863"/>
      <c r="BV222" s="863"/>
      <c r="BW222" s="863"/>
      <c r="BX222" s="863"/>
      <c r="BY222" s="863"/>
      <c r="BZ222" s="863"/>
      <c r="CA222" s="863"/>
      <c r="CB222" s="863"/>
      <c r="CC222" s="863"/>
      <c r="CD222" s="863"/>
      <c r="CE222" s="863"/>
      <c r="CF222" s="863"/>
      <c r="CG222" s="863"/>
      <c r="CH222" s="863"/>
      <c r="CI222" s="863"/>
      <c r="CJ222" s="863"/>
      <c r="CK222" s="863"/>
      <c r="CL222" s="863"/>
      <c r="CM222" s="863"/>
      <c r="CN222" s="863"/>
      <c r="CO222" s="863"/>
      <c r="CP222" s="863"/>
      <c r="CQ222" s="863"/>
      <c r="CR222" s="863"/>
      <c r="CS222" s="863"/>
      <c r="CT222" s="91"/>
      <c r="CU222" s="0"/>
      <c r="CV222" s="1632"/>
      <c r="CW222" s="1173" t="str">
        <f>IF(AND(ISNUMBER(VALUE(TRIM(SUBSTITUTE(AD222,".","")))),TRIM(SUBSTITUTE(AD222,".",""))&lt;&gt;""),"P"&amp;SUBSTITUTE(AD222,".",""),"")</f>
        <v/>
      </c>
      <c r="CX222" s="1178"/>
      <c r="CY222" s="1178"/>
      <c r="CZ222" s="1178"/>
      <c r="DA222" s="1179"/>
      <c r="DB222" s="1179"/>
    </row>
    <row s="1632" customFormat="1" customHeight="1" ht="16.5">
      <c r="A223" s="1443"/>
      <c r="B223" s="927"/>
      <c r="C223" s="1443"/>
      <c r="D223" s="1443"/>
      <c r="E223" s="797">
        <v>17.1</v>
      </c>
      <c r="F223" s="922" cm="1" t="str">
        <f t="array" ref="F223:F223">OFFSET(G223,-1,-1)</f>
        <v>1</v>
      </c>
      <c r="G223" s="965"/>
      <c r="H223" s="965"/>
      <c r="I223" s="965"/>
      <c r="J223" s="965"/>
      <c r="K223" s="965"/>
      <c r="L223" s="922" cm="1" t="str">
        <f t="array" ref="L223:L223">OFFSET(M223,-1,-1)</f>
        <v>false</v>
      </c>
      <c r="M223" s="965"/>
      <c r="N223" s="965"/>
      <c r="O223" s="965"/>
      <c r="P223" s="965"/>
      <c r="Q223" s="965"/>
      <c r="R223" s="1443"/>
      <c r="S223" s="159" cm="1" t="str">
        <f t="array" ref="S223:S223">OFFSET(T223,-1,-1)</f>
        <v>true</v>
      </c>
      <c r="T223" s="1443"/>
      <c r="U223" s="819">
        <f>AND(S223,IF(ISBLANK(T223),TRUE,T223))</f>
        <v>1</v>
      </c>
      <c r="V223" s="1443"/>
      <c r="W223" s="1443"/>
      <c r="X223" s="1443"/>
      <c r="Y223" s="1443"/>
      <c r="Z223" s="1443"/>
      <c r="AA223" s="820"/>
      <c r="AB223" s="1495"/>
      <c r="AC223" s="0"/>
      <c r="AD223" s="173" t="s">
        <v>840</v>
      </c>
      <c r="AE223" s="1497" t="s">
        <v>841</v>
      </c>
      <c r="AF223" s="323"/>
      <c r="AG223" s="859" t="s">
        <v>810</v>
      </c>
      <c r="AH223" s="860">
        <f>SUM(AH225:AH227)</f>
        <v>1191</v>
      </c>
      <c r="AI223" s="860">
        <f>SUM(AI225:AI227)</f>
        <v>1781</v>
      </c>
      <c r="AJ223" s="860">
        <f>SUM(AJ225:AJ227)</f>
        <v>1328.58571428572</v>
      </c>
      <c r="AK223" s="860">
        <f>SUM(AK225:AK227)</f>
        <v>1230.7</v>
      </c>
      <c r="AL223" s="860">
        <f>SUM(AL225:AL227)</f>
        <v>900.151685</v>
      </c>
      <c r="AM223" s="860">
        <f>SUM(AM225:AM227)</f>
        <v>500.303456</v>
      </c>
      <c r="AN223" s="860">
        <f>SUM(AN225:AN227)</f>
        <v>399.848229</v>
      </c>
      <c r="AO223" s="860">
        <f>SUM(AO225:AO227)</f>
        <v>0</v>
      </c>
      <c r="AP223" s="860">
        <f>SUM(AP225:AP227)</f>
        <v>0</v>
      </c>
      <c r="AQ223" s="860">
        <f>SUM(AQ225:AQ227)</f>
        <v>0</v>
      </c>
      <c r="AR223" s="860">
        <f>SUM(AR225:AR227)</f>
        <v>0</v>
      </c>
      <c r="AS223" s="860">
        <f>SUM(AS225:AS227)</f>
        <v>0</v>
      </c>
      <c r="AT223" s="860">
        <f>SUM(AT225:AT227)</f>
        <v>0</v>
      </c>
      <c r="AU223" s="860">
        <f>SUM(AU225:AU227)</f>
        <v>0</v>
      </c>
      <c r="AV223" s="860">
        <f>SUM(AV225:AV227)</f>
        <v>0</v>
      </c>
      <c r="AW223" s="860">
        <f>SUM(AW225:AW227)</f>
        <v>0</v>
      </c>
      <c r="AX223" s="860">
        <f>SUM(AX225:AX227)</f>
        <v>0</v>
      </c>
      <c r="AY223" s="860">
        <f>SUM(AY225:AY227)</f>
        <v>0</v>
      </c>
      <c r="AZ223" s="860">
        <f>SUM(AZ225:AZ227)</f>
        <v>0</v>
      </c>
      <c r="BA223" s="860">
        <f>SUM(BA225:BA227)</f>
        <v>0</v>
      </c>
      <c r="BB223" s="860">
        <f>SUM(BB225:BB227)</f>
        <v>0</v>
      </c>
      <c r="BC223" s="860">
        <f>SUM(BC225:BC227)</f>
        <v>0</v>
      </c>
      <c r="BD223" s="860">
        <f>SUM(BD225:BD227)</f>
        <v>0</v>
      </c>
      <c r="BE223" s="860">
        <f>SUM(BE225:BE227)</f>
        <v>0</v>
      </c>
      <c r="BF223" s="860">
        <f>SUM(BF225:BF227)</f>
        <v>0</v>
      </c>
      <c r="BG223" s="860">
        <f>SUM(BG225:BG227)</f>
        <v>0</v>
      </c>
      <c r="BH223" s="860">
        <f>SUM(BH225:BH227)</f>
        <v>0</v>
      </c>
      <c r="BI223" s="860">
        <f>SUM(BI225:BI227)</f>
        <v>0</v>
      </c>
      <c r="BJ223" s="860">
        <f>SUM(BJ225:BJ227)</f>
        <v>0</v>
      </c>
      <c r="BK223" s="860">
        <f>SUM(BK225:BK227)</f>
        <v>0</v>
      </c>
      <c r="BL223" s="860">
        <f>SUM(BL225:BL227)</f>
        <v>0</v>
      </c>
      <c r="BM223" s="860">
        <f>SUM(BM225:BM227)</f>
        <v>0</v>
      </c>
      <c r="BN223" s="860">
        <f>SUM(BN225:BN227)</f>
        <v>0</v>
      </c>
      <c r="BO223" s="860">
        <f>SUM(BO225:BO227)</f>
        <v>0</v>
      </c>
      <c r="BP223" s="860">
        <f>SUM(BP225:BP227)</f>
        <v>900.156744680852</v>
      </c>
      <c r="BQ223" s="860">
        <f>SUM(BQ225:BQ227)</f>
        <v>500.306817021278</v>
      </c>
      <c r="BR223" s="860">
        <f>SUM(BR225:BR227)</f>
        <v>399.849927659574</v>
      </c>
      <c r="BS223" s="860">
        <f>SUM(BS225:BS227)</f>
        <v>0</v>
      </c>
      <c r="BT223" s="860">
        <f>SUM(BT225:BT227)</f>
        <v>0</v>
      </c>
      <c r="BU223" s="860">
        <f>SUM(BU225:BU227)</f>
        <v>0</v>
      </c>
      <c r="BV223" s="860">
        <f>SUM(BV225:BV227)</f>
        <v>0</v>
      </c>
      <c r="BW223" s="860">
        <f>SUM(BW225:BW227)</f>
        <v>0</v>
      </c>
      <c r="BX223" s="860">
        <f>SUM(BX225:BX227)</f>
        <v>0</v>
      </c>
      <c r="BY223" s="860">
        <f>SUM(BY225:BY227)</f>
        <v>0</v>
      </c>
      <c r="BZ223" s="860">
        <f>SUM(BZ225:BZ227)</f>
        <v>0</v>
      </c>
      <c r="CA223" s="860">
        <f>SUM(CA225:CA227)</f>
        <v>0</v>
      </c>
      <c r="CB223" s="860">
        <f>SUM(CB225:CB227)</f>
        <v>0</v>
      </c>
      <c r="CC223" s="860">
        <f>SUM(CC225:CC227)</f>
        <v>0</v>
      </c>
      <c r="CD223" s="860">
        <f>SUM(CD225:CD227)</f>
        <v>0</v>
      </c>
      <c r="CE223" s="860">
        <f>SUM(CE225:CE227)</f>
        <v>0</v>
      </c>
      <c r="CF223" s="860">
        <f>SUM(CF225:CF227)</f>
        <v>0</v>
      </c>
      <c r="CG223" s="860">
        <f>SUM(CG225:CG227)</f>
        <v>0</v>
      </c>
      <c r="CH223" s="860">
        <f>SUM(CH225:CH227)</f>
        <v>0</v>
      </c>
      <c r="CI223" s="860">
        <f>SUM(CI225:CI227)</f>
        <v>0</v>
      </c>
      <c r="CJ223" s="860">
        <f>SUM(CJ225:CJ227)</f>
        <v>0</v>
      </c>
      <c r="CK223" s="860">
        <f>SUM(CK225:CK227)</f>
        <v>0</v>
      </c>
      <c r="CL223" s="860">
        <f>SUM(CL225:CL227)</f>
        <v>0</v>
      </c>
      <c r="CM223" s="860">
        <f>SUM(CM225:CM227)</f>
        <v>0</v>
      </c>
      <c r="CN223" s="860">
        <f>SUM(CN225:CN227)</f>
        <v>0</v>
      </c>
      <c r="CO223" s="860">
        <f>SUM(CO225:CO227)</f>
        <v>0</v>
      </c>
      <c r="CP223" s="860">
        <f>SUM(CP225:CP227)</f>
        <v>0</v>
      </c>
      <c r="CQ223" s="860">
        <f>SUM(CQ225:CQ227)</f>
        <v>0</v>
      </c>
      <c r="CR223" s="860">
        <f>SUM(CR225:CR227)</f>
        <v>0</v>
      </c>
      <c r="CS223" s="860">
        <f>SUM(CS225:CS227)</f>
        <v>0</v>
      </c>
      <c r="CT223" s="1719"/>
      <c r="CU223" s="0"/>
      <c r="CV223" s="1632"/>
      <c r="CW223" s="1173" t="s">
        <v>842</v>
      </c>
      <c r="CX223" s="1178"/>
      <c r="CY223" s="1178"/>
      <c r="CZ223" s="1178"/>
      <c r="DA223" s="1179"/>
      <c r="DB223" s="1179"/>
    </row>
    <row s="1632" customFormat="1" customHeight="1" ht="16.5" hidden="1">
      <c r="A224" s="1443"/>
      <c r="B224" s="927"/>
      <c r="C224" s="1443"/>
      <c r="D224" s="1443"/>
      <c r="E224" s="797">
        <v>17.1</v>
      </c>
      <c r="F224" s="922" cm="1" t="str">
        <f t="array" ref="F224:F224">OFFSET(G224,-1,-1)</f>
        <v>1</v>
      </c>
      <c r="G224" s="965"/>
      <c r="H224" s="965"/>
      <c r="I224" s="965"/>
      <c r="J224" s="965"/>
      <c r="K224" s="965"/>
      <c r="L224" s="922" cm="1" t="str">
        <f t="array" ref="L224:L224">OFFSET(M224,-1,-1)</f>
        <v>false</v>
      </c>
      <c r="M224" s="965"/>
      <c r="N224" s="965"/>
      <c r="O224" s="965"/>
      <c r="P224" s="965"/>
      <c r="Q224" s="965"/>
      <c r="R224" s="922" t="s">
        <v>730</v>
      </c>
      <c r="S224" s="159" cm="1" t="str">
        <f t="array" ref="S224:S224">OFFSET(T224,-1,-1)</f>
        <v>true</v>
      </c>
      <c r="T224" s="922" t="b">
        <v>0</v>
      </c>
      <c r="U224" s="819">
        <f>AND(S224,IF(ISBLANK(T224),TRUE,T224))</f>
        <v>0</v>
      </c>
      <c r="V224" s="1443"/>
      <c r="W224" s="1443"/>
      <c r="X224" s="1443"/>
      <c r="Y224" s="1443"/>
      <c r="Z224" s="1443"/>
      <c r="AA224" s="820"/>
      <c r="AB224" s="1495"/>
      <c r="AC224" s="0"/>
      <c r="AD224" s="160" t="str">
        <f>AD223&amp;".0"</f>
        <v>32.0</v>
      </c>
      <c r="AE224" s="1349" t="s">
        <v>741</v>
      </c>
      <c r="AF224" s="164"/>
      <c r="AG224" s="859" t="s">
        <v>810</v>
      </c>
      <c r="AH224" s="86">
        <f>AH163*AH223</f>
        <v>1191</v>
      </c>
      <c r="AI224" s="87">
        <f>AI$163*AI223</f>
        <v>1781</v>
      </c>
      <c r="AJ224" s="87">
        <f>AJ$163*AJ223</f>
        <v>1328.58571428572</v>
      </c>
      <c r="AK224" s="87">
        <f>AK$163*AK223</f>
        <v>1230.7</v>
      </c>
      <c r="AL224" s="862">
        <f>AM224+AN224</f>
        <v>900.151685</v>
      </c>
      <c r="AM224" s="87">
        <f>AM$163*AM223</f>
        <v>500.303456</v>
      </c>
      <c r="AN224" s="87">
        <f>AN$163*AN223</f>
        <v>399.848229</v>
      </c>
      <c r="AO224" s="862">
        <f>AP224+AQ224</f>
        <v>0</v>
      </c>
      <c r="AP224" s="87">
        <f>AP$163*AP223</f>
        <v>0</v>
      </c>
      <c r="AQ224" s="87">
        <f>AQ$163*AQ223</f>
        <v>0</v>
      </c>
      <c r="AR224" s="862">
        <f>AS224+AT224</f>
        <v>0</v>
      </c>
      <c r="AS224" s="87">
        <f>AS$163*AS223</f>
        <v>0</v>
      </c>
      <c r="AT224" s="87">
        <f>AT$163*AT223</f>
        <v>0</v>
      </c>
      <c r="AU224" s="862">
        <f>AV224+AW224</f>
        <v>0</v>
      </c>
      <c r="AV224" s="87">
        <f>AV$163*AV223</f>
        <v>0</v>
      </c>
      <c r="AW224" s="87">
        <f>AW$163*AW223</f>
        <v>0</v>
      </c>
      <c r="AX224" s="862">
        <f>AY224+AZ224</f>
        <v>0</v>
      </c>
      <c r="AY224" s="87">
        <f>AY$163*AY223</f>
        <v>0</v>
      </c>
      <c r="AZ224" s="87">
        <f>AZ$163*AZ223</f>
        <v>0</v>
      </c>
      <c r="BA224" s="862">
        <f>BB224+BC224</f>
        <v>0</v>
      </c>
      <c r="BB224" s="87">
        <f>BB$163*BB223</f>
        <v>0</v>
      </c>
      <c r="BC224" s="87">
        <f>BC$163*BC223</f>
        <v>0</v>
      </c>
      <c r="BD224" s="862">
        <f>BE224+BF224</f>
        <v>0</v>
      </c>
      <c r="BE224" s="87">
        <f>BE$163*BE223</f>
        <v>0</v>
      </c>
      <c r="BF224" s="87">
        <f>BF$163*BF223</f>
        <v>0</v>
      </c>
      <c r="BG224" s="862">
        <f>BH224+BI224</f>
        <v>0</v>
      </c>
      <c r="BH224" s="87">
        <f>BH$163*BH223</f>
        <v>0</v>
      </c>
      <c r="BI224" s="87">
        <f>BI$163*BI223</f>
        <v>0</v>
      </c>
      <c r="BJ224" s="862">
        <f>BK224+BL224</f>
        <v>0</v>
      </c>
      <c r="BK224" s="87">
        <f>BK$163*BK223</f>
        <v>0</v>
      </c>
      <c r="BL224" s="87">
        <f>BL$163*BL223</f>
        <v>0</v>
      </c>
      <c r="BM224" s="862">
        <f>BN224+BO224</f>
        <v>0</v>
      </c>
      <c r="BN224" s="87">
        <f>BN$163*BN223</f>
        <v>0</v>
      </c>
      <c r="BO224" s="87">
        <f>BO$163*BO223</f>
        <v>0</v>
      </c>
      <c r="BP224" s="862">
        <f>BQ224+BR224</f>
        <v>900.156744680852</v>
      </c>
      <c r="BQ224" s="1772">
        <f>BQ$163*BQ223</f>
        <v>500.306817021278</v>
      </c>
      <c r="BR224" s="1772">
        <f>BR$163*BR223</f>
        <v>399.849927659574</v>
      </c>
      <c r="BS224" s="862">
        <f>BT224+BU224</f>
        <v>0</v>
      </c>
      <c r="BT224" s="87">
        <f>BT$163*BT223</f>
        <v>0</v>
      </c>
      <c r="BU224" s="87">
        <f>BU$163*BU223</f>
        <v>0</v>
      </c>
      <c r="BV224" s="862">
        <f>BW224+BX224</f>
        <v>0</v>
      </c>
      <c r="BW224" s="87">
        <f>BW$163*BW223</f>
        <v>0</v>
      </c>
      <c r="BX224" s="87">
        <f>BX$163*BX223</f>
        <v>0</v>
      </c>
      <c r="BY224" s="862">
        <f>BZ224+CA224</f>
        <v>0</v>
      </c>
      <c r="BZ224" s="87">
        <f>BZ$163*BZ223</f>
        <v>0</v>
      </c>
      <c r="CA224" s="87">
        <f>CA$163*CA223</f>
        <v>0</v>
      </c>
      <c r="CB224" s="862">
        <f>CC224+CD224</f>
        <v>0</v>
      </c>
      <c r="CC224" s="87">
        <f>CC$163*CC223</f>
        <v>0</v>
      </c>
      <c r="CD224" s="87">
        <f>CD$163*CD223</f>
        <v>0</v>
      </c>
      <c r="CE224" s="862">
        <f>CF224+CG224</f>
        <v>0</v>
      </c>
      <c r="CF224" s="87">
        <f>CF$163*CF223</f>
        <v>0</v>
      </c>
      <c r="CG224" s="87">
        <f>CG$163*CG223</f>
        <v>0</v>
      </c>
      <c r="CH224" s="862">
        <f>CI224+CJ224</f>
        <v>0</v>
      </c>
      <c r="CI224" s="87">
        <f>CI$163*CI223</f>
        <v>0</v>
      </c>
      <c r="CJ224" s="87">
        <f>CJ$163*CJ223</f>
        <v>0</v>
      </c>
      <c r="CK224" s="862">
        <f>CL224+CM224</f>
        <v>0</v>
      </c>
      <c r="CL224" s="87">
        <f>CL$163*CL223</f>
        <v>0</v>
      </c>
      <c r="CM224" s="87">
        <f>CM$163*CM223</f>
        <v>0</v>
      </c>
      <c r="CN224" s="862">
        <f>CO224+CP224</f>
        <v>0</v>
      </c>
      <c r="CO224" s="87">
        <f>CO$163*CO223</f>
        <v>0</v>
      </c>
      <c r="CP224" s="87">
        <f>CP$163*CP223</f>
        <v>0</v>
      </c>
      <c r="CQ224" s="862">
        <f>CR224+CS224</f>
        <v>0</v>
      </c>
      <c r="CR224" s="87">
        <f>CR$163*CR223</f>
        <v>0</v>
      </c>
      <c r="CS224" s="87">
        <f>CS$163*CS223</f>
        <v>0</v>
      </c>
      <c r="CT224" s="73"/>
      <c r="CU224" s="0"/>
      <c r="CV224" s="1632"/>
      <c r="CW224" s="1173" t="s">
        <v>843</v>
      </c>
      <c r="CX224" s="1178"/>
      <c r="CY224" s="1178"/>
      <c r="CZ224" s="1178"/>
      <c r="DA224" s="1179"/>
      <c r="DB224" s="1179"/>
    </row>
    <row s="1632" customFormat="1" customHeight="1" ht="16.5" hidden="1">
      <c r="E225" s="797">
        <v>17.1</v>
      </c>
      <c r="F225" s="922" cm="1" t="str">
        <f t="array" ref="F225:F225">OFFSET(G225,-1,-1)</f>
        <v>1</v>
      </c>
      <c r="L225" s="922" cm="1" t="str">
        <f t="array" ref="L225:L225">OFFSET(M225,-1,-1)</f>
        <v>false</v>
      </c>
      <c r="S225" s="159" cm="1" t="str">
        <f t="array" ref="S225:S225">OFFSET(T225,-1,-1)</f>
        <v>true</v>
      </c>
      <c r="T225" s="159">
        <f>AD225&lt;&gt;"32.0"</f>
        <v>0</v>
      </c>
      <c r="U225" s="819">
        <f>AND(S225,IF(ISBLANK(T225),TRUE,T225))</f>
        <v>0</v>
      </c>
      <c r="X225" s="159" t="s">
        <v>234</v>
      </c>
      <c r="AB225" s="1495"/>
      <c r="AD225" s="160" t="s">
        <v>844</v>
      </c>
      <c r="AE225" s="974"/>
      <c r="AF225" s="625"/>
      <c r="AG225" s="859" t="s">
        <v>810</v>
      </c>
      <c r="AH225" s="86"/>
      <c r="AI225" s="87"/>
      <c r="AJ225" s="87"/>
      <c r="AK225" s="87"/>
      <c r="AL225" s="862">
        <f>AM225+AN225</f>
        <v>0</v>
      </c>
      <c r="AM225" s="87">
        <f>AM220*AM178/1000</f>
        <v>0</v>
      </c>
      <c r="AN225" s="87">
        <f>AN220*AN178/1000</f>
        <v>0</v>
      </c>
      <c r="AO225" s="862">
        <f>AP225+AQ225</f>
        <v>0</v>
      </c>
      <c r="AP225" s="87">
        <f>AP220*AP178/1000</f>
        <v>0</v>
      </c>
      <c r="AQ225" s="87">
        <f>AQ220*AQ178/1000</f>
        <v>0</v>
      </c>
      <c r="AR225" s="862">
        <f>AS225+AT225</f>
        <v>0</v>
      </c>
      <c r="AS225" s="87">
        <f>AS220*AS178/1000</f>
        <v>0</v>
      </c>
      <c r="AT225" s="87">
        <f>AT220*AT178/1000</f>
        <v>0</v>
      </c>
      <c r="AU225" s="862">
        <f>AV225+AW225</f>
        <v>0</v>
      </c>
      <c r="AV225" s="87">
        <f>AV220*AV178/1000</f>
        <v>0</v>
      </c>
      <c r="AW225" s="87">
        <f>AW220*AW178/1000</f>
        <v>0</v>
      </c>
      <c r="AX225" s="862">
        <f>AY225+AZ225</f>
        <v>0</v>
      </c>
      <c r="AY225" s="87">
        <f>AY220*AY178/1000</f>
        <v>0</v>
      </c>
      <c r="AZ225" s="87">
        <f>AZ220*AZ178/1000</f>
        <v>0</v>
      </c>
      <c r="BA225" s="862">
        <f>BB225+BC225</f>
        <v>0</v>
      </c>
      <c r="BB225" s="87">
        <f>BB220*BB178/1000</f>
        <v>0</v>
      </c>
      <c r="BC225" s="87">
        <f>BC220*BC178/1000</f>
        <v>0</v>
      </c>
      <c r="BD225" s="862">
        <f>BE225+BF225</f>
        <v>0</v>
      </c>
      <c r="BE225" s="87">
        <f>BE220*BE178/1000</f>
        <v>0</v>
      </c>
      <c r="BF225" s="87">
        <f>BF220*BF178/1000</f>
        <v>0</v>
      </c>
      <c r="BG225" s="862">
        <f>BH225+BI225</f>
        <v>0</v>
      </c>
      <c r="BH225" s="87">
        <f>BH220*BH178/1000</f>
        <v>0</v>
      </c>
      <c r="BI225" s="87">
        <f>BI220*BI178/1000</f>
        <v>0</v>
      </c>
      <c r="BJ225" s="862">
        <f>BK225+BL225</f>
        <v>0</v>
      </c>
      <c r="BK225" s="87">
        <f>BK220*BK178/1000</f>
        <v>0</v>
      </c>
      <c r="BL225" s="87">
        <f>BL220*BL178/1000</f>
        <v>0</v>
      </c>
      <c r="BM225" s="862">
        <f>BN225+BO225</f>
        <v>0</v>
      </c>
      <c r="BN225" s="87">
        <f>BN220*BN178/1000</f>
        <v>0</v>
      </c>
      <c r="BO225" s="87">
        <f>BO220*BO178/1000</f>
        <v>0</v>
      </c>
      <c r="BP225" s="862">
        <f>BQ225+BR225</f>
        <v>0</v>
      </c>
      <c r="BQ225" s="979">
        <f>BQ220*BQ178/1000</f>
        <v>0</v>
      </c>
      <c r="BR225" s="979">
        <f>BR220*BR178/1000</f>
        <v>0</v>
      </c>
      <c r="BS225" s="862">
        <f>BT225+BU225</f>
        <v>0</v>
      </c>
      <c r="BT225" s="87">
        <f>BT220*BT178/1000</f>
        <v>0</v>
      </c>
      <c r="BU225" s="87">
        <f>BU220*BU178/1000</f>
        <v>0</v>
      </c>
      <c r="BV225" s="862">
        <f>BW225+BX225</f>
        <v>0</v>
      </c>
      <c r="BW225" s="87">
        <f>BW220*BW178/1000</f>
        <v>0</v>
      </c>
      <c r="BX225" s="87">
        <f>BX220*BX178/1000</f>
        <v>0</v>
      </c>
      <c r="BY225" s="862">
        <f>BZ225+CA225</f>
        <v>0</v>
      </c>
      <c r="BZ225" s="87">
        <f>BZ220*BZ178/1000</f>
        <v>0</v>
      </c>
      <c r="CA225" s="87">
        <f>CA220*CA178/1000</f>
        <v>0</v>
      </c>
      <c r="CB225" s="862">
        <f>CC225+CD225</f>
        <v>0</v>
      </c>
      <c r="CC225" s="87">
        <f>CC220*CC178/1000</f>
        <v>0</v>
      </c>
      <c r="CD225" s="87">
        <f>CD220*CD178/1000</f>
        <v>0</v>
      </c>
      <c r="CE225" s="862">
        <f>CF225+CG225</f>
        <v>0</v>
      </c>
      <c r="CF225" s="87">
        <f>CF220*CF178/1000</f>
        <v>0</v>
      </c>
      <c r="CG225" s="87">
        <f>CG220*CG178/1000</f>
        <v>0</v>
      </c>
      <c r="CH225" s="862">
        <f>CI225+CJ225</f>
        <v>0</v>
      </c>
      <c r="CI225" s="87">
        <f>CI220*CI178/1000</f>
        <v>0</v>
      </c>
      <c r="CJ225" s="87">
        <f>CJ220*CJ178/1000</f>
        <v>0</v>
      </c>
      <c r="CK225" s="862">
        <f>CL225+CM225</f>
        <v>0</v>
      </c>
      <c r="CL225" s="87">
        <f>CL220*CL178/1000</f>
        <v>0</v>
      </c>
      <c r="CM225" s="87">
        <f>CM220*CM178/1000</f>
        <v>0</v>
      </c>
      <c r="CN225" s="862">
        <f>CO225+CP225</f>
        <v>0</v>
      </c>
      <c r="CO225" s="87">
        <f>CO220*CO178/1000</f>
        <v>0</v>
      </c>
      <c r="CP225" s="87">
        <f>CP220*CP178/1000</f>
        <v>0</v>
      </c>
      <c r="CQ225" s="862">
        <f>CR225+CS225</f>
        <v>0</v>
      </c>
      <c r="CR225" s="87">
        <f>CR220*CR178/1000</f>
        <v>0</v>
      </c>
      <c r="CS225" s="87">
        <f>CS220*CS178/1000</f>
        <v>0</v>
      </c>
      <c r="CT225" s="73"/>
      <c r="CW225" s="1173" t="s">
        <v>843</v>
      </c>
      <c r="CX225" s="1178" t="s">
        <v>792</v>
      </c>
      <c r="CY225" s="1182" cm="1" t="str">
        <f t="array" ref="CY225:CY225">AE225</f>
        <v>0</v>
      </c>
      <c r="CZ225" s="1182" cm="1" t="str">
        <f t="array" ref="CZ225:CZ225">AF225</f>
        <v>0</v>
      </c>
      <c r="DA225" s="1179"/>
      <c r="DB225" s="1179"/>
    </row>
    <row s="1632" customFormat="1" customHeight="1" ht="16.5">
      <c r="A226" s="1632"/>
      <c r="B226" s="1632"/>
      <c r="C226" s="1632"/>
      <c r="D226" s="1632"/>
      <c r="E226" s="797">
        <v>17.1</v>
      </c>
      <c r="F226" s="922" cm="1" t="str">
        <f t="array" ref="F226:F226">OFFSET(G226,-1,-1)</f>
        <v>1</v>
      </c>
      <c r="G226" s="1632"/>
      <c r="H226" s="1632"/>
      <c r="I226" s="1632"/>
      <c r="J226" s="1632"/>
      <c r="K226" s="1632"/>
      <c r="L226" s="922" cm="1" t="str">
        <f t="array" ref="L226:L226">OFFSET(M226,-1,-1)</f>
        <v>false</v>
      </c>
      <c r="M226" s="1632"/>
      <c r="N226" s="1632"/>
      <c r="O226" s="1632"/>
      <c r="P226" s="1632"/>
      <c r="Q226" s="1632"/>
      <c r="R226" s="1632"/>
      <c r="S226" s="159" cm="1" t="str">
        <f t="array" ref="S226:S226">OFFSET(T226,-1,-1)</f>
        <v>true</v>
      </c>
      <c r="T226" s="159">
        <f>AD226&lt;&gt;"32.0"</f>
        <v>1</v>
      </c>
      <c r="U226" s="819">
        <f>AND(S226,IF(ISBLANK(T226),TRUE,T226))</f>
        <v>1</v>
      </c>
      <c r="V226" s="1632"/>
      <c r="W226" s="1632"/>
      <c r="X226" s="159" t="str">
        <f>'Топливо 4.4'!$AE$221&amp;'Топливо 4.4'!$AF$221</f>
        <v>Уголь длиннопламенный</v>
      </c>
      <c r="Y226" s="1632"/>
      <c r="Z226" s="1632"/>
      <c r="AA226" s="1632"/>
      <c r="AB226" s="1495"/>
      <c r="AC226" s="0"/>
      <c r="AD226" s="160" t="s">
        <v>916</v>
      </c>
      <c r="AE226" s="974" cm="1" t="str">
        <f t="array" ref="AE226:AE226">IF(ISBLANK('Топливо 4.4'!$AE$221),"",'Топливо 4.4'!$AE$221)</f>
        <v>Уголь длиннопламенный</v>
      </c>
      <c r="AF226" s="625" cm="1" t="str">
        <f t="array" ref="AF226:AF226">IF(ISBLANK('Топливо 4.4'!$AF$221),"",'Топливо 4.4'!$AF$221)</f>
        <v/>
      </c>
      <c r="AG226" s="859" t="s">
        <v>810</v>
      </c>
      <c r="AH226" s="1791">
        <v>1191</v>
      </c>
      <c r="AI226" s="1772">
        <v>1781</v>
      </c>
      <c r="AJ226" s="1772">
        <f>AI221*AJ179/1000</f>
        <v>1328.58571428572</v>
      </c>
      <c r="AK226" s="1772">
        <v>1230.7</v>
      </c>
      <c r="AL226" s="862">
        <f>AM226+AN226</f>
        <v>900.151685</v>
      </c>
      <c r="AM226" s="1772">
        <f>AM221*AM179/1000</f>
        <v>500.303456</v>
      </c>
      <c r="AN226" s="1772">
        <f>AN221*AN179/1000</f>
        <v>399.848229</v>
      </c>
      <c r="AO226" s="862">
        <f>AP226+AQ226</f>
        <v>0</v>
      </c>
      <c r="AP226" s="1772">
        <f>AP221*AP179/1000</f>
        <v>0</v>
      </c>
      <c r="AQ226" s="1772">
        <f>AQ221*AQ179/1000</f>
        <v>0</v>
      </c>
      <c r="AR226" s="862">
        <f>AS226+AT226</f>
        <v>0</v>
      </c>
      <c r="AS226" s="1772">
        <f>AS221*AS179/1000</f>
        <v>0</v>
      </c>
      <c r="AT226" s="1772">
        <f>AT221*AT179/1000</f>
        <v>0</v>
      </c>
      <c r="AU226" s="862">
        <f>AV226+AW226</f>
        <v>0</v>
      </c>
      <c r="AV226" s="1772">
        <f>AV221*AV179/1000</f>
        <v>0</v>
      </c>
      <c r="AW226" s="1772">
        <f>AW221*AW179/1000</f>
        <v>0</v>
      </c>
      <c r="AX226" s="862">
        <f>AY226+AZ226</f>
        <v>0</v>
      </c>
      <c r="AY226" s="1772">
        <f>AY221*AY179/1000</f>
        <v>0</v>
      </c>
      <c r="AZ226" s="1772">
        <f>AZ221*AZ179/1000</f>
        <v>0</v>
      </c>
      <c r="BA226" s="862">
        <f>BB226+BC226</f>
        <v>0</v>
      </c>
      <c r="BB226" s="1772">
        <f>BB221*BB179/1000</f>
        <v>0</v>
      </c>
      <c r="BC226" s="1772">
        <f>BC221*BC179/1000</f>
        <v>0</v>
      </c>
      <c r="BD226" s="862">
        <f>BE226+BF226</f>
        <v>0</v>
      </c>
      <c r="BE226" s="1772">
        <f>BE221*BE179/1000</f>
        <v>0</v>
      </c>
      <c r="BF226" s="1772">
        <f>BF221*BF179/1000</f>
        <v>0</v>
      </c>
      <c r="BG226" s="862">
        <f>BH226+BI226</f>
        <v>0</v>
      </c>
      <c r="BH226" s="1772">
        <f>BH221*BH179/1000</f>
        <v>0</v>
      </c>
      <c r="BI226" s="1772">
        <f>BI221*BI179/1000</f>
        <v>0</v>
      </c>
      <c r="BJ226" s="862">
        <f>BK226+BL226</f>
        <v>0</v>
      </c>
      <c r="BK226" s="1772">
        <f>BK221*BK179/1000</f>
        <v>0</v>
      </c>
      <c r="BL226" s="1772">
        <f>BL221*BL179/1000</f>
        <v>0</v>
      </c>
      <c r="BM226" s="862">
        <f>BN226+BO226</f>
        <v>0</v>
      </c>
      <c r="BN226" s="1772">
        <f>BN221*BN179/1000</f>
        <v>0</v>
      </c>
      <c r="BO226" s="1772">
        <f>BO221*BO179/1000</f>
        <v>0</v>
      </c>
      <c r="BP226" s="862">
        <f>BQ226+BR226</f>
        <v>900.156744680852</v>
      </c>
      <c r="BQ226" s="979">
        <f>BQ221*BQ179/1000</f>
        <v>500.306817021278</v>
      </c>
      <c r="BR226" s="979">
        <f>BR221*BR179/1000</f>
        <v>399.849927659574</v>
      </c>
      <c r="BS226" s="862">
        <f>BT226+BU226</f>
        <v>0</v>
      </c>
      <c r="BT226" s="1772">
        <f>BT221*BT179/1000</f>
        <v>0</v>
      </c>
      <c r="BU226" s="1772">
        <f>BU221*BU179/1000</f>
        <v>0</v>
      </c>
      <c r="BV226" s="862">
        <f>BW226+BX226</f>
        <v>0</v>
      </c>
      <c r="BW226" s="1772">
        <f>BW221*BW179/1000</f>
        <v>0</v>
      </c>
      <c r="BX226" s="1772">
        <f>BX221*BX179/1000</f>
        <v>0</v>
      </c>
      <c r="BY226" s="862">
        <f>BZ226+CA226</f>
        <v>0</v>
      </c>
      <c r="BZ226" s="1772">
        <f>BZ221*BZ179/1000</f>
        <v>0</v>
      </c>
      <c r="CA226" s="1772">
        <f>CA221*CA179/1000</f>
        <v>0</v>
      </c>
      <c r="CB226" s="862">
        <f>CC226+CD226</f>
        <v>0</v>
      </c>
      <c r="CC226" s="1772">
        <f>CC221*CC179/1000</f>
        <v>0</v>
      </c>
      <c r="CD226" s="1772">
        <f>CD221*CD179/1000</f>
        <v>0</v>
      </c>
      <c r="CE226" s="862">
        <f>CF226+CG226</f>
        <v>0</v>
      </c>
      <c r="CF226" s="1772">
        <f>CF221*CF179/1000</f>
        <v>0</v>
      </c>
      <c r="CG226" s="1772">
        <f>CG221*CG179/1000</f>
        <v>0</v>
      </c>
      <c r="CH226" s="862">
        <f>CI226+CJ226</f>
        <v>0</v>
      </c>
      <c r="CI226" s="1772">
        <f>CI221*CI179/1000</f>
        <v>0</v>
      </c>
      <c r="CJ226" s="1772">
        <f>CJ221*CJ179/1000</f>
        <v>0</v>
      </c>
      <c r="CK226" s="862">
        <f>CL226+CM226</f>
        <v>0</v>
      </c>
      <c r="CL226" s="1772">
        <f>CL221*CL179/1000</f>
        <v>0</v>
      </c>
      <c r="CM226" s="1772">
        <f>CM221*CM179/1000</f>
        <v>0</v>
      </c>
      <c r="CN226" s="862">
        <f>CO226+CP226</f>
        <v>0</v>
      </c>
      <c r="CO226" s="1772">
        <f>CO221*CO179/1000</f>
        <v>0</v>
      </c>
      <c r="CP226" s="1772">
        <f>CP221*CP179/1000</f>
        <v>0</v>
      </c>
      <c r="CQ226" s="862">
        <f>CR226+CS226</f>
        <v>0</v>
      </c>
      <c r="CR226" s="1772">
        <f>CR221*CR179/1000</f>
        <v>0</v>
      </c>
      <c r="CS226" s="1772">
        <f>CS221*CS179/1000</f>
        <v>0</v>
      </c>
      <c r="CT226" s="1719"/>
      <c r="CU226" s="0"/>
      <c r="CV226" s="1632"/>
      <c r="CW226" s="1173" t="s">
        <v>843</v>
      </c>
      <c r="CX226" s="1178" t="s">
        <v>792</v>
      </c>
      <c r="CY226" s="1182" cm="1" t="str">
        <f t="array" ref="CY226:CY226">AE226</f>
        <v>Уголь длиннопламенный</v>
      </c>
      <c r="CZ226" s="1182" cm="1" t="str">
        <f t="array" ref="CZ226:CZ226">AF226</f>
        <v/>
      </c>
      <c r="DA226" s="1179"/>
      <c r="DB226" s="1179"/>
    </row>
    <row s="1632" customFormat="1" customHeight="1" ht="15" hidden="1">
      <c r="A227" s="1443"/>
      <c r="B227" s="927"/>
      <c r="C227" s="1443"/>
      <c r="D227" s="1443"/>
      <c r="E227" s="797">
        <v>0</v>
      </c>
      <c r="F227" s="922" cm="1" t="str">
        <f t="array" ref="F227:F227">OFFSET(G227,-1,-1)</f>
        <v>1</v>
      </c>
      <c r="G227" s="965"/>
      <c r="H227" s="965"/>
      <c r="I227" s="965"/>
      <c r="J227" s="965"/>
      <c r="K227" s="965"/>
      <c r="L227" s="922" cm="1" t="str">
        <f t="array" ref="L227:L227">OFFSET(M227,-1,-1)</f>
        <v>false</v>
      </c>
      <c r="M227" s="965"/>
      <c r="N227" s="965"/>
      <c r="O227" s="965"/>
      <c r="P227" s="965"/>
      <c r="Q227" s="965"/>
      <c r="R227" s="1443"/>
      <c r="S227" s="159" cm="1" t="str">
        <f t="array" ref="S227:S227">OFFSET(T227,-1,-1)</f>
        <v>true</v>
      </c>
      <c r="T227" s="1443"/>
      <c r="U227" s="819">
        <f>AND(S227,IF(ISBLANK(T227),TRUE,T227))</f>
        <v>1</v>
      </c>
      <c r="V227" s="1443"/>
      <c r="W227" s="1443"/>
      <c r="X227" s="973" t="str">
        <f>"{                  
         funcDyn: 'msg1',
         blok: 'blok_2',
         wsCross: 'Топливо 4.4',
         linkFormula: 'AE-AE#AF-AF',
         levelDyn: "&amp;Y139&amp;"
}"</f>
        <v>{                  
         funcDyn: 'msg1',
         blok: 'blok_2',
         wsCross: 'Топливо 4.4',
         linkFormula: 'AE-AE#AF-AF',
         levelDyn: 1
}</v>
      </c>
      <c r="Y227" s="1443"/>
      <c r="Z227" s="1443"/>
      <c r="AA227" s="820"/>
      <c r="AB227" s="1495"/>
      <c r="AC227" s="0"/>
      <c r="AD227" s="976"/>
      <c r="AE227" s="975" t="s">
        <v>236</v>
      </c>
      <c r="AF227" s="874"/>
      <c r="AG227" s="859"/>
      <c r="AH227" s="861"/>
      <c r="AI227" s="863"/>
      <c r="AJ227" s="863"/>
      <c r="AK227" s="863"/>
      <c r="AL227" s="863"/>
      <c r="AM227" s="863"/>
      <c r="AN227" s="863"/>
      <c r="AO227" s="863"/>
      <c r="AP227" s="863"/>
      <c r="AQ227" s="863"/>
      <c r="AR227" s="863"/>
      <c r="AS227" s="863"/>
      <c r="AT227" s="863"/>
      <c r="AU227" s="863"/>
      <c r="AV227" s="863"/>
      <c r="AW227" s="863"/>
      <c r="AX227" s="863"/>
      <c r="AY227" s="863"/>
      <c r="AZ227" s="863"/>
      <c r="BA227" s="863"/>
      <c r="BB227" s="863"/>
      <c r="BC227" s="863"/>
      <c r="BD227" s="863"/>
      <c r="BE227" s="863"/>
      <c r="BF227" s="863"/>
      <c r="BG227" s="863"/>
      <c r="BH227" s="863"/>
      <c r="BI227" s="863"/>
      <c r="BJ227" s="863"/>
      <c r="BK227" s="863"/>
      <c r="BL227" s="863"/>
      <c r="BM227" s="863"/>
      <c r="BN227" s="863"/>
      <c r="BO227" s="863"/>
      <c r="BP227" s="863"/>
      <c r="BQ227" s="863"/>
      <c r="BR227" s="863"/>
      <c r="BS227" s="863"/>
      <c r="BT227" s="863"/>
      <c r="BU227" s="863"/>
      <c r="BV227" s="863"/>
      <c r="BW227" s="863"/>
      <c r="BX227" s="863"/>
      <c r="BY227" s="863"/>
      <c r="BZ227" s="863"/>
      <c r="CA227" s="863"/>
      <c r="CB227" s="863"/>
      <c r="CC227" s="863"/>
      <c r="CD227" s="863"/>
      <c r="CE227" s="863"/>
      <c r="CF227" s="863"/>
      <c r="CG227" s="863"/>
      <c r="CH227" s="863"/>
      <c r="CI227" s="863"/>
      <c r="CJ227" s="863"/>
      <c r="CK227" s="863"/>
      <c r="CL227" s="863"/>
      <c r="CM227" s="863"/>
      <c r="CN227" s="863"/>
      <c r="CO227" s="863"/>
      <c r="CP227" s="863"/>
      <c r="CQ227" s="863"/>
      <c r="CR227" s="863"/>
      <c r="CS227" s="863"/>
      <c r="CT227" s="91"/>
      <c r="CU227" s="0"/>
      <c r="CV227" s="1632"/>
      <c r="CW227" s="1173" t="str">
        <f>IF(AND(ISNUMBER(VALUE(TRIM(SUBSTITUTE(AD227,".","")))),TRIM(SUBSTITUTE(AD227,".",""))&lt;&gt;""),"P"&amp;SUBSTITUTE(AD227,".",""),"")</f>
        <v/>
      </c>
      <c r="CX227" s="1178"/>
      <c r="CY227" s="1178"/>
      <c r="CZ227" s="1178"/>
      <c r="DA227" s="1179"/>
      <c r="DB227" s="1179"/>
    </row>
    <row s="1632" customFormat="1" customHeight="1" ht="29.25" hidden="1">
      <c r="A228" s="1443"/>
      <c r="B228" s="927"/>
      <c r="C228" s="1443"/>
      <c r="D228" s="1443"/>
      <c r="E228" s="797">
        <v>30</v>
      </c>
      <c r="F228" s="922" cm="1" t="str">
        <f t="array" ref="F228:F228">OFFSET(G228,-1,-1)</f>
        <v>1</v>
      </c>
      <c r="G228" s="965"/>
      <c r="H228" s="965"/>
      <c r="I228" s="965"/>
      <c r="J228" s="965"/>
      <c r="K228" s="965"/>
      <c r="L228" s="922" cm="1" t="str">
        <f t="array" ref="L228:L228">OFFSET(M228,-1,-1)</f>
        <v>false</v>
      </c>
      <c r="M228" s="965"/>
      <c r="N228" s="965"/>
      <c r="O228" s="965"/>
      <c r="P228" s="965"/>
      <c r="Q228" s="965"/>
      <c r="R228" s="922" t="s">
        <v>730</v>
      </c>
      <c r="S228" s="159" cm="1" t="str">
        <f t="array" ref="S228:S228">OFFSET(T228,-1,-1)</f>
        <v>true</v>
      </c>
      <c r="T228" s="159" cm="1" t="str">
        <f t="array" ref="T228:T228">L228</f>
        <v>false</v>
      </c>
      <c r="U228" s="819">
        <f>AND(S228,IF(ISBLANK(T228),TRUE,T228))</f>
        <v>0</v>
      </c>
      <c r="V228" s="1443"/>
      <c r="W228" s="1443"/>
      <c r="X228" s="1443"/>
      <c r="Y228" s="1443"/>
      <c r="Z228" s="1443"/>
      <c r="AA228" s="820"/>
      <c r="AB228" s="1495"/>
      <c r="AC228" s="0"/>
      <c r="AD228" s="173" t="s">
        <v>845</v>
      </c>
      <c r="AE228" s="1502" t="s">
        <v>846</v>
      </c>
      <c r="AF228" s="163"/>
      <c r="AG228" s="859" t="s">
        <v>810</v>
      </c>
      <c r="AH228" s="860">
        <f>SUM(AH229:AH231)</f>
        <v>1191</v>
      </c>
      <c r="AI228" s="860">
        <f>SUM(AI229:AI231)</f>
        <v>1781</v>
      </c>
      <c r="AJ228" s="860">
        <f>SUM(AJ229:AJ231)</f>
        <v>1328.58571428572</v>
      </c>
      <c r="AK228" s="860">
        <f>SUM(AK229:AK231)</f>
        <v>1230.7</v>
      </c>
      <c r="AL228" s="860">
        <f>SUM(AL229:AL231)</f>
        <v>900.151685</v>
      </c>
      <c r="AM228" s="860">
        <f>SUM(AM229:AM231)</f>
        <v>500.303456</v>
      </c>
      <c r="AN228" s="860">
        <f>SUM(AN229:AN231)</f>
        <v>399.848229</v>
      </c>
      <c r="AO228" s="860">
        <f>SUM(AO229:AO231)</f>
        <v>0</v>
      </c>
      <c r="AP228" s="860">
        <f>SUM(AP229:AP231)</f>
        <v>0</v>
      </c>
      <c r="AQ228" s="860">
        <f>SUM(AQ229:AQ231)</f>
        <v>0</v>
      </c>
      <c r="AR228" s="860">
        <f>SUM(AR229:AR231)</f>
        <v>0</v>
      </c>
      <c r="AS228" s="860">
        <f>SUM(AS229:AS231)</f>
        <v>0</v>
      </c>
      <c r="AT228" s="860">
        <f>SUM(AT229:AT231)</f>
        <v>0</v>
      </c>
      <c r="AU228" s="860">
        <f>SUM(AU229:AU231)</f>
        <v>0</v>
      </c>
      <c r="AV228" s="860">
        <f>SUM(AV229:AV231)</f>
        <v>0</v>
      </c>
      <c r="AW228" s="860">
        <f>SUM(AW229:AW231)</f>
        <v>0</v>
      </c>
      <c r="AX228" s="860">
        <f>SUM(AX229:AX231)</f>
        <v>0</v>
      </c>
      <c r="AY228" s="860">
        <f>SUM(AY229:AY231)</f>
        <v>0</v>
      </c>
      <c r="AZ228" s="860">
        <f>SUM(AZ229:AZ231)</f>
        <v>0</v>
      </c>
      <c r="BA228" s="860">
        <f>SUM(BA229:BA231)</f>
        <v>0</v>
      </c>
      <c r="BB228" s="860">
        <f>SUM(BB229:BB231)</f>
        <v>0</v>
      </c>
      <c r="BC228" s="860">
        <f>SUM(BC229:BC231)</f>
        <v>0</v>
      </c>
      <c r="BD228" s="860">
        <f>SUM(BD229:BD231)</f>
        <v>0</v>
      </c>
      <c r="BE228" s="860">
        <f>SUM(BE229:BE231)</f>
        <v>0</v>
      </c>
      <c r="BF228" s="860">
        <f>SUM(BF229:BF231)</f>
        <v>0</v>
      </c>
      <c r="BG228" s="860">
        <f>SUM(BG229:BG231)</f>
        <v>0</v>
      </c>
      <c r="BH228" s="860">
        <f>SUM(BH229:BH231)</f>
        <v>0</v>
      </c>
      <c r="BI228" s="860">
        <f>SUM(BI229:BI231)</f>
        <v>0</v>
      </c>
      <c r="BJ228" s="860">
        <f>SUM(BJ229:BJ231)</f>
        <v>0</v>
      </c>
      <c r="BK228" s="860">
        <f>SUM(BK229:BK231)</f>
        <v>0</v>
      </c>
      <c r="BL228" s="860">
        <f>SUM(BL229:BL231)</f>
        <v>0</v>
      </c>
      <c r="BM228" s="860">
        <f>SUM(BM229:BM231)</f>
        <v>0</v>
      </c>
      <c r="BN228" s="860">
        <f>SUM(BN229:BN231)</f>
        <v>0</v>
      </c>
      <c r="BO228" s="860">
        <f>SUM(BO229:BO231)</f>
        <v>0</v>
      </c>
      <c r="BP228" s="860">
        <f>SUM(BP229:BP231)</f>
        <v>900.156744680852</v>
      </c>
      <c r="BQ228" s="860">
        <f>SUM(BQ229:BQ231)</f>
        <v>500.306817021278</v>
      </c>
      <c r="BR228" s="860">
        <f>SUM(BR229:BR231)</f>
        <v>399.849927659574</v>
      </c>
      <c r="BS228" s="860">
        <f>SUM(BS229:BS231)</f>
        <v>0</v>
      </c>
      <c r="BT228" s="860">
        <f>SUM(BT229:BT231)</f>
        <v>0</v>
      </c>
      <c r="BU228" s="860">
        <f>SUM(BU229:BU231)</f>
        <v>0</v>
      </c>
      <c r="BV228" s="860">
        <f>SUM(BV229:BV231)</f>
        <v>0</v>
      </c>
      <c r="BW228" s="860">
        <f>SUM(BW229:BW231)</f>
        <v>0</v>
      </c>
      <c r="BX228" s="860">
        <f>SUM(BX229:BX231)</f>
        <v>0</v>
      </c>
      <c r="BY228" s="860">
        <f>SUM(BY229:BY231)</f>
        <v>0</v>
      </c>
      <c r="BZ228" s="860">
        <f>SUM(BZ229:BZ231)</f>
        <v>0</v>
      </c>
      <c r="CA228" s="860">
        <f>SUM(CA229:CA231)</f>
        <v>0</v>
      </c>
      <c r="CB228" s="860">
        <f>SUM(CB229:CB231)</f>
        <v>0</v>
      </c>
      <c r="CC228" s="860">
        <f>SUM(CC229:CC231)</f>
        <v>0</v>
      </c>
      <c r="CD228" s="860">
        <f>SUM(CD229:CD231)</f>
        <v>0</v>
      </c>
      <c r="CE228" s="860">
        <f>SUM(CE229:CE231)</f>
        <v>0</v>
      </c>
      <c r="CF228" s="860">
        <f>SUM(CF229:CF231)</f>
        <v>0</v>
      </c>
      <c r="CG228" s="860">
        <f>SUM(CG229:CG231)</f>
        <v>0</v>
      </c>
      <c r="CH228" s="860">
        <f>SUM(CH229:CH231)</f>
        <v>0</v>
      </c>
      <c r="CI228" s="860">
        <f>SUM(CI229:CI231)</f>
        <v>0</v>
      </c>
      <c r="CJ228" s="860">
        <f>SUM(CJ229:CJ231)</f>
        <v>0</v>
      </c>
      <c r="CK228" s="860">
        <f>SUM(CK229:CK231)</f>
        <v>0</v>
      </c>
      <c r="CL228" s="860">
        <f>SUM(CL229:CL231)</f>
        <v>0</v>
      </c>
      <c r="CM228" s="860">
        <f>SUM(CM229:CM231)</f>
        <v>0</v>
      </c>
      <c r="CN228" s="860">
        <f>SUM(CN229:CN231)</f>
        <v>0</v>
      </c>
      <c r="CO228" s="860">
        <f>SUM(CO229:CO231)</f>
        <v>0</v>
      </c>
      <c r="CP228" s="860">
        <f>SUM(CP229:CP231)</f>
        <v>0</v>
      </c>
      <c r="CQ228" s="860">
        <f>SUM(CQ229:CQ231)</f>
        <v>0</v>
      </c>
      <c r="CR228" s="860">
        <f>SUM(CR229:CR231)</f>
        <v>0</v>
      </c>
      <c r="CS228" s="860">
        <f>SUM(CS229:CS231)</f>
        <v>0</v>
      </c>
      <c r="CT228" s="73"/>
      <c r="CU228" s="0"/>
      <c r="CV228" s="1632"/>
      <c r="CW228" s="1173" t="s">
        <v>847</v>
      </c>
      <c r="CX228" s="1178"/>
      <c r="CY228" s="1178"/>
      <c r="CZ228" s="1178"/>
      <c r="DA228" s="1179"/>
      <c r="DB228" s="1179"/>
    </row>
    <row s="1632" customFormat="1" customHeight="1" ht="16.5" hidden="1">
      <c r="E229" s="797">
        <v>17.1</v>
      </c>
      <c r="F229" s="922" cm="1" t="str">
        <f t="array" ref="F229:F229">OFFSET(G229,-1,-1)</f>
        <v>1</v>
      </c>
      <c r="L229" s="922" cm="1" t="str">
        <f t="array" ref="L229:L229">OFFSET(M229,-1,-1)</f>
        <v>false</v>
      </c>
      <c r="R229" s="922" t="s">
        <v>730</v>
      </c>
      <c r="S229" s="159" cm="1" t="str">
        <f t="array" ref="S229:S229">OFFSET(T229,-1,-1)</f>
        <v>true</v>
      </c>
      <c r="T229" s="159">
        <f>AND(L229,AD229&lt;&gt;"33.0")</f>
        <v>0</v>
      </c>
      <c r="U229" s="819">
        <f>AND(S229,IF(ISBLANK(T229),TRUE,T229))</f>
        <v>0</v>
      </c>
      <c r="X229" s="159" t="s">
        <v>234</v>
      </c>
      <c r="AB229" s="1495"/>
      <c r="AD229" s="160" t="s">
        <v>848</v>
      </c>
      <c r="AE229" s="974"/>
      <c r="AF229" s="625"/>
      <c r="AG229" s="859" t="s">
        <v>810</v>
      </c>
      <c r="AH229" s="86">
        <f>AH$163*AH225</f>
        <v>0</v>
      </c>
      <c r="AI229" s="87">
        <f>AI$163*AI225</f>
        <v>0</v>
      </c>
      <c r="AJ229" s="87">
        <f>AJ$163*AJ225</f>
        <v>0</v>
      </c>
      <c r="AK229" s="87">
        <f>AK$163*AK225</f>
        <v>0</v>
      </c>
      <c r="AL229" s="862">
        <f>AM229+AN229</f>
        <v>0</v>
      </c>
      <c r="AM229" s="87">
        <f>AM$163*AM225</f>
        <v>0</v>
      </c>
      <c r="AN229" s="87">
        <f>AN$163*AN225</f>
        <v>0</v>
      </c>
      <c r="AO229" s="862">
        <f>AP229+AQ229</f>
        <v>0</v>
      </c>
      <c r="AP229" s="87">
        <f>AP$163*AP225</f>
        <v>0</v>
      </c>
      <c r="AQ229" s="87">
        <f>AQ$163*AQ225</f>
        <v>0</v>
      </c>
      <c r="AR229" s="862">
        <f>AS229+AT229</f>
        <v>0</v>
      </c>
      <c r="AS229" s="87">
        <f>AS$163*AS225</f>
        <v>0</v>
      </c>
      <c r="AT229" s="87">
        <f>AT$163*AT225</f>
        <v>0</v>
      </c>
      <c r="AU229" s="862">
        <f>AV229+AW229</f>
        <v>0</v>
      </c>
      <c r="AV229" s="87">
        <f>AV$163*AV225</f>
        <v>0</v>
      </c>
      <c r="AW229" s="87">
        <f>AW$163*AW225</f>
        <v>0</v>
      </c>
      <c r="AX229" s="862">
        <f>AY229+AZ229</f>
        <v>0</v>
      </c>
      <c r="AY229" s="87">
        <f>AY$163*AY225</f>
        <v>0</v>
      </c>
      <c r="AZ229" s="87">
        <f>AZ$163*AZ225</f>
        <v>0</v>
      </c>
      <c r="BA229" s="862">
        <f>BB229+BC229</f>
        <v>0</v>
      </c>
      <c r="BB229" s="87">
        <f>BB$163*BB225</f>
        <v>0</v>
      </c>
      <c r="BC229" s="87">
        <f>BC$163*BC225</f>
        <v>0</v>
      </c>
      <c r="BD229" s="862">
        <f>BE229+BF229</f>
        <v>0</v>
      </c>
      <c r="BE229" s="87">
        <f>BE$163*BE225</f>
        <v>0</v>
      </c>
      <c r="BF229" s="87">
        <f>BF$163*BF225</f>
        <v>0</v>
      </c>
      <c r="BG229" s="862">
        <f>BH229+BI229</f>
        <v>0</v>
      </c>
      <c r="BH229" s="87">
        <f>BH$163*BH225</f>
        <v>0</v>
      </c>
      <c r="BI229" s="87">
        <f>BI$163*BI225</f>
        <v>0</v>
      </c>
      <c r="BJ229" s="862">
        <f>BK229+BL229</f>
        <v>0</v>
      </c>
      <c r="BK229" s="87">
        <f>BK$163*BK225</f>
        <v>0</v>
      </c>
      <c r="BL229" s="87">
        <f>BL$163*BL225</f>
        <v>0</v>
      </c>
      <c r="BM229" s="862">
        <f>BN229+BO229</f>
        <v>0</v>
      </c>
      <c r="BN229" s="87">
        <f>BN$163*BN225</f>
        <v>0</v>
      </c>
      <c r="BO229" s="87">
        <f>BO$163*BO225</f>
        <v>0</v>
      </c>
      <c r="BP229" s="862">
        <f>BQ229+BR229</f>
        <v>0</v>
      </c>
      <c r="BQ229" s="979">
        <f>BQ$163*BQ225</f>
        <v>0</v>
      </c>
      <c r="BR229" s="979">
        <f>BR$163*BR225</f>
        <v>0</v>
      </c>
      <c r="BS229" s="862">
        <f>BT229+BU229</f>
        <v>0</v>
      </c>
      <c r="BT229" s="87">
        <f>BT$163*BT225</f>
        <v>0</v>
      </c>
      <c r="BU229" s="87">
        <f>BU$163*BU225</f>
        <v>0</v>
      </c>
      <c r="BV229" s="862">
        <f>BW229+BX229</f>
        <v>0</v>
      </c>
      <c r="BW229" s="87">
        <f>BW$163*BW225</f>
        <v>0</v>
      </c>
      <c r="BX229" s="87">
        <f>BX$163*BX225</f>
        <v>0</v>
      </c>
      <c r="BY229" s="862">
        <f>BZ229+CA229</f>
        <v>0</v>
      </c>
      <c r="BZ229" s="87">
        <f>BZ$163*BZ225</f>
        <v>0</v>
      </c>
      <c r="CA229" s="87">
        <f>CA$163*CA225</f>
        <v>0</v>
      </c>
      <c r="CB229" s="862">
        <f>CC229+CD229</f>
        <v>0</v>
      </c>
      <c r="CC229" s="87">
        <f>CC$163*CC225</f>
        <v>0</v>
      </c>
      <c r="CD229" s="87">
        <f>CD$163*CD225</f>
        <v>0</v>
      </c>
      <c r="CE229" s="862">
        <f>CF229+CG229</f>
        <v>0</v>
      </c>
      <c r="CF229" s="87">
        <f>CF$163*CF225</f>
        <v>0</v>
      </c>
      <c r="CG229" s="87">
        <f>CG$163*CG225</f>
        <v>0</v>
      </c>
      <c r="CH229" s="862">
        <f>CI229+CJ229</f>
        <v>0</v>
      </c>
      <c r="CI229" s="87">
        <f>CI$163*CI225</f>
        <v>0</v>
      </c>
      <c r="CJ229" s="87">
        <f>CJ$163*CJ225</f>
        <v>0</v>
      </c>
      <c r="CK229" s="862">
        <f>CL229+CM229</f>
        <v>0</v>
      </c>
      <c r="CL229" s="87">
        <f>CL$163*CL225</f>
        <v>0</v>
      </c>
      <c r="CM229" s="87">
        <f>CM$163*CM225</f>
        <v>0</v>
      </c>
      <c r="CN229" s="862">
        <f>CO229+CP229</f>
        <v>0</v>
      </c>
      <c r="CO229" s="87">
        <f>CO$163*CO225</f>
        <v>0</v>
      </c>
      <c r="CP229" s="87">
        <f>CP$163*CP225</f>
        <v>0</v>
      </c>
      <c r="CQ229" s="862">
        <f>CR229+CS229</f>
        <v>0</v>
      </c>
      <c r="CR229" s="87">
        <f>CR$163*CR225</f>
        <v>0</v>
      </c>
      <c r="CS229" s="87">
        <f>CS$163*CS225</f>
        <v>0</v>
      </c>
      <c r="CT229" s="73"/>
      <c r="CW229" s="1173" t="s">
        <v>847</v>
      </c>
      <c r="CX229" s="1178" t="s">
        <v>792</v>
      </c>
      <c r="CY229" s="1182" cm="1" t="str">
        <f t="array" ref="CY229:CY229">AE229</f>
        <v>0</v>
      </c>
      <c r="CZ229" s="1182" cm="1" t="str">
        <f t="array" ref="CZ229:CZ229">AF229</f>
        <v>0</v>
      </c>
      <c r="DA229" s="1179"/>
      <c r="DB229" s="1179"/>
    </row>
    <row s="1632" customFormat="1" customHeight="1" ht="16.5" hidden="1">
      <c r="A230" s="1632"/>
      <c r="B230" s="1632"/>
      <c r="C230" s="1632"/>
      <c r="D230" s="1632"/>
      <c r="E230" s="797">
        <v>17.1</v>
      </c>
      <c r="F230" s="922" cm="1" t="str">
        <f t="array" ref="F230:F230">OFFSET(G230,-1,-1)</f>
        <v>1</v>
      </c>
      <c r="G230" s="1632"/>
      <c r="H230" s="1632"/>
      <c r="I230" s="1632"/>
      <c r="J230" s="1632"/>
      <c r="K230" s="1632"/>
      <c r="L230" s="922" cm="1" t="str">
        <f t="array" ref="L230:L230">OFFSET(M230,-1,-1)</f>
        <v>false</v>
      </c>
      <c r="M230" s="1632"/>
      <c r="N230" s="1632"/>
      <c r="O230" s="1632"/>
      <c r="P230" s="1632"/>
      <c r="Q230" s="1632"/>
      <c r="R230" s="922" t="s">
        <v>730</v>
      </c>
      <c r="S230" s="159" cm="1" t="str">
        <f t="array" ref="S230:S230">OFFSET(T230,-1,-1)</f>
        <v>true</v>
      </c>
      <c r="T230" s="159">
        <f>AND(L230,AD230&lt;&gt;"33.0")</f>
        <v>0</v>
      </c>
      <c r="U230" s="819">
        <f>AND(S230,IF(ISBLANK(T230),TRUE,T230))</f>
        <v>0</v>
      </c>
      <c r="V230" s="1632"/>
      <c r="W230" s="1632"/>
      <c r="X230" s="159" t="str">
        <f>'Топливо 4.4'!$AE$226&amp;'Топливо 4.4'!$AF$226</f>
        <v>Уголь длиннопламенный</v>
      </c>
      <c r="Y230" s="1632"/>
      <c r="Z230" s="1632"/>
      <c r="AA230" s="1632"/>
      <c r="AB230" s="1495"/>
      <c r="AC230" s="0"/>
      <c r="AD230" s="160" t="s">
        <v>917</v>
      </c>
      <c r="AE230" s="974" cm="1" t="str">
        <f t="array" ref="AE230:AE230">IF(ISBLANK('Топливо 4.4'!$AE$226),"",'Топливо 4.4'!$AE$226)</f>
        <v>Уголь длиннопламенный</v>
      </c>
      <c r="AF230" s="625" cm="1" t="str">
        <f t="array" ref="AF230:AF230">IF(ISBLANK('Топливо 4.4'!$AF$226),"",'Топливо 4.4'!$AF$226)</f>
        <v/>
      </c>
      <c r="AG230" s="859" t="s">
        <v>810</v>
      </c>
      <c r="AH230" s="86">
        <f>AH$163*AH226</f>
        <v>1191</v>
      </c>
      <c r="AI230" s="87">
        <f>AI$163*AI226</f>
        <v>1781</v>
      </c>
      <c r="AJ230" s="87">
        <f>AJ$163*AJ226</f>
        <v>1328.58571428572</v>
      </c>
      <c r="AK230" s="87">
        <f>AK$163*AK226</f>
        <v>1230.7</v>
      </c>
      <c r="AL230" s="862">
        <f>AM230+AN230</f>
        <v>900.151685</v>
      </c>
      <c r="AM230" s="87">
        <f>AM$163*AM226</f>
        <v>500.303456</v>
      </c>
      <c r="AN230" s="87">
        <f>AN$163*AN226</f>
        <v>399.848229</v>
      </c>
      <c r="AO230" s="862">
        <f>AP230+AQ230</f>
        <v>0</v>
      </c>
      <c r="AP230" s="87">
        <f>AP$163*AP226</f>
        <v>0</v>
      </c>
      <c r="AQ230" s="87">
        <f>AQ$163*AQ226</f>
        <v>0</v>
      </c>
      <c r="AR230" s="862">
        <f>AS230+AT230</f>
        <v>0</v>
      </c>
      <c r="AS230" s="87">
        <f>AS$163*AS226</f>
        <v>0</v>
      </c>
      <c r="AT230" s="87">
        <f>AT$163*AT226</f>
        <v>0</v>
      </c>
      <c r="AU230" s="862">
        <f>AV230+AW230</f>
        <v>0</v>
      </c>
      <c r="AV230" s="87">
        <f>AV$163*AV226</f>
        <v>0</v>
      </c>
      <c r="AW230" s="87">
        <f>AW$163*AW226</f>
        <v>0</v>
      </c>
      <c r="AX230" s="862">
        <f>AY230+AZ230</f>
        <v>0</v>
      </c>
      <c r="AY230" s="87">
        <f>AY$163*AY226</f>
        <v>0</v>
      </c>
      <c r="AZ230" s="87">
        <f>AZ$163*AZ226</f>
        <v>0</v>
      </c>
      <c r="BA230" s="862">
        <f>BB230+BC230</f>
        <v>0</v>
      </c>
      <c r="BB230" s="87">
        <f>BB$163*BB226</f>
        <v>0</v>
      </c>
      <c r="BC230" s="87">
        <f>BC$163*BC226</f>
        <v>0</v>
      </c>
      <c r="BD230" s="862">
        <f>BE230+BF230</f>
        <v>0</v>
      </c>
      <c r="BE230" s="87">
        <f>BE$163*BE226</f>
        <v>0</v>
      </c>
      <c r="BF230" s="87">
        <f>BF$163*BF226</f>
        <v>0</v>
      </c>
      <c r="BG230" s="862">
        <f>BH230+BI230</f>
        <v>0</v>
      </c>
      <c r="BH230" s="87">
        <f>BH$163*BH226</f>
        <v>0</v>
      </c>
      <c r="BI230" s="87">
        <f>BI$163*BI226</f>
        <v>0</v>
      </c>
      <c r="BJ230" s="862">
        <f>BK230+BL230</f>
        <v>0</v>
      </c>
      <c r="BK230" s="87">
        <f>BK$163*BK226</f>
        <v>0</v>
      </c>
      <c r="BL230" s="87">
        <f>BL$163*BL226</f>
        <v>0</v>
      </c>
      <c r="BM230" s="862">
        <f>BN230+BO230</f>
        <v>0</v>
      </c>
      <c r="BN230" s="87">
        <f>BN$163*BN226</f>
        <v>0</v>
      </c>
      <c r="BO230" s="87">
        <f>BO$163*BO226</f>
        <v>0</v>
      </c>
      <c r="BP230" s="862">
        <f>BQ230+BR230</f>
        <v>900.156744680852</v>
      </c>
      <c r="BQ230" s="979">
        <f>BQ$163*BQ226</f>
        <v>500.306817021278</v>
      </c>
      <c r="BR230" s="979">
        <f>BR$163*BR226</f>
        <v>399.849927659574</v>
      </c>
      <c r="BS230" s="862">
        <f>BT230+BU230</f>
        <v>0</v>
      </c>
      <c r="BT230" s="87">
        <f>BT$163*BT226</f>
        <v>0</v>
      </c>
      <c r="BU230" s="87">
        <f>BU$163*BU226</f>
        <v>0</v>
      </c>
      <c r="BV230" s="862">
        <f>BW230+BX230</f>
        <v>0</v>
      </c>
      <c r="BW230" s="87">
        <f>BW$163*BW226</f>
        <v>0</v>
      </c>
      <c r="BX230" s="87">
        <f>BX$163*BX226</f>
        <v>0</v>
      </c>
      <c r="BY230" s="862">
        <f>BZ230+CA230</f>
        <v>0</v>
      </c>
      <c r="BZ230" s="87">
        <f>BZ$163*BZ226</f>
        <v>0</v>
      </c>
      <c r="CA230" s="87">
        <f>CA$163*CA226</f>
        <v>0</v>
      </c>
      <c r="CB230" s="862">
        <f>CC230+CD230</f>
        <v>0</v>
      </c>
      <c r="CC230" s="87">
        <f>CC$163*CC226</f>
        <v>0</v>
      </c>
      <c r="CD230" s="87">
        <f>CD$163*CD226</f>
        <v>0</v>
      </c>
      <c r="CE230" s="862">
        <f>CF230+CG230</f>
        <v>0</v>
      </c>
      <c r="CF230" s="87">
        <f>CF$163*CF226</f>
        <v>0</v>
      </c>
      <c r="CG230" s="87">
        <f>CG$163*CG226</f>
        <v>0</v>
      </c>
      <c r="CH230" s="862">
        <f>CI230+CJ230</f>
        <v>0</v>
      </c>
      <c r="CI230" s="87">
        <f>CI$163*CI226</f>
        <v>0</v>
      </c>
      <c r="CJ230" s="87">
        <f>CJ$163*CJ226</f>
        <v>0</v>
      </c>
      <c r="CK230" s="862">
        <f>CL230+CM230</f>
        <v>0</v>
      </c>
      <c r="CL230" s="87">
        <f>CL$163*CL226</f>
        <v>0</v>
      </c>
      <c r="CM230" s="87">
        <f>CM$163*CM226</f>
        <v>0</v>
      </c>
      <c r="CN230" s="862">
        <f>CO230+CP230</f>
        <v>0</v>
      </c>
      <c r="CO230" s="87">
        <f>CO$163*CO226</f>
        <v>0</v>
      </c>
      <c r="CP230" s="87">
        <f>CP$163*CP226</f>
        <v>0</v>
      </c>
      <c r="CQ230" s="862">
        <f>CR230+CS230</f>
        <v>0</v>
      </c>
      <c r="CR230" s="87">
        <f>CR$163*CR226</f>
        <v>0</v>
      </c>
      <c r="CS230" s="87">
        <f>CS$163*CS226</f>
        <v>0</v>
      </c>
      <c r="CT230" s="73"/>
      <c r="CU230" s="0"/>
      <c r="CV230" s="1632"/>
      <c r="CW230" s="1173" t="s">
        <v>847</v>
      </c>
      <c r="CX230" s="1178" t="s">
        <v>792</v>
      </c>
      <c r="CY230" s="1182" cm="1" t="str">
        <f t="array" ref="CY230:CY230">AE230</f>
        <v>Уголь длиннопламенный</v>
      </c>
      <c r="CZ230" s="1182" cm="1" t="str">
        <f t="array" ref="CZ230:CZ230">AF230</f>
        <v/>
      </c>
      <c r="DA230" s="1179"/>
      <c r="DB230" s="1179"/>
    </row>
    <row s="1632" customFormat="1" customHeight="1" ht="15" hidden="1">
      <c r="A231" s="1443"/>
      <c r="B231" s="927"/>
      <c r="C231" s="1443"/>
      <c r="D231" s="1443"/>
      <c r="E231" s="797">
        <v>0</v>
      </c>
      <c r="F231" s="922" cm="1" t="str">
        <f t="array" ref="F231:F231">OFFSET(G231,-1,-1)</f>
        <v>1</v>
      </c>
      <c r="G231" s="965"/>
      <c r="H231" s="965"/>
      <c r="I231" s="965"/>
      <c r="J231" s="965"/>
      <c r="K231" s="965"/>
      <c r="L231" s="922" cm="1" t="str">
        <f t="array" ref="L231:L231">OFFSET(M231,-1,-1)</f>
        <v>false</v>
      </c>
      <c r="M231" s="965"/>
      <c r="N231" s="965"/>
      <c r="O231" s="965"/>
      <c r="P231" s="965"/>
      <c r="Q231" s="965"/>
      <c r="R231" s="1443"/>
      <c r="S231" s="159" cm="1" t="str">
        <f t="array" ref="S231:S231">OFFSET(T231,-1,-1)</f>
        <v>true</v>
      </c>
      <c r="T231" s="1443"/>
      <c r="U231" s="819">
        <f>AND(S231,IF(ISBLANK(T231),TRUE,T231))</f>
        <v>1</v>
      </c>
      <c r="V231" s="1443"/>
      <c r="W231" s="1443"/>
      <c r="X231" s="973" t="str">
        <f>"{                  
         funcDyn: 'msg1',
         blok: 'blok_2',
         wsCross: 'Топливо 4.4',
         linkFormula: 'AE-AE#AF-AF',
         levelDyn: "&amp;Y139&amp;"
}"</f>
        <v>{                  
         funcDyn: 'msg1',
         blok: 'blok_2',
         wsCross: 'Топливо 4.4',
         linkFormula: 'AE-AE#AF-AF',
         levelDyn: 1
}</v>
      </c>
      <c r="Y231" s="1443"/>
      <c r="Z231" s="1443"/>
      <c r="AA231" s="820"/>
      <c r="AB231" s="1496"/>
      <c r="AC231" s="0"/>
      <c r="AD231" s="976"/>
      <c r="AE231" s="975" t="s">
        <v>236</v>
      </c>
      <c r="AF231" s="874"/>
      <c r="AG231" s="859"/>
      <c r="AH231" s="861"/>
      <c r="AI231" s="863"/>
      <c r="AJ231" s="863"/>
      <c r="AK231" s="863"/>
      <c r="AL231" s="863"/>
      <c r="AM231" s="863"/>
      <c r="AN231" s="863"/>
      <c r="AO231" s="863"/>
      <c r="AP231" s="863"/>
      <c r="AQ231" s="863"/>
      <c r="AR231" s="863"/>
      <c r="AS231" s="863"/>
      <c r="AT231" s="863"/>
      <c r="AU231" s="863"/>
      <c r="AV231" s="863"/>
      <c r="AW231" s="863"/>
      <c r="AX231" s="863"/>
      <c r="AY231" s="863"/>
      <c r="AZ231" s="863"/>
      <c r="BA231" s="863"/>
      <c r="BB231" s="863"/>
      <c r="BC231" s="863"/>
      <c r="BD231" s="863"/>
      <c r="BE231" s="863"/>
      <c r="BF231" s="863"/>
      <c r="BG231" s="863"/>
      <c r="BH231" s="863"/>
      <c r="BI231" s="863"/>
      <c r="BJ231" s="863"/>
      <c r="BK231" s="863"/>
      <c r="BL231" s="863"/>
      <c r="BM231" s="863"/>
      <c r="BN231" s="863"/>
      <c r="BO231" s="863"/>
      <c r="BP231" s="863"/>
      <c r="BQ231" s="863"/>
      <c r="BR231" s="863"/>
      <c r="BS231" s="863"/>
      <c r="BT231" s="863"/>
      <c r="BU231" s="863"/>
      <c r="BV231" s="863"/>
      <c r="BW231" s="863"/>
      <c r="BX231" s="863"/>
      <c r="BY231" s="863"/>
      <c r="BZ231" s="863"/>
      <c r="CA231" s="863"/>
      <c r="CB231" s="863"/>
      <c r="CC231" s="863"/>
      <c r="CD231" s="863"/>
      <c r="CE231" s="863"/>
      <c r="CF231" s="863"/>
      <c r="CG231" s="863"/>
      <c r="CH231" s="863"/>
      <c r="CI231" s="863"/>
      <c r="CJ231" s="863"/>
      <c r="CK231" s="863"/>
      <c r="CL231" s="863"/>
      <c r="CM231" s="863"/>
      <c r="CN231" s="863"/>
      <c r="CO231" s="863"/>
      <c r="CP231" s="863"/>
      <c r="CQ231" s="863"/>
      <c r="CR231" s="863"/>
      <c r="CS231" s="863"/>
      <c r="CT231" s="91"/>
      <c r="CU231" s="0"/>
      <c r="CV231" s="1632"/>
      <c r="CW231" s="1173" t="str">
        <f>IF(AND(ISNUMBER(VALUE(TRIM(SUBSTITUTE(AD231,".","")))),TRIM(SUBSTITUTE(AD231,".",""))&lt;&gt;""),"P"&amp;SUBSTITUTE(AD231,".",""),"")</f>
        <v/>
      </c>
      <c r="CX231" s="1178"/>
      <c r="CY231" s="1178"/>
      <c r="CZ231" s="1178"/>
      <c r="DA231" s="1179"/>
      <c r="DB231" s="1179"/>
    </row>
    <row s="1632" customFormat="1" customHeight="1" ht="16.5">
      <c r="A232" s="1443"/>
      <c r="B232" s="927"/>
      <c r="C232" s="1443"/>
      <c r="D232" s="1443"/>
      <c r="E232" s="797">
        <v>17.1</v>
      </c>
      <c r="F232" s="922" cm="1" t="str">
        <f t="array" ref="F232:F232">OFFSET(G232,-1,-1)</f>
        <v>1</v>
      </c>
      <c r="G232" s="965"/>
      <c r="H232" s="965"/>
      <c r="I232" s="965"/>
      <c r="J232" s="965"/>
      <c r="K232" s="965"/>
      <c r="L232" s="922" cm="1" t="str">
        <f t="array" ref="L232:L232">OFFSET(M232,-1,-1)</f>
        <v>false</v>
      </c>
      <c r="M232" s="965"/>
      <c r="N232" s="965"/>
      <c r="O232" s="965"/>
      <c r="P232" s="965"/>
      <c r="Q232" s="965"/>
      <c r="R232" s="1443"/>
      <c r="S232" s="159" cm="1" t="str">
        <f t="array" ref="S232:S232">OFFSET(T232,-1,-1)</f>
        <v>true</v>
      </c>
      <c r="T232" s="1443"/>
      <c r="U232" s="819">
        <f>AND(S232,IF(ISBLANK(T232),TRUE,T232))</f>
        <v>1</v>
      </c>
      <c r="V232" s="1443"/>
      <c r="W232" s="1443"/>
      <c r="X232" s="1443"/>
      <c r="Y232" s="1443"/>
      <c r="Z232" s="1443"/>
      <c r="AA232" s="820"/>
      <c r="AB232" s="1485" t="s">
        <v>849</v>
      </c>
      <c r="AC232" s="0"/>
      <c r="AD232" s="173" t="s">
        <v>850</v>
      </c>
      <c r="AE232" s="1497" t="s">
        <v>851</v>
      </c>
      <c r="AF232" s="323"/>
      <c r="AG232" s="1010"/>
      <c r="AH232" s="861"/>
      <c r="AI232" s="863"/>
      <c r="AJ232" s="863"/>
      <c r="AK232" s="863"/>
      <c r="AL232" s="863"/>
      <c r="AM232" s="863"/>
      <c r="AN232" s="863"/>
      <c r="AO232" s="863"/>
      <c r="AP232" s="863"/>
      <c r="AQ232" s="863"/>
      <c r="AR232" s="863"/>
      <c r="AS232" s="863"/>
      <c r="AT232" s="863"/>
      <c r="AU232" s="863"/>
      <c r="AV232" s="863"/>
      <c r="AW232" s="863"/>
      <c r="AX232" s="863"/>
      <c r="AY232" s="863"/>
      <c r="AZ232" s="863"/>
      <c r="BA232" s="863"/>
      <c r="BB232" s="863"/>
      <c r="BC232" s="863"/>
      <c r="BD232" s="863"/>
      <c r="BE232" s="863"/>
      <c r="BF232" s="863"/>
      <c r="BG232" s="863"/>
      <c r="BH232" s="863"/>
      <c r="BI232" s="863"/>
      <c r="BJ232" s="863"/>
      <c r="BK232" s="863"/>
      <c r="BL232" s="863"/>
      <c r="BM232" s="863"/>
      <c r="BN232" s="863"/>
      <c r="BO232" s="863"/>
      <c r="BP232" s="863"/>
      <c r="BQ232" s="863"/>
      <c r="BR232" s="863"/>
      <c r="BS232" s="863"/>
      <c r="BT232" s="863"/>
      <c r="BU232" s="863"/>
      <c r="BV232" s="863"/>
      <c r="BW232" s="863"/>
      <c r="BX232" s="863"/>
      <c r="BY232" s="863"/>
      <c r="BZ232" s="863"/>
      <c r="CA232" s="863"/>
      <c r="CB232" s="863"/>
      <c r="CC232" s="863"/>
      <c r="CD232" s="863"/>
      <c r="CE232" s="863"/>
      <c r="CF232" s="863"/>
      <c r="CG232" s="863"/>
      <c r="CH232" s="863"/>
      <c r="CI232" s="863"/>
      <c r="CJ232" s="863"/>
      <c r="CK232" s="863"/>
      <c r="CL232" s="863"/>
      <c r="CM232" s="863"/>
      <c r="CN232" s="863"/>
      <c r="CO232" s="863"/>
      <c r="CP232" s="863"/>
      <c r="CQ232" s="863"/>
      <c r="CR232" s="863"/>
      <c r="CS232" s="863"/>
      <c r="CT232" s="1719"/>
      <c r="CU232" s="0"/>
      <c r="CV232" s="1632"/>
      <c r="CW232" s="1173" t="s">
        <v>852</v>
      </c>
      <c r="CX232" s="1178"/>
      <c r="CY232" s="1178"/>
      <c r="CZ232" s="1178"/>
      <c r="DA232" s="1179"/>
      <c r="DB232" s="1179"/>
    </row>
    <row s="1632" customFormat="1" customHeight="1" ht="16.5" hidden="1">
      <c r="E233" s="797">
        <v>17.1</v>
      </c>
      <c r="F233" s="922" cm="1" t="str">
        <f t="array" ref="F233:F233">OFFSET(G233,-1,-1)</f>
        <v>1</v>
      </c>
      <c r="L233" s="922" cm="1" t="str">
        <f t="array" ref="L233:L233">OFFSET(M233,-1,-1)</f>
        <v>false</v>
      </c>
      <c r="S233" s="159" cm="1" t="str">
        <f t="array" ref="S233:S233">OFFSET(T233,-1,-1)</f>
        <v>true</v>
      </c>
      <c r="T233" s="159">
        <f>AD233&lt;&gt;"34.0"</f>
        <v>0</v>
      </c>
      <c r="U233" s="819">
        <f>AND(S233,IF(ISBLANK(T233),TRUE,T233))</f>
        <v>0</v>
      </c>
      <c r="X233" s="159" t="s">
        <v>234</v>
      </c>
      <c r="AB233" s="1486"/>
      <c r="AD233" s="160" t="s">
        <v>853</v>
      </c>
      <c r="AE233" s="974"/>
      <c r="AF233" s="625"/>
      <c r="AG233" s="859" t="s">
        <v>498</v>
      </c>
      <c r="AH233" s="90"/>
      <c r="AI233" s="94"/>
      <c r="AJ233" s="94"/>
      <c r="AK233" s="94"/>
      <c r="AL233" s="863"/>
      <c r="AM233" s="94"/>
      <c r="AN233" s="94"/>
      <c r="AO233" s="863"/>
      <c r="AP233" s="94"/>
      <c r="AQ233" s="94"/>
      <c r="AR233" s="863"/>
      <c r="AS233" s="94"/>
      <c r="AT233" s="94"/>
      <c r="AU233" s="863"/>
      <c r="AV233" s="94"/>
      <c r="AW233" s="94"/>
      <c r="AX233" s="863"/>
      <c r="AY233" s="94"/>
      <c r="AZ233" s="94"/>
      <c r="BA233" s="863"/>
      <c r="BB233" s="94"/>
      <c r="BC233" s="94"/>
      <c r="BD233" s="863"/>
      <c r="BE233" s="94"/>
      <c r="BF233" s="94"/>
      <c r="BG233" s="863"/>
      <c r="BH233" s="94"/>
      <c r="BI233" s="94"/>
      <c r="BJ233" s="863"/>
      <c r="BK233" s="94"/>
      <c r="BL233" s="94"/>
      <c r="BM233" s="863"/>
      <c r="BN233" s="94"/>
      <c r="BO233" s="94"/>
      <c r="BP233" s="863"/>
      <c r="BQ233" s="984"/>
      <c r="BR233" s="984"/>
      <c r="BS233" s="863"/>
      <c r="BT233" s="94"/>
      <c r="BU233" s="94"/>
      <c r="BV233" s="863"/>
      <c r="BW233" s="94"/>
      <c r="BX233" s="94"/>
      <c r="BY233" s="863"/>
      <c r="BZ233" s="94"/>
      <c r="CA233" s="94"/>
      <c r="CB233" s="863"/>
      <c r="CC233" s="94"/>
      <c r="CD233" s="94"/>
      <c r="CE233" s="863"/>
      <c r="CF233" s="94"/>
      <c r="CG233" s="94"/>
      <c r="CH233" s="863"/>
      <c r="CI233" s="94"/>
      <c r="CJ233" s="94"/>
      <c r="CK233" s="863"/>
      <c r="CL233" s="94"/>
      <c r="CM233" s="94"/>
      <c r="CN233" s="863"/>
      <c r="CO233" s="94"/>
      <c r="CP233" s="94"/>
      <c r="CQ233" s="863"/>
      <c r="CR233" s="94"/>
      <c r="CS233" s="94"/>
      <c r="CT233" s="73"/>
      <c r="CW233" s="1173" t="s">
        <v>852</v>
      </c>
      <c r="CX233" s="1178" t="s">
        <v>792</v>
      </c>
      <c r="CY233" s="1182" cm="1" t="str">
        <f t="array" ref="CY233:CY233">AE233</f>
        <v>0</v>
      </c>
      <c r="CZ233" s="1182" cm="1" t="str">
        <f t="array" ref="CZ233:CZ233">AF233</f>
        <v>0</v>
      </c>
      <c r="DA233" s="1179"/>
      <c r="DB233" s="1179"/>
    </row>
    <row s="1632" customFormat="1" customHeight="1" ht="16.5">
      <c r="A234" s="1632"/>
      <c r="B234" s="1632"/>
      <c r="C234" s="1632"/>
      <c r="D234" s="1632"/>
      <c r="E234" s="797">
        <v>17.1</v>
      </c>
      <c r="F234" s="922" cm="1" t="str">
        <f t="array" ref="F234:F234">OFFSET(G234,-1,-1)</f>
        <v>1</v>
      </c>
      <c r="G234" s="1632"/>
      <c r="H234" s="1632"/>
      <c r="I234" s="1632"/>
      <c r="J234" s="1632"/>
      <c r="K234" s="1632"/>
      <c r="L234" s="922" cm="1" t="str">
        <f t="array" ref="L234:L234">OFFSET(M234,-1,-1)</f>
        <v>false</v>
      </c>
      <c r="M234" s="1632"/>
      <c r="N234" s="1632"/>
      <c r="O234" s="1632"/>
      <c r="P234" s="1632"/>
      <c r="Q234" s="1632"/>
      <c r="R234" s="1632"/>
      <c r="S234" s="159" cm="1" t="str">
        <f t="array" ref="S234:S234">OFFSET(T234,-1,-1)</f>
        <v>true</v>
      </c>
      <c r="T234" s="159">
        <f>AD234&lt;&gt;"34.0"</f>
        <v>1</v>
      </c>
      <c r="U234" s="819">
        <f>AND(S234,IF(ISBLANK(T234),TRUE,T234))</f>
        <v>1</v>
      </c>
      <c r="V234" s="1632"/>
      <c r="W234" s="1632"/>
      <c r="X234" s="159" t="str">
        <f>'Топливо 4.4'!$AE$230&amp;'Топливо 4.4'!$AF$230</f>
        <v>Уголь длиннопламенный</v>
      </c>
      <c r="Y234" s="1632"/>
      <c r="Z234" s="1632"/>
      <c r="AA234" s="1632"/>
      <c r="AB234" s="1486"/>
      <c r="AC234" s="0"/>
      <c r="AD234" s="160" t="s">
        <v>918</v>
      </c>
      <c r="AE234" s="974" cm="1" t="str">
        <f t="array" ref="AE234:AE234">IF(ISBLANK('Топливо 4.4'!$AE$230),"",'Топливо 4.4'!$AE$230)</f>
        <v>Уголь длиннопламенный</v>
      </c>
      <c r="AF234" s="625" cm="1" t="str">
        <f t="array" ref="AF234:AF234">IF(ISBLANK('Топливо 4.4'!$AF$230),"",'Топливо 4.4'!$AF$230)</f>
        <v/>
      </c>
      <c r="AG234" s="859" t="s">
        <v>498</v>
      </c>
      <c r="AH234" s="1804"/>
      <c r="AI234" s="1829"/>
      <c r="AJ234" s="1829"/>
      <c r="AK234" s="1829"/>
      <c r="AL234" s="863"/>
      <c r="AM234" s="1829"/>
      <c r="AN234" s="1829"/>
      <c r="AO234" s="863"/>
      <c r="AP234" s="1829"/>
      <c r="AQ234" s="1829"/>
      <c r="AR234" s="863"/>
      <c r="AS234" s="1829"/>
      <c r="AT234" s="1829"/>
      <c r="AU234" s="863"/>
      <c r="AV234" s="1829"/>
      <c r="AW234" s="1829"/>
      <c r="AX234" s="863"/>
      <c r="AY234" s="1829"/>
      <c r="AZ234" s="1829"/>
      <c r="BA234" s="863"/>
      <c r="BB234" s="1829"/>
      <c r="BC234" s="1829"/>
      <c r="BD234" s="863"/>
      <c r="BE234" s="1829"/>
      <c r="BF234" s="1829"/>
      <c r="BG234" s="863"/>
      <c r="BH234" s="1829"/>
      <c r="BI234" s="1829"/>
      <c r="BJ234" s="863"/>
      <c r="BK234" s="1829"/>
      <c r="BL234" s="1829"/>
      <c r="BM234" s="863"/>
      <c r="BN234" s="1829"/>
      <c r="BO234" s="1829"/>
      <c r="BP234" s="863"/>
      <c r="BQ234" s="984"/>
      <c r="BR234" s="984"/>
      <c r="BS234" s="863"/>
      <c r="BT234" s="1829"/>
      <c r="BU234" s="1829"/>
      <c r="BV234" s="863"/>
      <c r="BW234" s="1829"/>
      <c r="BX234" s="1829"/>
      <c r="BY234" s="863"/>
      <c r="BZ234" s="1829"/>
      <c r="CA234" s="1829"/>
      <c r="CB234" s="863"/>
      <c r="CC234" s="1829"/>
      <c r="CD234" s="1829"/>
      <c r="CE234" s="863"/>
      <c r="CF234" s="1829"/>
      <c r="CG234" s="1829"/>
      <c r="CH234" s="863"/>
      <c r="CI234" s="1829"/>
      <c r="CJ234" s="1829"/>
      <c r="CK234" s="863"/>
      <c r="CL234" s="1829"/>
      <c r="CM234" s="1829"/>
      <c r="CN234" s="863"/>
      <c r="CO234" s="1829"/>
      <c r="CP234" s="1829"/>
      <c r="CQ234" s="863"/>
      <c r="CR234" s="1829"/>
      <c r="CS234" s="1829"/>
      <c r="CT234" s="1719"/>
      <c r="CU234" s="0"/>
      <c r="CV234" s="1632"/>
      <c r="CW234" s="1173" t="s">
        <v>852</v>
      </c>
      <c r="CX234" s="1178" t="s">
        <v>792</v>
      </c>
      <c r="CY234" s="1182" cm="1" t="str">
        <f t="array" ref="CY234:CY234">AE234</f>
        <v>Уголь длиннопламенный</v>
      </c>
      <c r="CZ234" s="1182" cm="1" t="str">
        <f t="array" ref="CZ234:CZ234">AF234</f>
        <v/>
      </c>
      <c r="DA234" s="1179"/>
      <c r="DB234" s="1179"/>
    </row>
    <row s="1632" customFormat="1" customHeight="1" ht="15" hidden="1">
      <c r="A235" s="1443"/>
      <c r="B235" s="927"/>
      <c r="C235" s="1443"/>
      <c r="D235" s="1443"/>
      <c r="E235" s="797">
        <v>0</v>
      </c>
      <c r="F235" s="922" cm="1" t="str">
        <f t="array" ref="F235:F235">OFFSET(G235,-1,-1)</f>
        <v>1</v>
      </c>
      <c r="G235" s="965"/>
      <c r="H235" s="965"/>
      <c r="I235" s="965"/>
      <c r="J235" s="965"/>
      <c r="K235" s="965"/>
      <c r="L235" s="922" cm="1" t="str">
        <f t="array" ref="L235:L235">OFFSET(M235,-1,-1)</f>
        <v>false</v>
      </c>
      <c r="M235" s="965"/>
      <c r="N235" s="965"/>
      <c r="O235" s="965"/>
      <c r="P235" s="965"/>
      <c r="Q235" s="965"/>
      <c r="R235" s="1443"/>
      <c r="S235" s="159" cm="1" t="str">
        <f t="array" ref="S235:S235">OFFSET(T235,-1,-1)</f>
        <v>true</v>
      </c>
      <c r="T235" s="1443"/>
      <c r="U235" s="819">
        <f>AND(S235,IF(ISBLANK(T235),TRUE,T235))</f>
        <v>1</v>
      </c>
      <c r="V235" s="1443"/>
      <c r="W235" s="1443"/>
      <c r="X235" s="973" t="str">
        <f>"{                  
         funcDyn: 'msg1',
         blok: 'blok_2',
         wsCross: 'Топливо 4.4',
         linkFormula: 'AE-AE#AF-AF',
         levelDyn: "&amp;Y139&amp;"
}"</f>
        <v>{                  
         funcDyn: 'msg1',
         blok: 'blok_2',
         wsCross: 'Топливо 4.4',
         linkFormula: 'AE-AE#AF-AF',
         levelDyn: 1
}</v>
      </c>
      <c r="Y235" s="1443"/>
      <c r="Z235" s="1443"/>
      <c r="AA235" s="820"/>
      <c r="AB235" s="1486"/>
      <c r="AC235" s="0"/>
      <c r="AD235" s="976"/>
      <c r="AE235" s="975" t="s">
        <v>236</v>
      </c>
      <c r="AF235" s="874"/>
      <c r="AG235" s="859"/>
      <c r="AH235" s="876"/>
      <c r="AI235" s="95"/>
      <c r="AJ235" s="95"/>
      <c r="AK235" s="95"/>
      <c r="AL235" s="863"/>
      <c r="AM235" s="95"/>
      <c r="AN235" s="95"/>
      <c r="AO235" s="863"/>
      <c r="AP235" s="95"/>
      <c r="AQ235" s="95"/>
      <c r="AR235" s="863"/>
      <c r="AS235" s="95"/>
      <c r="AT235" s="95"/>
      <c r="AU235" s="863"/>
      <c r="AV235" s="95"/>
      <c r="AW235" s="95"/>
      <c r="AX235" s="863"/>
      <c r="AY235" s="95"/>
      <c r="AZ235" s="95"/>
      <c r="BA235" s="863"/>
      <c r="BB235" s="95"/>
      <c r="BC235" s="95"/>
      <c r="BD235" s="863"/>
      <c r="BE235" s="95"/>
      <c r="BF235" s="95"/>
      <c r="BG235" s="863"/>
      <c r="BH235" s="95"/>
      <c r="BI235" s="95"/>
      <c r="BJ235" s="863"/>
      <c r="BK235" s="95"/>
      <c r="BL235" s="95"/>
      <c r="BM235" s="863"/>
      <c r="BN235" s="95"/>
      <c r="BO235" s="95"/>
      <c r="BP235" s="863"/>
      <c r="BQ235" s="95"/>
      <c r="BR235" s="95"/>
      <c r="BS235" s="863"/>
      <c r="BT235" s="95"/>
      <c r="BU235" s="95"/>
      <c r="BV235" s="863"/>
      <c r="BW235" s="95"/>
      <c r="BX235" s="95"/>
      <c r="BY235" s="863"/>
      <c r="BZ235" s="95"/>
      <c r="CA235" s="95"/>
      <c r="CB235" s="863"/>
      <c r="CC235" s="95"/>
      <c r="CD235" s="95"/>
      <c r="CE235" s="863"/>
      <c r="CF235" s="95"/>
      <c r="CG235" s="95"/>
      <c r="CH235" s="863"/>
      <c r="CI235" s="95"/>
      <c r="CJ235" s="95"/>
      <c r="CK235" s="863"/>
      <c r="CL235" s="95"/>
      <c r="CM235" s="95"/>
      <c r="CN235" s="863"/>
      <c r="CO235" s="95"/>
      <c r="CP235" s="95"/>
      <c r="CQ235" s="863"/>
      <c r="CR235" s="95"/>
      <c r="CS235" s="95"/>
      <c r="CT235" s="91"/>
      <c r="CU235" s="0"/>
      <c r="CV235" s="1632"/>
      <c r="CW235" s="1173" t="str">
        <f>IF(AND(ISNUMBER(VALUE(TRIM(SUBSTITUTE(AD235,".","")))),TRIM(SUBSTITUTE(AD235,".",""))&lt;&gt;""),"P"&amp;SUBSTITUTE(AD235,".",""),"")</f>
        <v/>
      </c>
      <c r="CX235" s="1178"/>
      <c r="CY235" s="1178"/>
      <c r="CZ235" s="1178"/>
      <c r="DA235" s="1179"/>
      <c r="DB235" s="1179"/>
    </row>
    <row s="1632" customFormat="1" customHeight="1" ht="16.5">
      <c r="A236" s="1443"/>
      <c r="B236" s="927"/>
      <c r="C236" s="1443"/>
      <c r="D236" s="1443"/>
      <c r="E236" s="797">
        <v>17.1</v>
      </c>
      <c r="F236" s="922" cm="1" t="str">
        <f t="array" ref="F236:F236">OFFSET(G236,-1,-1)</f>
        <v>1</v>
      </c>
      <c r="G236" s="965"/>
      <c r="H236" s="965"/>
      <c r="I236" s="965"/>
      <c r="J236" s="965"/>
      <c r="K236" s="965"/>
      <c r="L236" s="922" cm="1" t="str">
        <f t="array" ref="L236:L236">OFFSET(M236,-1,-1)</f>
        <v>false</v>
      </c>
      <c r="M236" s="965"/>
      <c r="N236" s="965"/>
      <c r="O236" s="965"/>
      <c r="P236" s="965"/>
      <c r="Q236" s="965"/>
      <c r="R236" s="1443"/>
      <c r="S236" s="159" cm="1" t="str">
        <f t="array" ref="S236:S236">OFFSET(T236,-1,-1)</f>
        <v>true</v>
      </c>
      <c r="T236" s="1443"/>
      <c r="U236" s="819">
        <f>AND(S236,IF(ISBLANK(T236),TRUE,T236))</f>
        <v>1</v>
      </c>
      <c r="V236" s="1443"/>
      <c r="W236" s="1443"/>
      <c r="X236" s="1443"/>
      <c r="Y236" s="1443"/>
      <c r="Z236" s="1443"/>
      <c r="AA236" s="820"/>
      <c r="AB236" s="1486"/>
      <c r="AC236" s="0"/>
      <c r="AD236" s="173" t="s">
        <v>854</v>
      </c>
      <c r="AE236" s="1497" t="s">
        <v>855</v>
      </c>
      <c r="AF236" s="323"/>
      <c r="AG236" s="1010"/>
      <c r="AH236" s="861"/>
      <c r="AI236" s="863"/>
      <c r="AJ236" s="863"/>
      <c r="AK236" s="863"/>
      <c r="AL236" s="863"/>
      <c r="AM236" s="863"/>
      <c r="AN236" s="863"/>
      <c r="AO236" s="863"/>
      <c r="AP236" s="863"/>
      <c r="AQ236" s="863"/>
      <c r="AR236" s="863"/>
      <c r="AS236" s="863"/>
      <c r="AT236" s="863"/>
      <c r="AU236" s="863"/>
      <c r="AV236" s="863"/>
      <c r="AW236" s="863"/>
      <c r="AX236" s="863"/>
      <c r="AY236" s="863"/>
      <c r="AZ236" s="863"/>
      <c r="BA236" s="863"/>
      <c r="BB236" s="863"/>
      <c r="BC236" s="863"/>
      <c r="BD236" s="863"/>
      <c r="BE236" s="863"/>
      <c r="BF236" s="863"/>
      <c r="BG236" s="863"/>
      <c r="BH236" s="863"/>
      <c r="BI236" s="863"/>
      <c r="BJ236" s="863"/>
      <c r="BK236" s="863"/>
      <c r="BL236" s="863"/>
      <c r="BM236" s="863"/>
      <c r="BN236" s="863"/>
      <c r="BO236" s="863"/>
      <c r="BP236" s="863"/>
      <c r="BQ236" s="863"/>
      <c r="BR236" s="863"/>
      <c r="BS236" s="863"/>
      <c r="BT236" s="863"/>
      <c r="BU236" s="863"/>
      <c r="BV236" s="863"/>
      <c r="BW236" s="863"/>
      <c r="BX236" s="863"/>
      <c r="BY236" s="863"/>
      <c r="BZ236" s="863"/>
      <c r="CA236" s="863"/>
      <c r="CB236" s="863"/>
      <c r="CC236" s="863"/>
      <c r="CD236" s="863"/>
      <c r="CE236" s="863"/>
      <c r="CF236" s="863"/>
      <c r="CG236" s="863"/>
      <c r="CH236" s="863"/>
      <c r="CI236" s="863"/>
      <c r="CJ236" s="863"/>
      <c r="CK236" s="863"/>
      <c r="CL236" s="863"/>
      <c r="CM236" s="863"/>
      <c r="CN236" s="863"/>
      <c r="CO236" s="863"/>
      <c r="CP236" s="863"/>
      <c r="CQ236" s="863"/>
      <c r="CR236" s="863"/>
      <c r="CS236" s="863"/>
      <c r="CT236" s="1719"/>
      <c r="CU236" s="0"/>
      <c r="CV236" s="1632"/>
      <c r="CW236" s="1173" t="s">
        <v>856</v>
      </c>
      <c r="CX236" s="1178"/>
      <c r="CY236" s="1178"/>
      <c r="CZ236" s="1178"/>
      <c r="DA236" s="1179"/>
      <c r="DB236" s="1179"/>
    </row>
    <row s="1632" customFormat="1" customHeight="1" ht="16.5" hidden="1">
      <c r="E237" s="797">
        <v>17.1</v>
      </c>
      <c r="F237" s="922" cm="1" t="str">
        <f t="array" ref="F237:F237">OFFSET(G237,-1,-1)</f>
        <v>1</v>
      </c>
      <c r="L237" s="922" cm="1" t="str">
        <f t="array" ref="L237:L237">OFFSET(M237,-1,-1)</f>
        <v>false</v>
      </c>
      <c r="S237" s="159" cm="1" t="str">
        <f t="array" ref="S237:S237">OFFSET(T237,-1,-1)</f>
        <v>true</v>
      </c>
      <c r="T237" s="159">
        <f>AD237&lt;&gt;"35.0"</f>
        <v>0</v>
      </c>
      <c r="U237" s="819">
        <f>AND(S237,IF(ISBLANK(T237),TRUE,T237))</f>
        <v>0</v>
      </c>
      <c r="X237" s="159" t="s">
        <v>234</v>
      </c>
      <c r="AB237" s="1486"/>
      <c r="AD237" s="160" t="s">
        <v>857</v>
      </c>
      <c r="AE237" s="974"/>
      <c r="AF237" s="625"/>
      <c r="AG237" s="1815"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2">
        <f>_xlfn.IFERROR(AL242/AL178,0)*1000</f>
        <v>0</v>
      </c>
      <c r="AM237" s="87"/>
      <c r="AN237" s="87"/>
      <c r="AO237" s="862">
        <f>_xlfn.IFERROR(AO242/AO178,0)*1000</f>
        <v>0</v>
      </c>
      <c r="AP237" s="87"/>
      <c r="AQ237" s="87"/>
      <c r="AR237" s="862">
        <f>_xlfn.IFERROR(AR242/AR178,0)*1000</f>
        <v>0</v>
      </c>
      <c r="AS237" s="87"/>
      <c r="AT237" s="87"/>
      <c r="AU237" s="862">
        <f>_xlfn.IFERROR(AU242/AU178,0)*1000</f>
        <v>0</v>
      </c>
      <c r="AV237" s="87"/>
      <c r="AW237" s="87"/>
      <c r="AX237" s="862">
        <f>_xlfn.IFERROR(AX242/AX178,0)*1000</f>
        <v>0</v>
      </c>
      <c r="AY237" s="87"/>
      <c r="AZ237" s="87"/>
      <c r="BA237" s="862">
        <f>_xlfn.IFERROR(BA242/BA178,0)*1000</f>
        <v>0</v>
      </c>
      <c r="BB237" s="87"/>
      <c r="BC237" s="87"/>
      <c r="BD237" s="862">
        <f>_xlfn.IFERROR(BD242/BD178,0)*1000</f>
        <v>0</v>
      </c>
      <c r="BE237" s="87"/>
      <c r="BF237" s="87"/>
      <c r="BG237" s="862">
        <f>_xlfn.IFERROR(BG242/BG178,0)*1000</f>
        <v>0</v>
      </c>
      <c r="BH237" s="87"/>
      <c r="BI237" s="87"/>
      <c r="BJ237" s="862">
        <f>_xlfn.IFERROR(BJ242/BJ178,0)*1000</f>
        <v>0</v>
      </c>
      <c r="BK237" s="87"/>
      <c r="BL237" s="87"/>
      <c r="BM237" s="862">
        <f>_xlfn.IFERROR(BM242/BM178,0)*1000</f>
        <v>0</v>
      </c>
      <c r="BN237" s="87"/>
      <c r="BO237" s="87"/>
      <c r="BP237" s="862">
        <f>_xlfn.IFERROR(BP242/BP178,0)*1000</f>
        <v>0</v>
      </c>
      <c r="BQ237" s="979"/>
      <c r="BR237" s="979"/>
      <c r="BS237" s="862">
        <f>_xlfn.IFERROR(BS242/BS178,0)*1000</f>
        <v>0</v>
      </c>
      <c r="BT237" s="87"/>
      <c r="BU237" s="87"/>
      <c r="BV237" s="862">
        <f>_xlfn.IFERROR(BV242/BV178,0)*1000</f>
        <v>0</v>
      </c>
      <c r="BW237" s="87"/>
      <c r="BX237" s="87"/>
      <c r="BY237" s="862">
        <f>_xlfn.IFERROR(BY242/BY178,0)*1000</f>
        <v>0</v>
      </c>
      <c r="BZ237" s="87"/>
      <c r="CA237" s="87"/>
      <c r="CB237" s="862">
        <f>_xlfn.IFERROR(CB242/CB178,0)*1000</f>
        <v>0</v>
      </c>
      <c r="CC237" s="87"/>
      <c r="CD237" s="87"/>
      <c r="CE237" s="862">
        <f>_xlfn.IFERROR(CE242/CE178,0)*1000</f>
        <v>0</v>
      </c>
      <c r="CF237" s="87"/>
      <c r="CG237" s="87"/>
      <c r="CH237" s="862">
        <f>_xlfn.IFERROR(CH242/CH178,0)*1000</f>
        <v>0</v>
      </c>
      <c r="CI237" s="87"/>
      <c r="CJ237" s="87"/>
      <c r="CK237" s="862">
        <f>_xlfn.IFERROR(CK242/CK178,0)*1000</f>
        <v>0</v>
      </c>
      <c r="CL237" s="87"/>
      <c r="CM237" s="87"/>
      <c r="CN237" s="862">
        <f>_xlfn.IFERROR(CN242/CN178,0)*1000</f>
        <v>0</v>
      </c>
      <c r="CO237" s="87"/>
      <c r="CP237" s="87"/>
      <c r="CQ237" s="862">
        <f>_xlfn.IFERROR(CQ242/CQ178,0)*1000</f>
        <v>0</v>
      </c>
      <c r="CR237" s="87"/>
      <c r="CS237" s="87"/>
      <c r="CT237" s="73"/>
      <c r="CW237" s="1173" t="s">
        <v>856</v>
      </c>
      <c r="CX237" s="1178" t="s">
        <v>792</v>
      </c>
      <c r="CY237" s="1182" cm="1" t="str">
        <f t="array" ref="CY237:CY237">AE237</f>
        <v>0</v>
      </c>
      <c r="CZ237" s="1182" cm="1" t="str">
        <f t="array" ref="CZ237:CZ237">AF237</f>
        <v>0</v>
      </c>
      <c r="DA237" s="1179"/>
      <c r="DB237" s="1179"/>
    </row>
    <row s="1632" customFormat="1" customHeight="1" ht="16.5">
      <c r="A238" s="1632"/>
      <c r="B238" s="1632"/>
      <c r="C238" s="1632"/>
      <c r="D238" s="1632"/>
      <c r="E238" s="797">
        <v>17.1</v>
      </c>
      <c r="F238" s="922" cm="1" t="str">
        <f t="array" ref="F238:F238">OFFSET(G238,-1,-1)</f>
        <v>1</v>
      </c>
      <c r="G238" s="1632"/>
      <c r="H238" s="1632"/>
      <c r="I238" s="1632"/>
      <c r="J238" s="1632"/>
      <c r="K238" s="1632"/>
      <c r="L238" s="922" cm="1" t="str">
        <f t="array" ref="L238:L238">OFFSET(M238,-1,-1)</f>
        <v>false</v>
      </c>
      <c r="M238" s="1632"/>
      <c r="N238" s="1632"/>
      <c r="O238" s="1632"/>
      <c r="P238" s="1632"/>
      <c r="Q238" s="1632"/>
      <c r="R238" s="1632"/>
      <c r="S238" s="159" cm="1" t="str">
        <f t="array" ref="S238:S238">OFFSET(T238,-1,-1)</f>
        <v>true</v>
      </c>
      <c r="T238" s="159">
        <f>AD238&lt;&gt;"35.0"</f>
        <v>1</v>
      </c>
      <c r="U238" s="819">
        <f>AND(S238,IF(ISBLANK(T238),TRUE,T238))</f>
        <v>1</v>
      </c>
      <c r="V238" s="1632"/>
      <c r="W238" s="1632"/>
      <c r="X238" s="159" t="str">
        <f>'Топливо 4.4'!$AE$234&amp;'Топливо 4.4'!$AF$234</f>
        <v>Уголь длиннопламенный</v>
      </c>
      <c r="Y238" s="1632"/>
      <c r="Z238" s="1632"/>
      <c r="AA238" s="1632"/>
      <c r="AB238" s="1486"/>
      <c r="AC238" s="0"/>
      <c r="AD238" s="160" t="s">
        <v>919</v>
      </c>
      <c r="AE238" s="974" cm="1" t="str">
        <f t="array" ref="AE238:AE238">IF(ISBLANK('Топливо 4.4'!$AE$234),"",'Топливо 4.4'!$AE$234)</f>
        <v>Уголь длиннопламенный</v>
      </c>
      <c r="AF238" s="625" cm="1" t="str">
        <f t="array" ref="AF238:AF238">IF(ISBLANK('Топливо 4.4'!$AF$234),"",'Топливо 4.4'!$AF$234)</f>
        <v/>
      </c>
      <c r="AG238" s="1815" t="str">
        <f>"руб./"&amp;_xlfn.IFERROR(INDEX(fuel_ed_izm_list,MATCH(AE238,fuel_list,0)),"")</f>
        <v>руб./тнт</v>
      </c>
      <c r="AH238" s="1791">
        <f>_xlfn.IFERROR(AH243/AH179,0)*1000</f>
        <v>0</v>
      </c>
      <c r="AI238" s="1791">
        <f>_xlfn.IFERROR(AI243/AI179,0)*1000</f>
        <v>0</v>
      </c>
      <c r="AJ238" s="1791">
        <f>_xlfn.IFERROR(AJ243/AJ179,0)*1000</f>
        <v>0</v>
      </c>
      <c r="AK238" s="1791">
        <f>_xlfn.IFERROR(AK243/AK179,0)*1000</f>
        <v>0</v>
      </c>
      <c r="AL238" s="862">
        <f>_xlfn.IFERROR(AL243/AL179,0)*1000</f>
        <v>0</v>
      </c>
      <c r="AM238" s="1772"/>
      <c r="AN238" s="1772"/>
      <c r="AO238" s="862">
        <f>_xlfn.IFERROR(AO243/AO179,0)*1000</f>
        <v>0</v>
      </c>
      <c r="AP238" s="1772"/>
      <c r="AQ238" s="1772"/>
      <c r="AR238" s="862">
        <f>_xlfn.IFERROR(AR243/AR179,0)*1000</f>
        <v>0</v>
      </c>
      <c r="AS238" s="1772"/>
      <c r="AT238" s="1772"/>
      <c r="AU238" s="862">
        <f>_xlfn.IFERROR(AU243/AU179,0)*1000</f>
        <v>0</v>
      </c>
      <c r="AV238" s="1772"/>
      <c r="AW238" s="1772"/>
      <c r="AX238" s="862">
        <f>_xlfn.IFERROR(AX243/AX179,0)*1000</f>
        <v>0</v>
      </c>
      <c r="AY238" s="1772"/>
      <c r="AZ238" s="1772"/>
      <c r="BA238" s="862">
        <f>_xlfn.IFERROR(BA243/BA179,0)*1000</f>
        <v>0</v>
      </c>
      <c r="BB238" s="1772"/>
      <c r="BC238" s="1772"/>
      <c r="BD238" s="862">
        <f>_xlfn.IFERROR(BD243/BD179,0)*1000</f>
        <v>0</v>
      </c>
      <c r="BE238" s="1772"/>
      <c r="BF238" s="1772"/>
      <c r="BG238" s="862">
        <f>_xlfn.IFERROR(BG243/BG179,0)*1000</f>
        <v>0</v>
      </c>
      <c r="BH238" s="1772"/>
      <c r="BI238" s="1772"/>
      <c r="BJ238" s="862">
        <f>_xlfn.IFERROR(BJ243/BJ179,0)*1000</f>
        <v>0</v>
      </c>
      <c r="BK238" s="1772"/>
      <c r="BL238" s="1772"/>
      <c r="BM238" s="862">
        <f>_xlfn.IFERROR(BM243/BM179,0)*1000</f>
        <v>0</v>
      </c>
      <c r="BN238" s="1772"/>
      <c r="BO238" s="1772"/>
      <c r="BP238" s="862">
        <f>_xlfn.IFERROR(BP243/BP179,0)*1000</f>
        <v>0</v>
      </c>
      <c r="BQ238" s="979"/>
      <c r="BR238" s="979"/>
      <c r="BS238" s="862">
        <f>_xlfn.IFERROR(BS243/BS179,0)*1000</f>
        <v>0</v>
      </c>
      <c r="BT238" s="1772"/>
      <c r="BU238" s="1772"/>
      <c r="BV238" s="862">
        <f>_xlfn.IFERROR(BV243/BV179,0)*1000</f>
        <v>0</v>
      </c>
      <c r="BW238" s="1772"/>
      <c r="BX238" s="1772"/>
      <c r="BY238" s="862">
        <f>_xlfn.IFERROR(BY243/BY179,0)*1000</f>
        <v>0</v>
      </c>
      <c r="BZ238" s="1772"/>
      <c r="CA238" s="1772"/>
      <c r="CB238" s="862">
        <f>_xlfn.IFERROR(CB243/CB179,0)*1000</f>
        <v>0</v>
      </c>
      <c r="CC238" s="1772"/>
      <c r="CD238" s="1772"/>
      <c r="CE238" s="862">
        <f>_xlfn.IFERROR(CE243/CE179,0)*1000</f>
        <v>0</v>
      </c>
      <c r="CF238" s="1772"/>
      <c r="CG238" s="1772"/>
      <c r="CH238" s="862">
        <f>_xlfn.IFERROR(CH243/CH179,0)*1000</f>
        <v>0</v>
      </c>
      <c r="CI238" s="1772"/>
      <c r="CJ238" s="1772"/>
      <c r="CK238" s="862">
        <f>_xlfn.IFERROR(CK243/CK179,0)*1000</f>
        <v>0</v>
      </c>
      <c r="CL238" s="1772"/>
      <c r="CM238" s="1772"/>
      <c r="CN238" s="862">
        <f>_xlfn.IFERROR(CN243/CN179,0)*1000</f>
        <v>0</v>
      </c>
      <c r="CO238" s="1772"/>
      <c r="CP238" s="1772"/>
      <c r="CQ238" s="862">
        <f>_xlfn.IFERROR(CQ243/CQ179,0)*1000</f>
        <v>0</v>
      </c>
      <c r="CR238" s="1772"/>
      <c r="CS238" s="1772"/>
      <c r="CT238" s="1719"/>
      <c r="CU238" s="0"/>
      <c r="CV238" s="1632"/>
      <c r="CW238" s="1173" t="s">
        <v>856</v>
      </c>
      <c r="CX238" s="1178" t="s">
        <v>792</v>
      </c>
      <c r="CY238" s="1182" cm="1" t="str">
        <f t="array" ref="CY238:CY238">AE238</f>
        <v>Уголь длиннопламенный</v>
      </c>
      <c r="CZ238" s="1182" cm="1" t="str">
        <f t="array" ref="CZ238:CZ238">AF238</f>
        <v/>
      </c>
      <c r="DA238" s="1179"/>
      <c r="DB238" s="1179"/>
    </row>
    <row s="1632" customFormat="1" customHeight="1" ht="15" hidden="1">
      <c r="A239" s="1443"/>
      <c r="B239" s="927"/>
      <c r="C239" s="1443"/>
      <c r="D239" s="1443"/>
      <c r="E239" s="797">
        <v>0</v>
      </c>
      <c r="F239" s="922" cm="1" t="str">
        <f t="array" ref="F239:F239">OFFSET(G239,-1,-1)</f>
        <v>1</v>
      </c>
      <c r="G239" s="965"/>
      <c r="H239" s="965"/>
      <c r="I239" s="965"/>
      <c r="J239" s="965"/>
      <c r="K239" s="965"/>
      <c r="L239" s="922" cm="1" t="str">
        <f t="array" ref="L239:L239">OFFSET(M239,-1,-1)</f>
        <v>false</v>
      </c>
      <c r="M239" s="965"/>
      <c r="N239" s="965"/>
      <c r="O239" s="965"/>
      <c r="P239" s="965"/>
      <c r="Q239" s="965"/>
      <c r="R239" s="1443"/>
      <c r="S239" s="159" cm="1" t="str">
        <f t="array" ref="S239:S239">OFFSET(T239,-1,-1)</f>
        <v>true</v>
      </c>
      <c r="T239" s="1443"/>
      <c r="U239" s="819">
        <f>AND(S239,IF(ISBLANK(T239),TRUE,T239))</f>
        <v>1</v>
      </c>
      <c r="V239" s="1443"/>
      <c r="W239" s="1443"/>
      <c r="X239" s="973" t="str">
        <f>"{                  
         funcDyn: 'msg1',
         blok: 'blok_2',
         wsCross: 'Топливо 4.4',
         linkFormula: 'AE-AE#AF-AF',
         levelDyn: "&amp;Y139&amp;"
}"</f>
        <v>{                  
         funcDyn: 'msg1',
         blok: 'blok_2',
         wsCross: 'Топливо 4.4',
         linkFormula: 'AE-AE#AF-AF',
         levelDyn: 1
}</v>
      </c>
      <c r="Y239" s="1443"/>
      <c r="Z239" s="1443"/>
      <c r="AA239" s="820"/>
      <c r="AB239" s="1486"/>
      <c r="AC239" s="0"/>
      <c r="AD239" s="976"/>
      <c r="AE239" s="975" t="s">
        <v>236</v>
      </c>
      <c r="AF239" s="874"/>
      <c r="AG239" s="859"/>
      <c r="AH239" s="861"/>
      <c r="AI239" s="863"/>
      <c r="AJ239" s="863"/>
      <c r="AK239" s="863"/>
      <c r="AL239" s="863"/>
      <c r="AM239" s="863"/>
      <c r="AN239" s="863"/>
      <c r="AO239" s="863"/>
      <c r="AP239" s="863"/>
      <c r="AQ239" s="863"/>
      <c r="AR239" s="863"/>
      <c r="AS239" s="863"/>
      <c r="AT239" s="863"/>
      <c r="AU239" s="863"/>
      <c r="AV239" s="863"/>
      <c r="AW239" s="863"/>
      <c r="AX239" s="863"/>
      <c r="AY239" s="863"/>
      <c r="AZ239" s="863"/>
      <c r="BA239" s="863"/>
      <c r="BB239" s="863"/>
      <c r="BC239" s="863"/>
      <c r="BD239" s="863"/>
      <c r="BE239" s="863"/>
      <c r="BF239" s="863"/>
      <c r="BG239" s="863"/>
      <c r="BH239" s="863"/>
      <c r="BI239" s="863"/>
      <c r="BJ239" s="863"/>
      <c r="BK239" s="863"/>
      <c r="BL239" s="863"/>
      <c r="BM239" s="863"/>
      <c r="BN239" s="863"/>
      <c r="BO239" s="863"/>
      <c r="BP239" s="863"/>
      <c r="BQ239" s="863"/>
      <c r="BR239" s="863"/>
      <c r="BS239" s="863"/>
      <c r="BT239" s="863"/>
      <c r="BU239" s="863"/>
      <c r="BV239" s="863"/>
      <c r="BW239" s="863"/>
      <c r="BX239" s="863"/>
      <c r="BY239" s="863"/>
      <c r="BZ239" s="863"/>
      <c r="CA239" s="863"/>
      <c r="CB239" s="863"/>
      <c r="CC239" s="863"/>
      <c r="CD239" s="863"/>
      <c r="CE239" s="863"/>
      <c r="CF239" s="863"/>
      <c r="CG239" s="863"/>
      <c r="CH239" s="863"/>
      <c r="CI239" s="863"/>
      <c r="CJ239" s="863"/>
      <c r="CK239" s="863"/>
      <c r="CL239" s="863"/>
      <c r="CM239" s="863"/>
      <c r="CN239" s="863"/>
      <c r="CO239" s="863"/>
      <c r="CP239" s="863"/>
      <c r="CQ239" s="863"/>
      <c r="CR239" s="863"/>
      <c r="CS239" s="863"/>
      <c r="CT239" s="91"/>
      <c r="CU239" s="0"/>
      <c r="CV239" s="1632"/>
      <c r="CW239" s="1173" t="str">
        <f>IF(AND(ISNUMBER(VALUE(TRIM(SUBSTITUTE(AD239,".","")))),TRIM(SUBSTITUTE(AD239,".",""))&lt;&gt;""),"P"&amp;SUBSTITUTE(AD239,".",""),"")</f>
        <v/>
      </c>
      <c r="CX239" s="1178"/>
      <c r="CY239" s="1178"/>
      <c r="CZ239" s="1178"/>
      <c r="DA239" s="1179"/>
      <c r="DB239" s="1179"/>
    </row>
    <row s="1632" customFormat="1" customHeight="1" ht="16.5">
      <c r="A240" s="1443"/>
      <c r="B240" s="927"/>
      <c r="C240" s="1443"/>
      <c r="D240" s="1443"/>
      <c r="E240" s="797">
        <v>17.1</v>
      </c>
      <c r="F240" s="922" cm="1" t="str">
        <f t="array" ref="F240:F240">OFFSET(G240,-1,-1)</f>
        <v>1</v>
      </c>
      <c r="G240" s="965"/>
      <c r="H240" s="965"/>
      <c r="I240" s="965"/>
      <c r="J240" s="965"/>
      <c r="K240" s="965"/>
      <c r="L240" s="922" cm="1" t="str">
        <f t="array" ref="L240:L240">OFFSET(M240,-1,-1)</f>
        <v>false</v>
      </c>
      <c r="M240" s="965"/>
      <c r="N240" s="965"/>
      <c r="O240" s="965"/>
      <c r="P240" s="965"/>
      <c r="Q240" s="965"/>
      <c r="R240" s="1443"/>
      <c r="S240" s="159" cm="1" t="str">
        <f t="array" ref="S240:S240">OFFSET(T240,-1,-1)</f>
        <v>true</v>
      </c>
      <c r="T240" s="1443"/>
      <c r="U240" s="819">
        <f>AND(S240,IF(ISBLANK(T240),TRUE,T240))</f>
        <v>1</v>
      </c>
      <c r="V240" s="1443"/>
      <c r="W240" s="1443"/>
      <c r="X240" s="1443"/>
      <c r="Y240" s="1443"/>
      <c r="Z240" s="1443"/>
      <c r="AA240" s="820"/>
      <c r="AB240" s="1486"/>
      <c r="AC240" s="0"/>
      <c r="AD240" s="173" t="s">
        <v>858</v>
      </c>
      <c r="AE240" s="1497" t="s">
        <v>859</v>
      </c>
      <c r="AF240" s="323"/>
      <c r="AG240" s="859" t="s">
        <v>810</v>
      </c>
      <c r="AH240" s="860">
        <f>SUM(AH242:AH244)</f>
        <v>0</v>
      </c>
      <c r="AI240" s="860">
        <f>SUM(AI242:AI244)</f>
        <v>0</v>
      </c>
      <c r="AJ240" s="860">
        <f>SUM(AJ242:AJ244)</f>
        <v>0</v>
      </c>
      <c r="AK240" s="860">
        <f>SUM(AK242:AK244)</f>
        <v>0</v>
      </c>
      <c r="AL240" s="860">
        <f>SUM(AL242:AL244)</f>
        <v>0</v>
      </c>
      <c r="AM240" s="860">
        <f>SUM(AM242:AM244)</f>
        <v>0</v>
      </c>
      <c r="AN240" s="860">
        <f>SUM(AN242:AN244)</f>
        <v>0</v>
      </c>
      <c r="AO240" s="860">
        <f>SUM(AO242:AO244)</f>
        <v>0</v>
      </c>
      <c r="AP240" s="860">
        <f>SUM(AP242:AP244)</f>
        <v>0</v>
      </c>
      <c r="AQ240" s="860">
        <f>SUM(AQ242:AQ244)</f>
        <v>0</v>
      </c>
      <c r="AR240" s="860">
        <f>SUM(AR242:AR244)</f>
        <v>0</v>
      </c>
      <c r="AS240" s="860">
        <f>SUM(AS242:AS244)</f>
        <v>0</v>
      </c>
      <c r="AT240" s="860">
        <f>SUM(AT242:AT244)</f>
        <v>0</v>
      </c>
      <c r="AU240" s="860">
        <f>SUM(AU242:AU244)</f>
        <v>0</v>
      </c>
      <c r="AV240" s="860">
        <f>SUM(AV242:AV244)</f>
        <v>0</v>
      </c>
      <c r="AW240" s="860">
        <f>SUM(AW242:AW244)</f>
        <v>0</v>
      </c>
      <c r="AX240" s="860">
        <f>SUM(AX242:AX244)</f>
        <v>0</v>
      </c>
      <c r="AY240" s="860">
        <f>SUM(AY242:AY244)</f>
        <v>0</v>
      </c>
      <c r="AZ240" s="860">
        <f>SUM(AZ242:AZ244)</f>
        <v>0</v>
      </c>
      <c r="BA240" s="860">
        <f>SUM(BA242:BA244)</f>
        <v>0</v>
      </c>
      <c r="BB240" s="860">
        <f>SUM(BB242:BB244)</f>
        <v>0</v>
      </c>
      <c r="BC240" s="860">
        <f>SUM(BC242:BC244)</f>
        <v>0</v>
      </c>
      <c r="BD240" s="860">
        <f>SUM(BD242:BD244)</f>
        <v>0</v>
      </c>
      <c r="BE240" s="860">
        <f>SUM(BE242:BE244)</f>
        <v>0</v>
      </c>
      <c r="BF240" s="860">
        <f>SUM(BF242:BF244)</f>
        <v>0</v>
      </c>
      <c r="BG240" s="860">
        <f>SUM(BG242:BG244)</f>
        <v>0</v>
      </c>
      <c r="BH240" s="860">
        <f>SUM(BH242:BH244)</f>
        <v>0</v>
      </c>
      <c r="BI240" s="860">
        <f>SUM(BI242:BI244)</f>
        <v>0</v>
      </c>
      <c r="BJ240" s="860">
        <f>SUM(BJ242:BJ244)</f>
        <v>0</v>
      </c>
      <c r="BK240" s="860">
        <f>SUM(BK242:BK244)</f>
        <v>0</v>
      </c>
      <c r="BL240" s="860">
        <f>SUM(BL242:BL244)</f>
        <v>0</v>
      </c>
      <c r="BM240" s="860">
        <f>SUM(BM242:BM244)</f>
        <v>0</v>
      </c>
      <c r="BN240" s="860">
        <f>SUM(BN242:BN244)</f>
        <v>0</v>
      </c>
      <c r="BO240" s="860">
        <f>SUM(BO242:BO244)</f>
        <v>0</v>
      </c>
      <c r="BP240" s="860">
        <f>SUM(BP242:BP244)</f>
        <v>0</v>
      </c>
      <c r="BQ240" s="860">
        <f>SUM(BQ242:BQ244)</f>
        <v>0</v>
      </c>
      <c r="BR240" s="860">
        <f>SUM(BR242:BR244)</f>
        <v>0</v>
      </c>
      <c r="BS240" s="860">
        <f>SUM(BS242:BS244)</f>
        <v>0</v>
      </c>
      <c r="BT240" s="860">
        <f>SUM(BT242:BT244)</f>
        <v>0</v>
      </c>
      <c r="BU240" s="860">
        <f>SUM(BU242:BU244)</f>
        <v>0</v>
      </c>
      <c r="BV240" s="860">
        <f>SUM(BV242:BV244)</f>
        <v>0</v>
      </c>
      <c r="BW240" s="860">
        <f>SUM(BW242:BW244)</f>
        <v>0</v>
      </c>
      <c r="BX240" s="860">
        <f>SUM(BX242:BX244)</f>
        <v>0</v>
      </c>
      <c r="BY240" s="860">
        <f>SUM(BY242:BY244)</f>
        <v>0</v>
      </c>
      <c r="BZ240" s="860">
        <f>SUM(BZ242:BZ244)</f>
        <v>0</v>
      </c>
      <c r="CA240" s="860">
        <f>SUM(CA242:CA244)</f>
        <v>0</v>
      </c>
      <c r="CB240" s="860">
        <f>SUM(CB242:CB244)</f>
        <v>0</v>
      </c>
      <c r="CC240" s="860">
        <f>SUM(CC242:CC244)</f>
        <v>0</v>
      </c>
      <c r="CD240" s="860">
        <f>SUM(CD242:CD244)</f>
        <v>0</v>
      </c>
      <c r="CE240" s="860">
        <f>SUM(CE242:CE244)</f>
        <v>0</v>
      </c>
      <c r="CF240" s="860">
        <f>SUM(CF242:CF244)</f>
        <v>0</v>
      </c>
      <c r="CG240" s="860">
        <f>SUM(CG242:CG244)</f>
        <v>0</v>
      </c>
      <c r="CH240" s="860">
        <f>SUM(CH242:CH244)</f>
        <v>0</v>
      </c>
      <c r="CI240" s="860">
        <f>SUM(CI242:CI244)</f>
        <v>0</v>
      </c>
      <c r="CJ240" s="860">
        <f>SUM(CJ242:CJ244)</f>
        <v>0</v>
      </c>
      <c r="CK240" s="860">
        <f>SUM(CK242:CK244)</f>
        <v>0</v>
      </c>
      <c r="CL240" s="860">
        <f>SUM(CL242:CL244)</f>
        <v>0</v>
      </c>
      <c r="CM240" s="860">
        <f>SUM(CM242:CM244)</f>
        <v>0</v>
      </c>
      <c r="CN240" s="860">
        <f>SUM(CN242:CN244)</f>
        <v>0</v>
      </c>
      <c r="CO240" s="860">
        <f>SUM(CO242:CO244)</f>
        <v>0</v>
      </c>
      <c r="CP240" s="860">
        <f>SUM(CP242:CP244)</f>
        <v>0</v>
      </c>
      <c r="CQ240" s="860">
        <f>SUM(CQ242:CQ244)</f>
        <v>0</v>
      </c>
      <c r="CR240" s="860">
        <f>SUM(CR242:CR244)</f>
        <v>0</v>
      </c>
      <c r="CS240" s="860">
        <f>SUM(CS242:CS244)</f>
        <v>0</v>
      </c>
      <c r="CT240" s="1719"/>
      <c r="CU240" s="0"/>
      <c r="CV240" s="1632"/>
      <c r="CW240" s="1173" t="s">
        <v>860</v>
      </c>
      <c r="CX240" s="1178"/>
      <c r="CY240" s="1178"/>
      <c r="CZ240" s="1178"/>
      <c r="DA240" s="1179"/>
      <c r="DB240" s="1179"/>
    </row>
    <row s="1632" customFormat="1" customHeight="1" ht="16.5" hidden="1">
      <c r="A241" s="1443"/>
      <c r="B241" s="927"/>
      <c r="C241" s="1443"/>
      <c r="D241" s="1443"/>
      <c r="E241" s="797">
        <v>17.1</v>
      </c>
      <c r="F241" s="922" cm="1" t="str">
        <f t="array" ref="F241:F241">OFFSET(G241,-1,-1)</f>
        <v>1</v>
      </c>
      <c r="G241" s="965"/>
      <c r="H241" s="965"/>
      <c r="I241" s="965"/>
      <c r="J241" s="965"/>
      <c r="K241" s="965"/>
      <c r="L241" s="922" cm="1" t="str">
        <f t="array" ref="L241:L241">OFFSET(M241,-1,-1)</f>
        <v>false</v>
      </c>
      <c r="M241" s="965"/>
      <c r="N241" s="965"/>
      <c r="O241" s="965"/>
      <c r="P241" s="965"/>
      <c r="Q241" s="965"/>
      <c r="R241" s="922" t="s">
        <v>730</v>
      </c>
      <c r="S241" s="159" cm="1" t="str">
        <f t="array" ref="S241:S241">OFFSET(T241,-1,-1)</f>
        <v>true</v>
      </c>
      <c r="T241" s="922" t="b">
        <v>0</v>
      </c>
      <c r="U241" s="819">
        <f>AND(S241,IF(ISBLANK(T241),TRUE,T241))</f>
        <v>0</v>
      </c>
      <c r="V241" s="1443"/>
      <c r="W241" s="1443"/>
      <c r="X241" s="1443"/>
      <c r="Y241" s="1443"/>
      <c r="Z241" s="1443"/>
      <c r="AA241" s="820"/>
      <c r="AB241" s="1486"/>
      <c r="AC241" s="0"/>
      <c r="AD241" s="160" t="str">
        <f>AD240&amp;".0"</f>
        <v>36.0</v>
      </c>
      <c r="AE241" s="1349" t="s">
        <v>741</v>
      </c>
      <c r="AF241" s="164"/>
      <c r="AG241" s="859" t="s">
        <v>810</v>
      </c>
      <c r="AH241" s="86">
        <f>AH$163*AH240</f>
        <v>0</v>
      </c>
      <c r="AI241" s="87">
        <f>AI$163*AI240</f>
        <v>0</v>
      </c>
      <c r="AJ241" s="87">
        <f>AJ$163*AJ240</f>
        <v>0</v>
      </c>
      <c r="AK241" s="87">
        <f>AK$163*AK240</f>
        <v>0</v>
      </c>
      <c r="AL241" s="862">
        <f>AM241+AN241</f>
        <v>0</v>
      </c>
      <c r="AM241" s="87">
        <f>AM$163*AM240</f>
        <v>0</v>
      </c>
      <c r="AN241" s="87">
        <f>AN$163*AN240</f>
        <v>0</v>
      </c>
      <c r="AO241" s="862">
        <f>AP241+AQ241</f>
        <v>0</v>
      </c>
      <c r="AP241" s="87">
        <f>AP$163*AP240</f>
        <v>0</v>
      </c>
      <c r="AQ241" s="87">
        <f>AQ$163*AQ240</f>
        <v>0</v>
      </c>
      <c r="AR241" s="862">
        <f>AS241+AT241</f>
        <v>0</v>
      </c>
      <c r="AS241" s="87">
        <f>AS$163*AS240</f>
        <v>0</v>
      </c>
      <c r="AT241" s="87">
        <f>AT$163*AT240</f>
        <v>0</v>
      </c>
      <c r="AU241" s="862">
        <f>AV241+AW241</f>
        <v>0</v>
      </c>
      <c r="AV241" s="87">
        <f>AV$163*AV240</f>
        <v>0</v>
      </c>
      <c r="AW241" s="87">
        <f>AW$163*AW240</f>
        <v>0</v>
      </c>
      <c r="AX241" s="862">
        <f>AY241+AZ241</f>
        <v>0</v>
      </c>
      <c r="AY241" s="87">
        <f>AY$163*AY240</f>
        <v>0</v>
      </c>
      <c r="AZ241" s="87">
        <f>AZ$163*AZ240</f>
        <v>0</v>
      </c>
      <c r="BA241" s="862">
        <f>BB241+BC241</f>
        <v>0</v>
      </c>
      <c r="BB241" s="87">
        <f>BB$163*BB240</f>
        <v>0</v>
      </c>
      <c r="BC241" s="87">
        <f>BC$163*BC240</f>
        <v>0</v>
      </c>
      <c r="BD241" s="862">
        <f>BE241+BF241</f>
        <v>0</v>
      </c>
      <c r="BE241" s="87">
        <f>BE$163*BE240</f>
        <v>0</v>
      </c>
      <c r="BF241" s="87">
        <f>BF$163*BF240</f>
        <v>0</v>
      </c>
      <c r="BG241" s="862">
        <f>BH241+BI241</f>
        <v>0</v>
      </c>
      <c r="BH241" s="87">
        <f>BH$163*BH240</f>
        <v>0</v>
      </c>
      <c r="BI241" s="87">
        <f>BI$163*BI240</f>
        <v>0</v>
      </c>
      <c r="BJ241" s="862">
        <f>BK241+BL241</f>
        <v>0</v>
      </c>
      <c r="BK241" s="87">
        <f>BK$163*BK240</f>
        <v>0</v>
      </c>
      <c r="BL241" s="87">
        <f>BL$163*BL240</f>
        <v>0</v>
      </c>
      <c r="BM241" s="862">
        <f>BN241+BO241</f>
        <v>0</v>
      </c>
      <c r="BN241" s="87">
        <f>BN$163*BN240</f>
        <v>0</v>
      </c>
      <c r="BO241" s="87">
        <f>BO$163*BO240</f>
        <v>0</v>
      </c>
      <c r="BP241" s="862">
        <f>BQ241+BR241</f>
        <v>0</v>
      </c>
      <c r="BQ241" s="1772">
        <f>BQ$163*BQ240</f>
        <v>0</v>
      </c>
      <c r="BR241" s="1772">
        <f>BR$163*BR240</f>
        <v>0</v>
      </c>
      <c r="BS241" s="862">
        <f>BT241+BU241</f>
        <v>0</v>
      </c>
      <c r="BT241" s="87">
        <f>BT$163*BT240</f>
        <v>0</v>
      </c>
      <c r="BU241" s="87">
        <f>BU$163*BU240</f>
        <v>0</v>
      </c>
      <c r="BV241" s="862">
        <f>BW241+BX241</f>
        <v>0</v>
      </c>
      <c r="BW241" s="87">
        <f>BW$163*BW240</f>
        <v>0</v>
      </c>
      <c r="BX241" s="87">
        <f>BX$163*BX240</f>
        <v>0</v>
      </c>
      <c r="BY241" s="862">
        <f>BZ241+CA241</f>
        <v>0</v>
      </c>
      <c r="BZ241" s="87">
        <f>BZ$163*BZ240</f>
        <v>0</v>
      </c>
      <c r="CA241" s="87">
        <f>CA$163*CA240</f>
        <v>0</v>
      </c>
      <c r="CB241" s="862">
        <f>CC241+CD241</f>
        <v>0</v>
      </c>
      <c r="CC241" s="87">
        <f>CC$163*CC240</f>
        <v>0</v>
      </c>
      <c r="CD241" s="87">
        <f>CD$163*CD240</f>
        <v>0</v>
      </c>
      <c r="CE241" s="862">
        <f>CF241+CG241</f>
        <v>0</v>
      </c>
      <c r="CF241" s="87">
        <f>CF$163*CF240</f>
        <v>0</v>
      </c>
      <c r="CG241" s="87">
        <f>CG$163*CG240</f>
        <v>0</v>
      </c>
      <c r="CH241" s="862">
        <f>CI241+CJ241</f>
        <v>0</v>
      </c>
      <c r="CI241" s="87">
        <f>CI$163*CI240</f>
        <v>0</v>
      </c>
      <c r="CJ241" s="87">
        <f>CJ$163*CJ240</f>
        <v>0</v>
      </c>
      <c r="CK241" s="862">
        <f>CL241+CM241</f>
        <v>0</v>
      </c>
      <c r="CL241" s="87">
        <f>CL$163*CL240</f>
        <v>0</v>
      </c>
      <c r="CM241" s="87">
        <f>CM$163*CM240</f>
        <v>0</v>
      </c>
      <c r="CN241" s="862">
        <f>CO241+CP241</f>
        <v>0</v>
      </c>
      <c r="CO241" s="87">
        <f>CO$163*CO240</f>
        <v>0</v>
      </c>
      <c r="CP241" s="87">
        <f>CP$163*CP240</f>
        <v>0</v>
      </c>
      <c r="CQ241" s="862">
        <f>CR241+CS241</f>
        <v>0</v>
      </c>
      <c r="CR241" s="87">
        <f>CR$163*CR240</f>
        <v>0</v>
      </c>
      <c r="CS241" s="87">
        <f>CS$163*CS240</f>
        <v>0</v>
      </c>
      <c r="CT241" s="73"/>
      <c r="CU241" s="0"/>
      <c r="CV241" s="1632"/>
      <c r="CW241" s="1173" t="s">
        <v>861</v>
      </c>
      <c r="CX241" s="1178"/>
      <c r="CY241" s="1178"/>
      <c r="CZ241" s="1178"/>
      <c r="DA241" s="1179"/>
      <c r="DB241" s="1179"/>
    </row>
    <row s="1632" customFormat="1" customHeight="1" ht="16.5" hidden="1">
      <c r="E242" s="797">
        <v>17.1</v>
      </c>
      <c r="F242" s="922" cm="1" t="str">
        <f t="array" ref="F242:F242">OFFSET(G242,-1,-1)</f>
        <v>1</v>
      </c>
      <c r="L242" s="922" cm="1" t="str">
        <f t="array" ref="L242:L242">OFFSET(M242,-1,-1)</f>
        <v>false</v>
      </c>
      <c r="S242" s="159" cm="1" t="str">
        <f t="array" ref="S242:S242">OFFSET(T242,-1,-1)</f>
        <v>true</v>
      </c>
      <c r="T242" s="159">
        <f>AD242&lt;&gt;"36.0"</f>
        <v>0</v>
      </c>
      <c r="U242" s="819">
        <f>AND(S242,IF(ISBLANK(T242),TRUE,T242))</f>
        <v>0</v>
      </c>
      <c r="X242" s="159" t="s">
        <v>234</v>
      </c>
      <c r="AB242" s="1486"/>
      <c r="AD242" s="160" t="s">
        <v>862</v>
      </c>
      <c r="AE242" s="974"/>
      <c r="AF242" s="625"/>
      <c r="AG242" s="859" t="s">
        <v>810</v>
      </c>
      <c r="AH242" s="86"/>
      <c r="AI242" s="87"/>
      <c r="AJ242" s="87"/>
      <c r="AK242" s="87"/>
      <c r="AL242" s="862">
        <f>AM242+AN242</f>
        <v>0</v>
      </c>
      <c r="AM242" s="87">
        <f>AM237*AM178/1000</f>
        <v>0</v>
      </c>
      <c r="AN242" s="87">
        <f>AN237*AN178/1000</f>
        <v>0</v>
      </c>
      <c r="AO242" s="862">
        <f>AP242+AQ242</f>
        <v>0</v>
      </c>
      <c r="AP242" s="87">
        <f>AP237*AP178/1000</f>
        <v>0</v>
      </c>
      <c r="AQ242" s="87">
        <f>AQ237*AQ178/1000</f>
        <v>0</v>
      </c>
      <c r="AR242" s="862">
        <f>AS242+AT242</f>
        <v>0</v>
      </c>
      <c r="AS242" s="87">
        <f>AS237*AS178/1000</f>
        <v>0</v>
      </c>
      <c r="AT242" s="87">
        <f>AT237*AT178/1000</f>
        <v>0</v>
      </c>
      <c r="AU242" s="862">
        <f>AV242+AW242</f>
        <v>0</v>
      </c>
      <c r="AV242" s="87">
        <f>AV237*AV178/1000</f>
        <v>0</v>
      </c>
      <c r="AW242" s="87">
        <f>AW237*AW178/1000</f>
        <v>0</v>
      </c>
      <c r="AX242" s="862">
        <f>AY242+AZ242</f>
        <v>0</v>
      </c>
      <c r="AY242" s="87">
        <f>AY237*AY178/1000</f>
        <v>0</v>
      </c>
      <c r="AZ242" s="87">
        <f>AZ237*AZ178/1000</f>
        <v>0</v>
      </c>
      <c r="BA242" s="862">
        <f>BB242+BC242</f>
        <v>0</v>
      </c>
      <c r="BB242" s="87">
        <f>BB237*BB178/1000</f>
        <v>0</v>
      </c>
      <c r="BC242" s="87">
        <f>BC237*BC178/1000</f>
        <v>0</v>
      </c>
      <c r="BD242" s="862">
        <f>BE242+BF242</f>
        <v>0</v>
      </c>
      <c r="BE242" s="87">
        <f>BE237*BE178/1000</f>
        <v>0</v>
      </c>
      <c r="BF242" s="87">
        <f>BF237*BF178/1000</f>
        <v>0</v>
      </c>
      <c r="BG242" s="862">
        <f>BH242+BI242</f>
        <v>0</v>
      </c>
      <c r="BH242" s="87">
        <f>BH237*BH178/1000</f>
        <v>0</v>
      </c>
      <c r="BI242" s="87">
        <f>BI237*BI178/1000</f>
        <v>0</v>
      </c>
      <c r="BJ242" s="862">
        <f>BK242+BL242</f>
        <v>0</v>
      </c>
      <c r="BK242" s="87">
        <f>BK237*BK178/1000</f>
        <v>0</v>
      </c>
      <c r="BL242" s="87">
        <f>BL237*BL178/1000</f>
        <v>0</v>
      </c>
      <c r="BM242" s="862">
        <f>BN242+BO242</f>
        <v>0</v>
      </c>
      <c r="BN242" s="87">
        <f>BN237*BN178/1000</f>
        <v>0</v>
      </c>
      <c r="BO242" s="87">
        <f>BO237*BO178/1000</f>
        <v>0</v>
      </c>
      <c r="BP242" s="862">
        <f>BQ242+BR242</f>
        <v>0</v>
      </c>
      <c r="BQ242" s="979">
        <f>BQ237*BQ178/1000</f>
        <v>0</v>
      </c>
      <c r="BR242" s="979">
        <f>BR237*BR178/1000</f>
        <v>0</v>
      </c>
      <c r="BS242" s="862">
        <f>BT242+BU242</f>
        <v>0</v>
      </c>
      <c r="BT242" s="87">
        <f>BT237*BT178/1000</f>
        <v>0</v>
      </c>
      <c r="BU242" s="87">
        <f>BU237*BU178/1000</f>
        <v>0</v>
      </c>
      <c r="BV242" s="862">
        <f>BW242+BX242</f>
        <v>0</v>
      </c>
      <c r="BW242" s="87">
        <f>BW237*BW178/1000</f>
        <v>0</v>
      </c>
      <c r="BX242" s="87">
        <f>BX237*BX178/1000</f>
        <v>0</v>
      </c>
      <c r="BY242" s="862">
        <f>BZ242+CA242</f>
        <v>0</v>
      </c>
      <c r="BZ242" s="87">
        <f>BZ237*BZ178/1000</f>
        <v>0</v>
      </c>
      <c r="CA242" s="87">
        <f>CA237*CA178/1000</f>
        <v>0</v>
      </c>
      <c r="CB242" s="862">
        <f>CC242+CD242</f>
        <v>0</v>
      </c>
      <c r="CC242" s="87">
        <f>CC237*CC178/1000</f>
        <v>0</v>
      </c>
      <c r="CD242" s="87">
        <f>CD237*CD178/1000</f>
        <v>0</v>
      </c>
      <c r="CE242" s="862">
        <f>CF242+CG242</f>
        <v>0</v>
      </c>
      <c r="CF242" s="87">
        <f>CF237*CF178/1000</f>
        <v>0</v>
      </c>
      <c r="CG242" s="87">
        <f>CG237*CG178/1000</f>
        <v>0</v>
      </c>
      <c r="CH242" s="862">
        <f>CI242+CJ242</f>
        <v>0</v>
      </c>
      <c r="CI242" s="87">
        <f>CI237*CI178/1000</f>
        <v>0</v>
      </c>
      <c r="CJ242" s="87">
        <f>CJ237*CJ178/1000</f>
        <v>0</v>
      </c>
      <c r="CK242" s="862">
        <f>CL242+CM242</f>
        <v>0</v>
      </c>
      <c r="CL242" s="87">
        <f>CL237*CL178/1000</f>
        <v>0</v>
      </c>
      <c r="CM242" s="87">
        <f>CM237*CM178/1000</f>
        <v>0</v>
      </c>
      <c r="CN242" s="862">
        <f>CO242+CP242</f>
        <v>0</v>
      </c>
      <c r="CO242" s="87">
        <f>CO237*CO178/1000</f>
        <v>0</v>
      </c>
      <c r="CP242" s="87">
        <f>CP237*CP178/1000</f>
        <v>0</v>
      </c>
      <c r="CQ242" s="862">
        <f>CR242+CS242</f>
        <v>0</v>
      </c>
      <c r="CR242" s="87">
        <f>CR237*CR178/1000</f>
        <v>0</v>
      </c>
      <c r="CS242" s="87">
        <f>CS237*CS178/1000</f>
        <v>0</v>
      </c>
      <c r="CT242" s="73"/>
      <c r="CW242" s="1173" t="s">
        <v>861</v>
      </c>
      <c r="CX242" s="1178" t="s">
        <v>792</v>
      </c>
      <c r="CY242" s="1182" cm="1" t="str">
        <f t="array" ref="CY242:CY242">AE242</f>
        <v>0</v>
      </c>
      <c r="CZ242" s="1182" cm="1" t="str">
        <f t="array" ref="CZ242:CZ242">AF242</f>
        <v>0</v>
      </c>
      <c r="DA242" s="1179"/>
      <c r="DB242" s="1179"/>
    </row>
    <row s="1632" customFormat="1" customHeight="1" ht="16.5">
      <c r="A243" s="1632"/>
      <c r="B243" s="1632"/>
      <c r="C243" s="1632"/>
      <c r="D243" s="1632"/>
      <c r="E243" s="797">
        <v>17.1</v>
      </c>
      <c r="F243" s="922" cm="1" t="str">
        <f t="array" ref="F243:F243">OFFSET(G243,-1,-1)</f>
        <v>1</v>
      </c>
      <c r="G243" s="1632"/>
      <c r="H243" s="1632"/>
      <c r="I243" s="1632"/>
      <c r="J243" s="1632"/>
      <c r="K243" s="1632"/>
      <c r="L243" s="922" cm="1" t="str">
        <f t="array" ref="L243:L243">OFFSET(M243,-1,-1)</f>
        <v>false</v>
      </c>
      <c r="M243" s="1632"/>
      <c r="N243" s="1632"/>
      <c r="O243" s="1632"/>
      <c r="P243" s="1632"/>
      <c r="Q243" s="1632"/>
      <c r="R243" s="1632"/>
      <c r="S243" s="159" cm="1" t="str">
        <f t="array" ref="S243:S243">OFFSET(T243,-1,-1)</f>
        <v>true</v>
      </c>
      <c r="T243" s="159">
        <f>AD243&lt;&gt;"36.0"</f>
        <v>1</v>
      </c>
      <c r="U243" s="819">
        <f>AND(S243,IF(ISBLANK(T243),TRUE,T243))</f>
        <v>1</v>
      </c>
      <c r="V243" s="1632"/>
      <c r="W243" s="1632"/>
      <c r="X243" s="159" t="str">
        <f>'Топливо 4.4'!$AE$238&amp;'Топливо 4.4'!$AF$238</f>
        <v>Уголь длиннопламенный</v>
      </c>
      <c r="Y243" s="1632"/>
      <c r="Z243" s="1632"/>
      <c r="AA243" s="1632"/>
      <c r="AB243" s="1486"/>
      <c r="AC243" s="0"/>
      <c r="AD243" s="160" t="s">
        <v>920</v>
      </c>
      <c r="AE243" s="974" cm="1" t="str">
        <f t="array" ref="AE243:AE243">IF(ISBLANK('Топливо 4.4'!$AE$238),"",'Топливо 4.4'!$AE$238)</f>
        <v>Уголь длиннопламенный</v>
      </c>
      <c r="AF243" s="625" cm="1" t="str">
        <f t="array" ref="AF243:AF243">IF(ISBLANK('Топливо 4.4'!$AF$238),"",'Топливо 4.4'!$AF$238)</f>
        <v/>
      </c>
      <c r="AG243" s="859" t="s">
        <v>810</v>
      </c>
      <c r="AH243" s="1791"/>
      <c r="AI243" s="1772"/>
      <c r="AJ243" s="1772"/>
      <c r="AK243" s="1772"/>
      <c r="AL243" s="862">
        <f>AM243+AN243</f>
        <v>0</v>
      </c>
      <c r="AM243" s="1772">
        <f>AM238*AM179/1000</f>
        <v>0</v>
      </c>
      <c r="AN243" s="1772">
        <f>AN238*AN179/1000</f>
        <v>0</v>
      </c>
      <c r="AO243" s="862">
        <f>AP243+AQ243</f>
        <v>0</v>
      </c>
      <c r="AP243" s="1772">
        <f>AP238*AP179/1000</f>
        <v>0</v>
      </c>
      <c r="AQ243" s="1772">
        <f>AQ238*AQ179/1000</f>
        <v>0</v>
      </c>
      <c r="AR243" s="862">
        <f>AS243+AT243</f>
        <v>0</v>
      </c>
      <c r="AS243" s="1772">
        <f>AS238*AS179/1000</f>
        <v>0</v>
      </c>
      <c r="AT243" s="1772">
        <f>AT238*AT179/1000</f>
        <v>0</v>
      </c>
      <c r="AU243" s="862">
        <f>AV243+AW243</f>
        <v>0</v>
      </c>
      <c r="AV243" s="1772">
        <f>AV238*AV179/1000</f>
        <v>0</v>
      </c>
      <c r="AW243" s="1772">
        <f>AW238*AW179/1000</f>
        <v>0</v>
      </c>
      <c r="AX243" s="862">
        <f>AY243+AZ243</f>
        <v>0</v>
      </c>
      <c r="AY243" s="1772">
        <f>AY238*AY179/1000</f>
        <v>0</v>
      </c>
      <c r="AZ243" s="1772">
        <f>AZ238*AZ179/1000</f>
        <v>0</v>
      </c>
      <c r="BA243" s="862">
        <f>BB243+BC243</f>
        <v>0</v>
      </c>
      <c r="BB243" s="1772">
        <f>BB238*BB179/1000</f>
        <v>0</v>
      </c>
      <c r="BC243" s="1772">
        <f>BC238*BC179/1000</f>
        <v>0</v>
      </c>
      <c r="BD243" s="862">
        <f>BE243+BF243</f>
        <v>0</v>
      </c>
      <c r="BE243" s="1772">
        <f>BE238*BE179/1000</f>
        <v>0</v>
      </c>
      <c r="BF243" s="1772">
        <f>BF238*BF179/1000</f>
        <v>0</v>
      </c>
      <c r="BG243" s="862">
        <f>BH243+BI243</f>
        <v>0</v>
      </c>
      <c r="BH243" s="1772">
        <f>BH238*BH179/1000</f>
        <v>0</v>
      </c>
      <c r="BI243" s="1772">
        <f>BI238*BI179/1000</f>
        <v>0</v>
      </c>
      <c r="BJ243" s="862">
        <f>BK243+BL243</f>
        <v>0</v>
      </c>
      <c r="BK243" s="1772">
        <f>BK238*BK179/1000</f>
        <v>0</v>
      </c>
      <c r="BL243" s="1772">
        <f>BL238*BL179/1000</f>
        <v>0</v>
      </c>
      <c r="BM243" s="862">
        <f>BN243+BO243</f>
        <v>0</v>
      </c>
      <c r="BN243" s="1772">
        <f>BN238*BN179/1000</f>
        <v>0</v>
      </c>
      <c r="BO243" s="1772">
        <f>BO238*BO179/1000</f>
        <v>0</v>
      </c>
      <c r="BP243" s="862">
        <f>BQ243+BR243</f>
        <v>0</v>
      </c>
      <c r="BQ243" s="979">
        <f>BQ238*BQ179/1000</f>
        <v>0</v>
      </c>
      <c r="BR243" s="979">
        <f>BR238*BR179/1000</f>
        <v>0</v>
      </c>
      <c r="BS243" s="862">
        <f>BT243+BU243</f>
        <v>0</v>
      </c>
      <c r="BT243" s="1772">
        <f>BT238*BT179/1000</f>
        <v>0</v>
      </c>
      <c r="BU243" s="1772">
        <f>BU238*BU179/1000</f>
        <v>0</v>
      </c>
      <c r="BV243" s="862">
        <f>BW243+BX243</f>
        <v>0</v>
      </c>
      <c r="BW243" s="1772">
        <f>BW238*BW179/1000</f>
        <v>0</v>
      </c>
      <c r="BX243" s="1772">
        <f>BX238*BX179/1000</f>
        <v>0</v>
      </c>
      <c r="BY243" s="862">
        <f>BZ243+CA243</f>
        <v>0</v>
      </c>
      <c r="BZ243" s="1772">
        <f>BZ238*BZ179/1000</f>
        <v>0</v>
      </c>
      <c r="CA243" s="1772">
        <f>CA238*CA179/1000</f>
        <v>0</v>
      </c>
      <c r="CB243" s="862">
        <f>CC243+CD243</f>
        <v>0</v>
      </c>
      <c r="CC243" s="1772">
        <f>CC238*CC179/1000</f>
        <v>0</v>
      </c>
      <c r="CD243" s="1772">
        <f>CD238*CD179/1000</f>
        <v>0</v>
      </c>
      <c r="CE243" s="862">
        <f>CF243+CG243</f>
        <v>0</v>
      </c>
      <c r="CF243" s="1772">
        <f>CF238*CF179/1000</f>
        <v>0</v>
      </c>
      <c r="CG243" s="1772">
        <f>CG238*CG179/1000</f>
        <v>0</v>
      </c>
      <c r="CH243" s="862">
        <f>CI243+CJ243</f>
        <v>0</v>
      </c>
      <c r="CI243" s="1772">
        <f>CI238*CI179/1000</f>
        <v>0</v>
      </c>
      <c r="CJ243" s="1772">
        <f>CJ238*CJ179/1000</f>
        <v>0</v>
      </c>
      <c r="CK243" s="862">
        <f>CL243+CM243</f>
        <v>0</v>
      </c>
      <c r="CL243" s="1772">
        <f>CL238*CL179/1000</f>
        <v>0</v>
      </c>
      <c r="CM243" s="1772">
        <f>CM238*CM179/1000</f>
        <v>0</v>
      </c>
      <c r="CN243" s="862">
        <f>CO243+CP243</f>
        <v>0</v>
      </c>
      <c r="CO243" s="1772">
        <f>CO238*CO179/1000</f>
        <v>0</v>
      </c>
      <c r="CP243" s="1772">
        <f>CP238*CP179/1000</f>
        <v>0</v>
      </c>
      <c r="CQ243" s="862">
        <f>CR243+CS243</f>
        <v>0</v>
      </c>
      <c r="CR243" s="1772">
        <f>CR238*CR179/1000</f>
        <v>0</v>
      </c>
      <c r="CS243" s="1772">
        <f>CS238*CS179/1000</f>
        <v>0</v>
      </c>
      <c r="CT243" s="1719"/>
      <c r="CU243" s="0"/>
      <c r="CV243" s="1632"/>
      <c r="CW243" s="1173" t="s">
        <v>861</v>
      </c>
      <c r="CX243" s="1178" t="s">
        <v>792</v>
      </c>
      <c r="CY243" s="1182" cm="1" t="str">
        <f t="array" ref="CY243:CY243">AE243</f>
        <v>Уголь длиннопламенный</v>
      </c>
      <c r="CZ243" s="1182" cm="1" t="str">
        <f t="array" ref="CZ243:CZ243">AF243</f>
        <v/>
      </c>
      <c r="DA243" s="1179"/>
      <c r="DB243" s="1179"/>
    </row>
    <row s="1632" customFormat="1" customHeight="1" ht="15" hidden="1">
      <c r="A244" s="1443"/>
      <c r="B244" s="927"/>
      <c r="C244" s="1443"/>
      <c r="D244" s="1443"/>
      <c r="E244" s="797">
        <v>0</v>
      </c>
      <c r="F244" s="922" cm="1" t="str">
        <f t="array" ref="F244:F244">OFFSET(G244,-1,-1)</f>
        <v>1</v>
      </c>
      <c r="G244" s="965"/>
      <c r="H244" s="965"/>
      <c r="I244" s="965"/>
      <c r="J244" s="965"/>
      <c r="K244" s="965"/>
      <c r="L244" s="922" cm="1" t="str">
        <f t="array" ref="L244:L244">OFFSET(M244,-1,-1)</f>
        <v>false</v>
      </c>
      <c r="M244" s="965"/>
      <c r="N244" s="965"/>
      <c r="O244" s="965"/>
      <c r="P244" s="965"/>
      <c r="Q244" s="965"/>
      <c r="R244" s="1443"/>
      <c r="S244" s="159" cm="1" t="str">
        <f t="array" ref="S244:S244">OFFSET(T244,-1,-1)</f>
        <v>true</v>
      </c>
      <c r="T244" s="1443"/>
      <c r="U244" s="819">
        <f>AND(S244,IF(ISBLANK(T244),TRUE,T244))</f>
        <v>1</v>
      </c>
      <c r="V244" s="1443"/>
      <c r="W244" s="1443"/>
      <c r="X244" s="973" t="str">
        <f>"{                  
         funcDyn: 'msg1',
         blok: 'blok_2',
         wsCross: 'Топливо 4.4',
         linkFormula: 'AE-AE#AF-AF',
         levelDyn: "&amp;Y139&amp;"
}"</f>
        <v>{                  
         funcDyn: 'msg1',
         blok: 'blok_2',
         wsCross: 'Топливо 4.4',
         linkFormula: 'AE-AE#AF-AF',
         levelDyn: 1
}</v>
      </c>
      <c r="Y244" s="1443"/>
      <c r="Z244" s="1443"/>
      <c r="AA244" s="820"/>
      <c r="AB244" s="1486"/>
      <c r="AC244" s="0"/>
      <c r="AD244" s="976"/>
      <c r="AE244" s="975" t="s">
        <v>236</v>
      </c>
      <c r="AF244" s="874"/>
      <c r="AG244" s="859"/>
      <c r="AH244" s="861"/>
      <c r="AI244" s="863"/>
      <c r="AJ244" s="863"/>
      <c r="AK244" s="863"/>
      <c r="AL244" s="863"/>
      <c r="AM244" s="863"/>
      <c r="AN244" s="863"/>
      <c r="AO244" s="863"/>
      <c r="AP244" s="863"/>
      <c r="AQ244" s="863"/>
      <c r="AR244" s="863"/>
      <c r="AS244" s="863"/>
      <c r="AT244" s="863"/>
      <c r="AU244" s="863"/>
      <c r="AV244" s="863"/>
      <c r="AW244" s="863"/>
      <c r="AX244" s="863"/>
      <c r="AY244" s="863"/>
      <c r="AZ244" s="863"/>
      <c r="BA244" s="863"/>
      <c r="BB244" s="863"/>
      <c r="BC244" s="863"/>
      <c r="BD244" s="863"/>
      <c r="BE244" s="863"/>
      <c r="BF244" s="863"/>
      <c r="BG244" s="863"/>
      <c r="BH244" s="863"/>
      <c r="BI244" s="863"/>
      <c r="BJ244" s="863"/>
      <c r="BK244" s="863"/>
      <c r="BL244" s="863"/>
      <c r="BM244" s="863"/>
      <c r="BN244" s="863"/>
      <c r="BO244" s="863"/>
      <c r="BP244" s="863"/>
      <c r="BQ244" s="863"/>
      <c r="BR244" s="863"/>
      <c r="BS244" s="863"/>
      <c r="BT244" s="863"/>
      <c r="BU244" s="863"/>
      <c r="BV244" s="863"/>
      <c r="BW244" s="863"/>
      <c r="BX244" s="863"/>
      <c r="BY244" s="863"/>
      <c r="BZ244" s="863"/>
      <c r="CA244" s="863"/>
      <c r="CB244" s="863"/>
      <c r="CC244" s="863"/>
      <c r="CD244" s="863"/>
      <c r="CE244" s="863"/>
      <c r="CF244" s="863"/>
      <c r="CG244" s="863"/>
      <c r="CH244" s="863"/>
      <c r="CI244" s="863"/>
      <c r="CJ244" s="863"/>
      <c r="CK244" s="863"/>
      <c r="CL244" s="863"/>
      <c r="CM244" s="863"/>
      <c r="CN244" s="863"/>
      <c r="CO244" s="863"/>
      <c r="CP244" s="863"/>
      <c r="CQ244" s="863"/>
      <c r="CR244" s="863"/>
      <c r="CS244" s="863"/>
      <c r="CT244" s="91"/>
      <c r="CU244" s="0"/>
      <c r="CV244" s="1632"/>
      <c r="CW244" s="1173" t="str">
        <f>IF(AND(ISNUMBER(VALUE(TRIM(SUBSTITUTE(AD244,".","")))),TRIM(SUBSTITUTE(AD244,".",""))&lt;&gt;""),"P"&amp;SUBSTITUTE(AD244,".",""),"")</f>
        <v/>
      </c>
      <c r="CX244" s="1178"/>
      <c r="CY244" s="1178"/>
      <c r="CZ244" s="1178"/>
      <c r="DA244" s="1179"/>
      <c r="DB244" s="1179"/>
    </row>
    <row s="1632" customFormat="1" customHeight="1" ht="29.25" hidden="1">
      <c r="A245" s="1443"/>
      <c r="B245" s="927"/>
      <c r="C245" s="1443"/>
      <c r="D245" s="1443"/>
      <c r="E245" s="797">
        <v>30</v>
      </c>
      <c r="F245" s="922" cm="1" t="str">
        <f t="array" ref="F245:F245">OFFSET(G245,-1,-1)</f>
        <v>1</v>
      </c>
      <c r="G245" s="965"/>
      <c r="H245" s="965"/>
      <c r="I245" s="965"/>
      <c r="J245" s="965"/>
      <c r="K245" s="965"/>
      <c r="L245" s="922" cm="1" t="str">
        <f t="array" ref="L245:L245">OFFSET(M245,-1,-1)</f>
        <v>false</v>
      </c>
      <c r="M245" s="965"/>
      <c r="N245" s="965"/>
      <c r="O245" s="965"/>
      <c r="P245" s="965"/>
      <c r="Q245" s="965"/>
      <c r="R245" s="922" t="s">
        <v>730</v>
      </c>
      <c r="S245" s="159" cm="1" t="str">
        <f t="array" ref="S245:S245">OFFSET(T245,-1,-1)</f>
        <v>true</v>
      </c>
      <c r="T245" s="159" cm="1" t="str">
        <f t="array" ref="T245:T245">L245</f>
        <v>false</v>
      </c>
      <c r="U245" s="819">
        <f>AND(S245,IF(ISBLANK(T245),TRUE,T245))</f>
        <v>0</v>
      </c>
      <c r="V245" s="1443"/>
      <c r="W245" s="1443"/>
      <c r="X245" s="1443"/>
      <c r="Y245" s="1443"/>
      <c r="Z245" s="1443"/>
      <c r="AA245" s="820"/>
      <c r="AB245" s="1486"/>
      <c r="AC245" s="0"/>
      <c r="AD245" s="173" t="s">
        <v>863</v>
      </c>
      <c r="AE245" s="1502" t="s">
        <v>864</v>
      </c>
      <c r="AF245" s="163"/>
      <c r="AG245" s="859" t="s">
        <v>810</v>
      </c>
      <c r="AH245" s="860">
        <f>SUM(AH246:AH248)</f>
        <v>0</v>
      </c>
      <c r="AI245" s="860">
        <f>SUM(AI246:AI248)</f>
        <v>0</v>
      </c>
      <c r="AJ245" s="860">
        <f>SUM(AJ246:AJ248)</f>
        <v>0</v>
      </c>
      <c r="AK245" s="860">
        <f>SUM(AK246:AK248)</f>
        <v>0</v>
      </c>
      <c r="AL245" s="860">
        <f>SUM(AL246:AL248)</f>
        <v>0</v>
      </c>
      <c r="AM245" s="860">
        <f>SUM(AM246:AM248)</f>
        <v>0</v>
      </c>
      <c r="AN245" s="860">
        <f>SUM(AN246:AN248)</f>
        <v>0</v>
      </c>
      <c r="AO245" s="860">
        <f>SUM(AO246:AO248)</f>
        <v>0</v>
      </c>
      <c r="AP245" s="860">
        <f>SUM(AP246:AP248)</f>
        <v>0</v>
      </c>
      <c r="AQ245" s="860">
        <f>SUM(AQ246:AQ248)</f>
        <v>0</v>
      </c>
      <c r="AR245" s="860">
        <f>SUM(AR246:AR248)</f>
        <v>0</v>
      </c>
      <c r="AS245" s="860">
        <f>SUM(AS246:AS248)</f>
        <v>0</v>
      </c>
      <c r="AT245" s="860">
        <f>SUM(AT246:AT248)</f>
        <v>0</v>
      </c>
      <c r="AU245" s="860">
        <f>SUM(AU246:AU248)</f>
        <v>0</v>
      </c>
      <c r="AV245" s="860">
        <f>SUM(AV246:AV248)</f>
        <v>0</v>
      </c>
      <c r="AW245" s="860">
        <f>SUM(AW246:AW248)</f>
        <v>0</v>
      </c>
      <c r="AX245" s="860">
        <f>SUM(AX246:AX248)</f>
        <v>0</v>
      </c>
      <c r="AY245" s="860">
        <f>SUM(AY246:AY248)</f>
        <v>0</v>
      </c>
      <c r="AZ245" s="860">
        <f>SUM(AZ246:AZ248)</f>
        <v>0</v>
      </c>
      <c r="BA245" s="860">
        <f>SUM(BA246:BA248)</f>
        <v>0</v>
      </c>
      <c r="BB245" s="860">
        <f>SUM(BB246:BB248)</f>
        <v>0</v>
      </c>
      <c r="BC245" s="860">
        <f>SUM(BC246:BC248)</f>
        <v>0</v>
      </c>
      <c r="BD245" s="860">
        <f>SUM(BD246:BD248)</f>
        <v>0</v>
      </c>
      <c r="BE245" s="860">
        <f>SUM(BE246:BE248)</f>
        <v>0</v>
      </c>
      <c r="BF245" s="860">
        <f>SUM(BF246:BF248)</f>
        <v>0</v>
      </c>
      <c r="BG245" s="860">
        <f>SUM(BG246:BG248)</f>
        <v>0</v>
      </c>
      <c r="BH245" s="860">
        <f>SUM(BH246:BH248)</f>
        <v>0</v>
      </c>
      <c r="BI245" s="860">
        <f>SUM(BI246:BI248)</f>
        <v>0</v>
      </c>
      <c r="BJ245" s="860">
        <f>SUM(BJ246:BJ248)</f>
        <v>0</v>
      </c>
      <c r="BK245" s="860">
        <f>SUM(BK246:BK248)</f>
        <v>0</v>
      </c>
      <c r="BL245" s="860">
        <f>SUM(BL246:BL248)</f>
        <v>0</v>
      </c>
      <c r="BM245" s="860">
        <f>SUM(BM246:BM248)</f>
        <v>0</v>
      </c>
      <c r="BN245" s="860">
        <f>SUM(BN246:BN248)</f>
        <v>0</v>
      </c>
      <c r="BO245" s="860">
        <f>SUM(BO246:BO248)</f>
        <v>0</v>
      </c>
      <c r="BP245" s="860">
        <f>SUM(BP246:BP248)</f>
        <v>0</v>
      </c>
      <c r="BQ245" s="860">
        <f>SUM(BQ246:BQ248)</f>
        <v>0</v>
      </c>
      <c r="BR245" s="860">
        <f>SUM(BR246:BR248)</f>
        <v>0</v>
      </c>
      <c r="BS245" s="860">
        <f>SUM(BS246:BS248)</f>
        <v>0</v>
      </c>
      <c r="BT245" s="860">
        <f>SUM(BT246:BT248)</f>
        <v>0</v>
      </c>
      <c r="BU245" s="860">
        <f>SUM(BU246:BU248)</f>
        <v>0</v>
      </c>
      <c r="BV245" s="860">
        <f>SUM(BV246:BV248)</f>
        <v>0</v>
      </c>
      <c r="BW245" s="860">
        <f>SUM(BW246:BW248)</f>
        <v>0</v>
      </c>
      <c r="BX245" s="860">
        <f>SUM(BX246:BX248)</f>
        <v>0</v>
      </c>
      <c r="BY245" s="860">
        <f>SUM(BY246:BY248)</f>
        <v>0</v>
      </c>
      <c r="BZ245" s="860">
        <f>SUM(BZ246:BZ248)</f>
        <v>0</v>
      </c>
      <c r="CA245" s="860">
        <f>SUM(CA246:CA248)</f>
        <v>0</v>
      </c>
      <c r="CB245" s="860">
        <f>SUM(CB246:CB248)</f>
        <v>0</v>
      </c>
      <c r="CC245" s="860">
        <f>SUM(CC246:CC248)</f>
        <v>0</v>
      </c>
      <c r="CD245" s="860">
        <f>SUM(CD246:CD248)</f>
        <v>0</v>
      </c>
      <c r="CE245" s="860">
        <f>SUM(CE246:CE248)</f>
        <v>0</v>
      </c>
      <c r="CF245" s="860">
        <f>SUM(CF246:CF248)</f>
        <v>0</v>
      </c>
      <c r="CG245" s="860">
        <f>SUM(CG246:CG248)</f>
        <v>0</v>
      </c>
      <c r="CH245" s="860">
        <f>SUM(CH246:CH248)</f>
        <v>0</v>
      </c>
      <c r="CI245" s="860">
        <f>SUM(CI246:CI248)</f>
        <v>0</v>
      </c>
      <c r="CJ245" s="860">
        <f>SUM(CJ246:CJ248)</f>
        <v>0</v>
      </c>
      <c r="CK245" s="860">
        <f>SUM(CK246:CK248)</f>
        <v>0</v>
      </c>
      <c r="CL245" s="860">
        <f>SUM(CL246:CL248)</f>
        <v>0</v>
      </c>
      <c r="CM245" s="860">
        <f>SUM(CM246:CM248)</f>
        <v>0</v>
      </c>
      <c r="CN245" s="860">
        <f>SUM(CN246:CN248)</f>
        <v>0</v>
      </c>
      <c r="CO245" s="860">
        <f>SUM(CO246:CO248)</f>
        <v>0</v>
      </c>
      <c r="CP245" s="860">
        <f>SUM(CP246:CP248)</f>
        <v>0</v>
      </c>
      <c r="CQ245" s="860">
        <f>SUM(CQ246:CQ248)</f>
        <v>0</v>
      </c>
      <c r="CR245" s="860">
        <f>SUM(CR246:CR248)</f>
        <v>0</v>
      </c>
      <c r="CS245" s="860">
        <f>SUM(CS246:CS248)</f>
        <v>0</v>
      </c>
      <c r="CT245" s="73"/>
      <c r="CU245" s="0"/>
      <c r="CV245" s="1632"/>
      <c r="CW245" s="1173" t="s">
        <v>865</v>
      </c>
      <c r="CX245" s="1178"/>
      <c r="CY245" s="1178"/>
      <c r="CZ245" s="1178"/>
      <c r="DA245" s="1179"/>
      <c r="DB245" s="1179"/>
    </row>
    <row s="1632" customFormat="1" customHeight="1" ht="16.5" hidden="1">
      <c r="E246" s="797">
        <v>17.1</v>
      </c>
      <c r="F246" s="922" cm="1" t="str">
        <f t="array" ref="F246:F246">OFFSET(G246,-1,-1)</f>
        <v>1</v>
      </c>
      <c r="L246" s="922" cm="1" t="str">
        <f t="array" ref="L246:L246">OFFSET(M246,-1,-1)</f>
        <v>false</v>
      </c>
      <c r="R246" s="922" t="s">
        <v>730</v>
      </c>
      <c r="S246" s="159" cm="1" t="str">
        <f t="array" ref="S246:S246">OFFSET(T246,-1,-1)</f>
        <v>true</v>
      </c>
      <c r="T246" s="159">
        <f>AND(L246,AD246&lt;&gt;"37.0")</f>
        <v>0</v>
      </c>
      <c r="U246" s="819">
        <f>AND(S246,IF(ISBLANK(T246),TRUE,T246))</f>
        <v>0</v>
      </c>
      <c r="X246" s="159" t="s">
        <v>234</v>
      </c>
      <c r="AB246" s="1486"/>
      <c r="AD246" s="160" t="s">
        <v>866</v>
      </c>
      <c r="AE246" s="974"/>
      <c r="AF246" s="625"/>
      <c r="AG246" s="859" t="s">
        <v>810</v>
      </c>
      <c r="AH246" s="86">
        <f>AH$163*AH242</f>
        <v>0</v>
      </c>
      <c r="AI246" s="87">
        <f>AI$163*AI242</f>
        <v>0</v>
      </c>
      <c r="AJ246" s="87">
        <f>AJ$163*AJ242</f>
        <v>0</v>
      </c>
      <c r="AK246" s="87">
        <f>AK$163*AK242</f>
        <v>0</v>
      </c>
      <c r="AL246" s="862">
        <f>AM246+AN246</f>
        <v>0</v>
      </c>
      <c r="AM246" s="87">
        <f>AM$163*AM242</f>
        <v>0</v>
      </c>
      <c r="AN246" s="87">
        <f>AN$163*AN242</f>
        <v>0</v>
      </c>
      <c r="AO246" s="862">
        <f>AP246+AQ246</f>
        <v>0</v>
      </c>
      <c r="AP246" s="87">
        <f>AP$163*AP242</f>
        <v>0</v>
      </c>
      <c r="AQ246" s="87">
        <f>AQ$163*AQ242</f>
        <v>0</v>
      </c>
      <c r="AR246" s="862">
        <f>AS246+AT246</f>
        <v>0</v>
      </c>
      <c r="AS246" s="87">
        <f>AS$163*AS242</f>
        <v>0</v>
      </c>
      <c r="AT246" s="87">
        <f>AT$163*AT242</f>
        <v>0</v>
      </c>
      <c r="AU246" s="862">
        <f>AV246+AW246</f>
        <v>0</v>
      </c>
      <c r="AV246" s="87">
        <f>AV$163*AV242</f>
        <v>0</v>
      </c>
      <c r="AW246" s="87">
        <f>AW$163*AW242</f>
        <v>0</v>
      </c>
      <c r="AX246" s="862">
        <f>AY246+AZ246</f>
        <v>0</v>
      </c>
      <c r="AY246" s="87">
        <f>AY$163*AY242</f>
        <v>0</v>
      </c>
      <c r="AZ246" s="87">
        <f>AZ$163*AZ242</f>
        <v>0</v>
      </c>
      <c r="BA246" s="862">
        <f>BB246+BC246</f>
        <v>0</v>
      </c>
      <c r="BB246" s="87">
        <f>BB$163*BB242</f>
        <v>0</v>
      </c>
      <c r="BC246" s="87">
        <f>BC$163*BC242</f>
        <v>0</v>
      </c>
      <c r="BD246" s="862">
        <f>BE246+BF246</f>
        <v>0</v>
      </c>
      <c r="BE246" s="87">
        <f>BE$163*BE242</f>
        <v>0</v>
      </c>
      <c r="BF246" s="87">
        <f>BF$163*BF242</f>
        <v>0</v>
      </c>
      <c r="BG246" s="862">
        <f>BH246+BI246</f>
        <v>0</v>
      </c>
      <c r="BH246" s="87">
        <f>BH$163*BH242</f>
        <v>0</v>
      </c>
      <c r="BI246" s="87">
        <f>BI$163*BI242</f>
        <v>0</v>
      </c>
      <c r="BJ246" s="862">
        <f>BK246+BL246</f>
        <v>0</v>
      </c>
      <c r="BK246" s="87">
        <f>BK$163*BK242</f>
        <v>0</v>
      </c>
      <c r="BL246" s="87">
        <f>BL$163*BL242</f>
        <v>0</v>
      </c>
      <c r="BM246" s="862">
        <f>BN246+BO246</f>
        <v>0</v>
      </c>
      <c r="BN246" s="87">
        <f>BN$163*BN242</f>
        <v>0</v>
      </c>
      <c r="BO246" s="87">
        <f>BO$163*BO242</f>
        <v>0</v>
      </c>
      <c r="BP246" s="862">
        <f>BQ246+BR246</f>
        <v>0</v>
      </c>
      <c r="BQ246" s="979">
        <f>BQ$163*BQ242</f>
        <v>0</v>
      </c>
      <c r="BR246" s="979">
        <f>BR$163*BR242</f>
        <v>0</v>
      </c>
      <c r="BS246" s="862">
        <f>BT246+BU246</f>
        <v>0</v>
      </c>
      <c r="BT246" s="87">
        <f>BT$163*BT242</f>
        <v>0</v>
      </c>
      <c r="BU246" s="87">
        <f>BU$163*BU242</f>
        <v>0</v>
      </c>
      <c r="BV246" s="862">
        <f>BW246+BX246</f>
        <v>0</v>
      </c>
      <c r="BW246" s="87">
        <f>BW$163*BW242</f>
        <v>0</v>
      </c>
      <c r="BX246" s="87">
        <f>BX$163*BX242</f>
        <v>0</v>
      </c>
      <c r="BY246" s="862">
        <f>BZ246+CA246</f>
        <v>0</v>
      </c>
      <c r="BZ246" s="87">
        <f>BZ$163*BZ242</f>
        <v>0</v>
      </c>
      <c r="CA246" s="87">
        <f>CA$163*CA242</f>
        <v>0</v>
      </c>
      <c r="CB246" s="862">
        <f>CC246+CD246</f>
        <v>0</v>
      </c>
      <c r="CC246" s="87">
        <f>CC$163*CC242</f>
        <v>0</v>
      </c>
      <c r="CD246" s="87">
        <f>CD$163*CD242</f>
        <v>0</v>
      </c>
      <c r="CE246" s="862">
        <f>CF246+CG246</f>
        <v>0</v>
      </c>
      <c r="CF246" s="87">
        <f>CF$163*CF242</f>
        <v>0</v>
      </c>
      <c r="CG246" s="87">
        <f>CG$163*CG242</f>
        <v>0</v>
      </c>
      <c r="CH246" s="862">
        <f>CI246+CJ246</f>
        <v>0</v>
      </c>
      <c r="CI246" s="87">
        <f>CI$163*CI242</f>
        <v>0</v>
      </c>
      <c r="CJ246" s="87">
        <f>CJ$163*CJ242</f>
        <v>0</v>
      </c>
      <c r="CK246" s="862">
        <f>CL246+CM246</f>
        <v>0</v>
      </c>
      <c r="CL246" s="87">
        <f>CL$163*CL242</f>
        <v>0</v>
      </c>
      <c r="CM246" s="87">
        <f>CM$163*CM242</f>
        <v>0</v>
      </c>
      <c r="CN246" s="862">
        <f>CO246+CP246</f>
        <v>0</v>
      </c>
      <c r="CO246" s="87">
        <f>CO$163*CO242</f>
        <v>0</v>
      </c>
      <c r="CP246" s="87">
        <f>CP$163*CP242</f>
        <v>0</v>
      </c>
      <c r="CQ246" s="862">
        <f>CR246+CS246</f>
        <v>0</v>
      </c>
      <c r="CR246" s="87">
        <f>CR$163*CR242</f>
        <v>0</v>
      </c>
      <c r="CS246" s="87">
        <f>CS$163*CS242</f>
        <v>0</v>
      </c>
      <c r="CT246" s="73"/>
      <c r="CW246" s="1173" t="s">
        <v>865</v>
      </c>
      <c r="CX246" s="1178" t="s">
        <v>792</v>
      </c>
      <c r="CY246" s="1182" cm="1" t="str">
        <f t="array" ref="CY246:CY246">AE246</f>
        <v>0</v>
      </c>
      <c r="CZ246" s="1182" cm="1" t="str">
        <f t="array" ref="CZ246:CZ246">AF246</f>
        <v>0</v>
      </c>
      <c r="DA246" s="1179"/>
      <c r="DB246" s="1179"/>
    </row>
    <row s="1632" customFormat="1" customHeight="1" ht="16.5" hidden="1">
      <c r="A247" s="1632"/>
      <c r="B247" s="1632"/>
      <c r="C247" s="1632"/>
      <c r="D247" s="1632"/>
      <c r="E247" s="797">
        <v>17.1</v>
      </c>
      <c r="F247" s="922" cm="1" t="str">
        <f t="array" ref="F247:F247">OFFSET(G247,-1,-1)</f>
        <v>1</v>
      </c>
      <c r="G247" s="1632"/>
      <c r="H247" s="1632"/>
      <c r="I247" s="1632"/>
      <c r="J247" s="1632"/>
      <c r="K247" s="1632"/>
      <c r="L247" s="922" cm="1" t="str">
        <f t="array" ref="L247:L247">OFFSET(M247,-1,-1)</f>
        <v>false</v>
      </c>
      <c r="M247" s="1632"/>
      <c r="N247" s="1632"/>
      <c r="O247" s="1632"/>
      <c r="P247" s="1632"/>
      <c r="Q247" s="1632"/>
      <c r="R247" s="922" t="s">
        <v>730</v>
      </c>
      <c r="S247" s="159" cm="1" t="str">
        <f t="array" ref="S247:S247">OFFSET(T247,-1,-1)</f>
        <v>true</v>
      </c>
      <c r="T247" s="159">
        <f>AND(L247,AD247&lt;&gt;"37.0")</f>
        <v>0</v>
      </c>
      <c r="U247" s="819">
        <f>AND(S247,IF(ISBLANK(T247),TRUE,T247))</f>
        <v>0</v>
      </c>
      <c r="V247" s="1632"/>
      <c r="W247" s="1632"/>
      <c r="X247" s="159" t="str">
        <f>'Топливо 4.4'!$AE$243&amp;'Топливо 4.4'!$AF$243</f>
        <v>Уголь длиннопламенный</v>
      </c>
      <c r="Y247" s="1632"/>
      <c r="Z247" s="1632"/>
      <c r="AA247" s="1632"/>
      <c r="AB247" s="1486"/>
      <c r="AC247" s="0"/>
      <c r="AD247" s="160" t="s">
        <v>921</v>
      </c>
      <c r="AE247" s="974" cm="1" t="str">
        <f t="array" ref="AE247:AE247">IF(ISBLANK('Топливо 4.4'!$AE$243),"",'Топливо 4.4'!$AE$243)</f>
        <v>Уголь длиннопламенный</v>
      </c>
      <c r="AF247" s="625" cm="1" t="str">
        <f t="array" ref="AF247:AF247">IF(ISBLANK('Топливо 4.4'!$AF$243),"",'Топливо 4.4'!$AF$243)</f>
        <v/>
      </c>
      <c r="AG247" s="859" t="s">
        <v>810</v>
      </c>
      <c r="AH247" s="86">
        <f>AH$163*AH243</f>
        <v>0</v>
      </c>
      <c r="AI247" s="87">
        <f>AI$163*AI243</f>
        <v>0</v>
      </c>
      <c r="AJ247" s="87">
        <f>AJ$163*AJ243</f>
        <v>0</v>
      </c>
      <c r="AK247" s="87">
        <f>AK$163*AK243</f>
        <v>0</v>
      </c>
      <c r="AL247" s="862">
        <f>AM247+AN247</f>
        <v>0</v>
      </c>
      <c r="AM247" s="87">
        <f>AM$163*AM243</f>
        <v>0</v>
      </c>
      <c r="AN247" s="87">
        <f>AN$163*AN243</f>
        <v>0</v>
      </c>
      <c r="AO247" s="862">
        <f>AP247+AQ247</f>
        <v>0</v>
      </c>
      <c r="AP247" s="87">
        <f>AP$163*AP243</f>
        <v>0</v>
      </c>
      <c r="AQ247" s="87">
        <f>AQ$163*AQ243</f>
        <v>0</v>
      </c>
      <c r="AR247" s="862">
        <f>AS247+AT247</f>
        <v>0</v>
      </c>
      <c r="AS247" s="87">
        <f>AS$163*AS243</f>
        <v>0</v>
      </c>
      <c r="AT247" s="87">
        <f>AT$163*AT243</f>
        <v>0</v>
      </c>
      <c r="AU247" s="862">
        <f>AV247+AW247</f>
        <v>0</v>
      </c>
      <c r="AV247" s="87">
        <f>AV$163*AV243</f>
        <v>0</v>
      </c>
      <c r="AW247" s="87">
        <f>AW$163*AW243</f>
        <v>0</v>
      </c>
      <c r="AX247" s="862">
        <f>AY247+AZ247</f>
        <v>0</v>
      </c>
      <c r="AY247" s="87">
        <f>AY$163*AY243</f>
        <v>0</v>
      </c>
      <c r="AZ247" s="87">
        <f>AZ$163*AZ243</f>
        <v>0</v>
      </c>
      <c r="BA247" s="862">
        <f>BB247+BC247</f>
        <v>0</v>
      </c>
      <c r="BB247" s="87">
        <f>BB$163*BB243</f>
        <v>0</v>
      </c>
      <c r="BC247" s="87">
        <f>BC$163*BC243</f>
        <v>0</v>
      </c>
      <c r="BD247" s="862">
        <f>BE247+BF247</f>
        <v>0</v>
      </c>
      <c r="BE247" s="87">
        <f>BE$163*BE243</f>
        <v>0</v>
      </c>
      <c r="BF247" s="87">
        <f>BF$163*BF243</f>
        <v>0</v>
      </c>
      <c r="BG247" s="862">
        <f>BH247+BI247</f>
        <v>0</v>
      </c>
      <c r="BH247" s="87">
        <f>BH$163*BH243</f>
        <v>0</v>
      </c>
      <c r="BI247" s="87">
        <f>BI$163*BI243</f>
        <v>0</v>
      </c>
      <c r="BJ247" s="862">
        <f>BK247+BL247</f>
        <v>0</v>
      </c>
      <c r="BK247" s="87">
        <f>BK$163*BK243</f>
        <v>0</v>
      </c>
      <c r="BL247" s="87">
        <f>BL$163*BL243</f>
        <v>0</v>
      </c>
      <c r="BM247" s="862">
        <f>BN247+BO247</f>
        <v>0</v>
      </c>
      <c r="BN247" s="87">
        <f>BN$163*BN243</f>
        <v>0</v>
      </c>
      <c r="BO247" s="87">
        <f>BO$163*BO243</f>
        <v>0</v>
      </c>
      <c r="BP247" s="862">
        <f>BQ247+BR247</f>
        <v>0</v>
      </c>
      <c r="BQ247" s="979">
        <f>BQ$163*BQ243</f>
        <v>0</v>
      </c>
      <c r="BR247" s="979">
        <f>BR$163*BR243</f>
        <v>0</v>
      </c>
      <c r="BS247" s="862">
        <f>BT247+BU247</f>
        <v>0</v>
      </c>
      <c r="BT247" s="87">
        <f>BT$163*BT243</f>
        <v>0</v>
      </c>
      <c r="BU247" s="87">
        <f>BU$163*BU243</f>
        <v>0</v>
      </c>
      <c r="BV247" s="862">
        <f>BW247+BX247</f>
        <v>0</v>
      </c>
      <c r="BW247" s="87">
        <f>BW$163*BW243</f>
        <v>0</v>
      </c>
      <c r="BX247" s="87">
        <f>BX$163*BX243</f>
        <v>0</v>
      </c>
      <c r="BY247" s="862">
        <f>BZ247+CA247</f>
        <v>0</v>
      </c>
      <c r="BZ247" s="87">
        <f>BZ$163*BZ243</f>
        <v>0</v>
      </c>
      <c r="CA247" s="87">
        <f>CA$163*CA243</f>
        <v>0</v>
      </c>
      <c r="CB247" s="862">
        <f>CC247+CD247</f>
        <v>0</v>
      </c>
      <c r="CC247" s="87">
        <f>CC$163*CC243</f>
        <v>0</v>
      </c>
      <c r="CD247" s="87">
        <f>CD$163*CD243</f>
        <v>0</v>
      </c>
      <c r="CE247" s="862">
        <f>CF247+CG247</f>
        <v>0</v>
      </c>
      <c r="CF247" s="87">
        <f>CF$163*CF243</f>
        <v>0</v>
      </c>
      <c r="CG247" s="87">
        <f>CG$163*CG243</f>
        <v>0</v>
      </c>
      <c r="CH247" s="862">
        <f>CI247+CJ247</f>
        <v>0</v>
      </c>
      <c r="CI247" s="87">
        <f>CI$163*CI243</f>
        <v>0</v>
      </c>
      <c r="CJ247" s="87">
        <f>CJ$163*CJ243</f>
        <v>0</v>
      </c>
      <c r="CK247" s="862">
        <f>CL247+CM247</f>
        <v>0</v>
      </c>
      <c r="CL247" s="87">
        <f>CL$163*CL243</f>
        <v>0</v>
      </c>
      <c r="CM247" s="87">
        <f>CM$163*CM243</f>
        <v>0</v>
      </c>
      <c r="CN247" s="862">
        <f>CO247+CP247</f>
        <v>0</v>
      </c>
      <c r="CO247" s="87">
        <f>CO$163*CO243</f>
        <v>0</v>
      </c>
      <c r="CP247" s="87">
        <f>CP$163*CP243</f>
        <v>0</v>
      </c>
      <c r="CQ247" s="862">
        <f>CR247+CS247</f>
        <v>0</v>
      </c>
      <c r="CR247" s="87">
        <f>CR$163*CR243</f>
        <v>0</v>
      </c>
      <c r="CS247" s="87">
        <f>CS$163*CS243</f>
        <v>0</v>
      </c>
      <c r="CT247" s="73"/>
      <c r="CU247" s="0"/>
      <c r="CV247" s="1632"/>
      <c r="CW247" s="1173" t="s">
        <v>865</v>
      </c>
      <c r="CX247" s="1178" t="s">
        <v>792</v>
      </c>
      <c r="CY247" s="1182" cm="1" t="str">
        <f t="array" ref="CY247:CY247">AE247</f>
        <v>Уголь длиннопламенный</v>
      </c>
      <c r="CZ247" s="1182" cm="1" t="str">
        <f t="array" ref="CZ247:CZ247">AF247</f>
        <v/>
      </c>
      <c r="DA247" s="1179"/>
      <c r="DB247" s="1179"/>
    </row>
    <row s="1632" customFormat="1" customHeight="1" ht="15" hidden="1">
      <c r="A248" s="1443"/>
      <c r="B248" s="927"/>
      <c r="C248" s="1443"/>
      <c r="D248" s="1443"/>
      <c r="E248" s="797">
        <v>0</v>
      </c>
      <c r="F248" s="922" cm="1" t="str">
        <f t="array" ref="F248:F248">OFFSET(G248,-1,-1)</f>
        <v>1</v>
      </c>
      <c r="G248" s="965"/>
      <c r="H248" s="965"/>
      <c r="I248" s="965"/>
      <c r="J248" s="965"/>
      <c r="K248" s="965"/>
      <c r="L248" s="922" cm="1" t="str">
        <f t="array" ref="L248:L248">OFFSET(M248,-1,-1)</f>
        <v>false</v>
      </c>
      <c r="M248" s="965"/>
      <c r="N248" s="965"/>
      <c r="O248" s="965"/>
      <c r="P248" s="965"/>
      <c r="Q248" s="965"/>
      <c r="R248" s="1443"/>
      <c r="S248" s="159" cm="1" t="str">
        <f t="array" ref="S248:S248">OFFSET(T248,-1,-1)</f>
        <v>true</v>
      </c>
      <c r="T248" s="1443"/>
      <c r="U248" s="819">
        <f>AND(S248,IF(ISBLANK(T248),TRUE,T248))</f>
        <v>1</v>
      </c>
      <c r="V248" s="1443"/>
      <c r="W248" s="1443"/>
      <c r="X248" s="973" t="str">
        <f>"{                  
         funcDyn: 'msg1',
         blok: 'blok_2',
         wsCross: 'Топливо 4.4',
         linkFormula: 'AE-AE#AF-AF',
         levelDyn: "&amp;Y139&amp;"
}"</f>
        <v>{                  
         funcDyn: 'msg1',
         blok: 'blok_2',
         wsCross: 'Топливо 4.4',
         linkFormula: 'AE-AE#AF-AF',
         levelDyn: 1
}</v>
      </c>
      <c r="Y248" s="1443"/>
      <c r="Z248" s="1443"/>
      <c r="AA248" s="820"/>
      <c r="AB248" s="1487"/>
      <c r="AC248" s="0"/>
      <c r="AD248" s="976"/>
      <c r="AE248" s="975" t="s">
        <v>236</v>
      </c>
      <c r="AF248" s="874"/>
      <c r="AG248" s="859"/>
      <c r="AH248" s="861"/>
      <c r="AI248" s="863"/>
      <c r="AJ248" s="863"/>
      <c r="AK248" s="863"/>
      <c r="AL248" s="863"/>
      <c r="AM248" s="863"/>
      <c r="AN248" s="863"/>
      <c r="AO248" s="863"/>
      <c r="AP248" s="863"/>
      <c r="AQ248" s="863"/>
      <c r="AR248" s="863"/>
      <c r="AS248" s="863"/>
      <c r="AT248" s="863"/>
      <c r="AU248" s="863"/>
      <c r="AV248" s="863"/>
      <c r="AW248" s="863"/>
      <c r="AX248" s="863"/>
      <c r="AY248" s="863"/>
      <c r="AZ248" s="863"/>
      <c r="BA248" s="863"/>
      <c r="BB248" s="863"/>
      <c r="BC248" s="863"/>
      <c r="BD248" s="863"/>
      <c r="BE248" s="863"/>
      <c r="BF248" s="863"/>
      <c r="BG248" s="863"/>
      <c r="BH248" s="863"/>
      <c r="BI248" s="863"/>
      <c r="BJ248" s="863"/>
      <c r="BK248" s="863"/>
      <c r="BL248" s="863"/>
      <c r="BM248" s="863"/>
      <c r="BN248" s="863"/>
      <c r="BO248" s="863"/>
      <c r="BP248" s="863"/>
      <c r="BQ248" s="863"/>
      <c r="BR248" s="863"/>
      <c r="BS248" s="863"/>
      <c r="BT248" s="863"/>
      <c r="BU248" s="863"/>
      <c r="BV248" s="863"/>
      <c r="BW248" s="863"/>
      <c r="BX248" s="863"/>
      <c r="BY248" s="863"/>
      <c r="BZ248" s="863"/>
      <c r="CA248" s="863"/>
      <c r="CB248" s="863"/>
      <c r="CC248" s="863"/>
      <c r="CD248" s="863"/>
      <c r="CE248" s="863"/>
      <c r="CF248" s="863"/>
      <c r="CG248" s="863"/>
      <c r="CH248" s="863"/>
      <c r="CI248" s="863"/>
      <c r="CJ248" s="863"/>
      <c r="CK248" s="863"/>
      <c r="CL248" s="863"/>
      <c r="CM248" s="863"/>
      <c r="CN248" s="863"/>
      <c r="CO248" s="863"/>
      <c r="CP248" s="863"/>
      <c r="CQ248" s="863"/>
      <c r="CR248" s="863"/>
      <c r="CS248" s="863"/>
      <c r="CT248" s="91"/>
      <c r="CU248" s="0"/>
      <c r="CV248" s="1632"/>
      <c r="CW248" s="1173" t="str">
        <f>IF(AND(ISNUMBER(VALUE(TRIM(SUBSTITUTE(AD248,".","")))),TRIM(SUBSTITUTE(AD248,".",""))&lt;&gt;""),"P"&amp;SUBSTITUTE(AD248,".",""),"")</f>
        <v/>
      </c>
      <c r="CX248" s="1178"/>
      <c r="CY248" s="1178"/>
      <c r="CZ248" s="1178"/>
      <c r="DA248" s="1179"/>
      <c r="DB248" s="1179"/>
    </row>
    <row s="1632" customFormat="1" customHeight="1" ht="16.5">
      <c r="A249" s="1443"/>
      <c r="B249" s="927"/>
      <c r="C249" s="1443"/>
      <c r="D249" s="1443"/>
      <c r="E249" s="797">
        <v>17.1</v>
      </c>
      <c r="F249" s="922" cm="1" t="str">
        <f t="array" ref="F249:F249">OFFSET(G249,-1,-1)</f>
        <v>1</v>
      </c>
      <c r="G249" s="965"/>
      <c r="H249" s="965"/>
      <c r="I249" s="965"/>
      <c r="J249" s="965"/>
      <c r="K249" s="965"/>
      <c r="L249" s="922" cm="1" t="str">
        <f t="array" ref="L249:L249">OFFSET(M249,-1,-1)</f>
        <v>false</v>
      </c>
      <c r="M249" s="965"/>
      <c r="N249" s="965"/>
      <c r="O249" s="965"/>
      <c r="P249" s="965"/>
      <c r="Q249" s="965"/>
      <c r="R249" s="1443"/>
      <c r="S249" s="159" cm="1" t="str">
        <f t="array" ref="S249:S249">OFFSET(T249,-1,-1)</f>
        <v>true</v>
      </c>
      <c r="T249" s="1443"/>
      <c r="U249" s="819">
        <f>AND(S249,IF(ISBLANK(T249),TRUE,T249))</f>
        <v>1</v>
      </c>
      <c r="V249" s="1443"/>
      <c r="W249" s="1443"/>
      <c r="X249" s="1443"/>
      <c r="Y249" s="1443"/>
      <c r="Z249" s="1443"/>
      <c r="AA249" s="820"/>
      <c r="AB249" s="1485" t="s">
        <v>867</v>
      </c>
      <c r="AC249" s="0"/>
      <c r="AD249" s="173" t="s">
        <v>868</v>
      </c>
      <c r="AE249" s="1497" t="s">
        <v>869</v>
      </c>
      <c r="AF249" s="323"/>
      <c r="AG249" s="859" t="s">
        <v>810</v>
      </c>
      <c r="AH249" s="860">
        <f>SUM(AH251:AH253)</f>
        <v>0</v>
      </c>
      <c r="AI249" s="860">
        <f>SUM(AI251:AI253)</f>
        <v>0</v>
      </c>
      <c r="AJ249" s="860">
        <f>SUM(AJ251:AJ253)</f>
        <v>0</v>
      </c>
      <c r="AK249" s="860">
        <f>SUM(AK251:AK253)</f>
        <v>0</v>
      </c>
      <c r="AL249" s="860">
        <f>SUM(AL251:AL253)</f>
        <v>0</v>
      </c>
      <c r="AM249" s="860">
        <f>SUM(AM251:AM253)</f>
        <v>0</v>
      </c>
      <c r="AN249" s="860">
        <f>SUM(AN251:AN253)</f>
        <v>0</v>
      </c>
      <c r="AO249" s="860">
        <f>SUM(AO251:AO253)</f>
        <v>0</v>
      </c>
      <c r="AP249" s="860">
        <f>SUM(AP251:AP253)</f>
        <v>0</v>
      </c>
      <c r="AQ249" s="860">
        <f>SUM(AQ251:AQ253)</f>
        <v>0</v>
      </c>
      <c r="AR249" s="860">
        <f>SUM(AR251:AR253)</f>
        <v>0</v>
      </c>
      <c r="AS249" s="860">
        <f>SUM(AS251:AS253)</f>
        <v>0</v>
      </c>
      <c r="AT249" s="860">
        <f>SUM(AT251:AT253)</f>
        <v>0</v>
      </c>
      <c r="AU249" s="860">
        <f>SUM(AU251:AU253)</f>
        <v>0</v>
      </c>
      <c r="AV249" s="860">
        <f>SUM(AV251:AV253)</f>
        <v>0</v>
      </c>
      <c r="AW249" s="860">
        <f>SUM(AW251:AW253)</f>
        <v>0</v>
      </c>
      <c r="AX249" s="860">
        <f>SUM(AX251:AX253)</f>
        <v>0</v>
      </c>
      <c r="AY249" s="860">
        <f>SUM(AY251:AY253)</f>
        <v>0</v>
      </c>
      <c r="AZ249" s="860">
        <f>SUM(AZ251:AZ253)</f>
        <v>0</v>
      </c>
      <c r="BA249" s="860">
        <f>SUM(BA251:BA253)</f>
        <v>0</v>
      </c>
      <c r="BB249" s="860">
        <f>SUM(BB251:BB253)</f>
        <v>0</v>
      </c>
      <c r="BC249" s="860">
        <f>SUM(BC251:BC253)</f>
        <v>0</v>
      </c>
      <c r="BD249" s="860">
        <f>SUM(BD251:BD253)</f>
        <v>0</v>
      </c>
      <c r="BE249" s="860">
        <f>SUM(BE251:BE253)</f>
        <v>0</v>
      </c>
      <c r="BF249" s="860">
        <f>SUM(BF251:BF253)</f>
        <v>0</v>
      </c>
      <c r="BG249" s="860">
        <f>SUM(BG251:BG253)</f>
        <v>0</v>
      </c>
      <c r="BH249" s="860">
        <f>SUM(BH251:BH253)</f>
        <v>0</v>
      </c>
      <c r="BI249" s="860">
        <f>SUM(BI251:BI253)</f>
        <v>0</v>
      </c>
      <c r="BJ249" s="860">
        <f>SUM(BJ251:BJ253)</f>
        <v>0</v>
      </c>
      <c r="BK249" s="860">
        <f>SUM(BK251:BK253)</f>
        <v>0</v>
      </c>
      <c r="BL249" s="860">
        <f>SUM(BL251:BL253)</f>
        <v>0</v>
      </c>
      <c r="BM249" s="860">
        <f>SUM(BM251:BM253)</f>
        <v>0</v>
      </c>
      <c r="BN249" s="860">
        <f>SUM(BN251:BN253)</f>
        <v>0</v>
      </c>
      <c r="BO249" s="860">
        <f>SUM(BO251:BO253)</f>
        <v>0</v>
      </c>
      <c r="BP249" s="860">
        <f>SUM(BP251:BP253)</f>
        <v>0</v>
      </c>
      <c r="BQ249" s="860">
        <f>SUM(BQ251:BQ253)</f>
        <v>0</v>
      </c>
      <c r="BR249" s="860">
        <f>SUM(BR251:BR253)</f>
        <v>0</v>
      </c>
      <c r="BS249" s="860">
        <f>SUM(BS251:BS253)</f>
        <v>0</v>
      </c>
      <c r="BT249" s="860">
        <f>SUM(BT251:BT253)</f>
        <v>0</v>
      </c>
      <c r="BU249" s="860">
        <f>SUM(BU251:BU253)</f>
        <v>0</v>
      </c>
      <c r="BV249" s="860">
        <f>SUM(BV251:BV253)</f>
        <v>0</v>
      </c>
      <c r="BW249" s="860">
        <f>SUM(BW251:BW253)</f>
        <v>0</v>
      </c>
      <c r="BX249" s="860">
        <f>SUM(BX251:BX253)</f>
        <v>0</v>
      </c>
      <c r="BY249" s="860">
        <f>SUM(BY251:BY253)</f>
        <v>0</v>
      </c>
      <c r="BZ249" s="860">
        <f>SUM(BZ251:BZ253)</f>
        <v>0</v>
      </c>
      <c r="CA249" s="860">
        <f>SUM(CA251:CA253)</f>
        <v>0</v>
      </c>
      <c r="CB249" s="860">
        <f>SUM(CB251:CB253)</f>
        <v>0</v>
      </c>
      <c r="CC249" s="860">
        <f>SUM(CC251:CC253)</f>
        <v>0</v>
      </c>
      <c r="CD249" s="860">
        <f>SUM(CD251:CD253)</f>
        <v>0</v>
      </c>
      <c r="CE249" s="860">
        <f>SUM(CE251:CE253)</f>
        <v>0</v>
      </c>
      <c r="CF249" s="860">
        <f>SUM(CF251:CF253)</f>
        <v>0</v>
      </c>
      <c r="CG249" s="860">
        <f>SUM(CG251:CG253)</f>
        <v>0</v>
      </c>
      <c r="CH249" s="860">
        <f>SUM(CH251:CH253)</f>
        <v>0</v>
      </c>
      <c r="CI249" s="860">
        <f>SUM(CI251:CI253)</f>
        <v>0</v>
      </c>
      <c r="CJ249" s="860">
        <f>SUM(CJ251:CJ253)</f>
        <v>0</v>
      </c>
      <c r="CK249" s="860">
        <f>SUM(CK251:CK253)</f>
        <v>0</v>
      </c>
      <c r="CL249" s="860">
        <f>SUM(CL251:CL253)</f>
        <v>0</v>
      </c>
      <c r="CM249" s="860">
        <f>SUM(CM251:CM253)</f>
        <v>0</v>
      </c>
      <c r="CN249" s="860">
        <f>SUM(CN251:CN253)</f>
        <v>0</v>
      </c>
      <c r="CO249" s="860">
        <f>SUM(CO251:CO253)</f>
        <v>0</v>
      </c>
      <c r="CP249" s="860">
        <f>SUM(CP251:CP253)</f>
        <v>0</v>
      </c>
      <c r="CQ249" s="860">
        <f>SUM(CQ251:CQ253)</f>
        <v>0</v>
      </c>
      <c r="CR249" s="860">
        <f>SUM(CR251:CR253)</f>
        <v>0</v>
      </c>
      <c r="CS249" s="860">
        <f>SUM(CS251:CS253)</f>
        <v>0</v>
      </c>
      <c r="CT249" s="1719"/>
      <c r="CU249" s="0"/>
      <c r="CV249" s="1632"/>
      <c r="CW249" s="1173" t="s">
        <v>870</v>
      </c>
      <c r="CX249" s="1178"/>
      <c r="CY249" s="1178"/>
      <c r="CZ249" s="1178"/>
      <c r="DA249" s="1179"/>
      <c r="DB249" s="1179"/>
    </row>
    <row s="1632" customFormat="1" customHeight="1" ht="16.5" hidden="1">
      <c r="A250" s="1443"/>
      <c r="B250" s="927"/>
      <c r="C250" s="1443"/>
      <c r="D250" s="1443"/>
      <c r="E250" s="797">
        <v>17.1</v>
      </c>
      <c r="F250" s="922" cm="1" t="str">
        <f t="array" ref="F250:F250">OFFSET(G250,-1,-1)</f>
        <v>1</v>
      </c>
      <c r="G250" s="965"/>
      <c r="H250" s="965"/>
      <c r="I250" s="965"/>
      <c r="J250" s="965"/>
      <c r="K250" s="965"/>
      <c r="L250" s="922" cm="1" t="str">
        <f t="array" ref="L250:L250">OFFSET(M250,-1,-1)</f>
        <v>false</v>
      </c>
      <c r="M250" s="965"/>
      <c r="N250" s="965"/>
      <c r="O250" s="965"/>
      <c r="P250" s="965"/>
      <c r="Q250" s="965"/>
      <c r="R250" s="922" t="s">
        <v>730</v>
      </c>
      <c r="S250" s="159" cm="1" t="str">
        <f t="array" ref="S250:S250">OFFSET(T250,-1,-1)</f>
        <v>true</v>
      </c>
      <c r="T250" s="922" t="b">
        <v>0</v>
      </c>
      <c r="U250" s="819">
        <f>AND(S250,IF(ISBLANK(T250),TRUE,T250))</f>
        <v>0</v>
      </c>
      <c r="V250" s="1443"/>
      <c r="W250" s="1443"/>
      <c r="X250" s="1443"/>
      <c r="Y250" s="1443"/>
      <c r="Z250" s="1443"/>
      <c r="AA250" s="820"/>
      <c r="AB250" s="1486"/>
      <c r="AC250" s="0"/>
      <c r="AD250" s="160" t="str">
        <f>AD249&amp;".0"</f>
        <v>38.0</v>
      </c>
      <c r="AE250" s="1349" t="s">
        <v>741</v>
      </c>
      <c r="AF250" s="164"/>
      <c r="AG250" s="859" t="s">
        <v>810</v>
      </c>
      <c r="AH250" s="86">
        <f>AH$163*AH249</f>
        <v>0</v>
      </c>
      <c r="AI250" s="87">
        <f>AI$163*AI249</f>
        <v>0</v>
      </c>
      <c r="AJ250" s="87">
        <f>AJ$163*AJ249</f>
        <v>0</v>
      </c>
      <c r="AK250" s="87">
        <f>AK$163*AK249</f>
        <v>0</v>
      </c>
      <c r="AL250" s="862">
        <f>AM250+AN250</f>
        <v>0</v>
      </c>
      <c r="AM250" s="87">
        <f>AM$163*AM249</f>
        <v>0</v>
      </c>
      <c r="AN250" s="87">
        <f>AN$163*AN249</f>
        <v>0</v>
      </c>
      <c r="AO250" s="862">
        <f>AP250+AQ250</f>
        <v>0</v>
      </c>
      <c r="AP250" s="87">
        <f>AP$163*AP249</f>
        <v>0</v>
      </c>
      <c r="AQ250" s="87">
        <f>AQ$163*AQ249</f>
        <v>0</v>
      </c>
      <c r="AR250" s="862">
        <f>AS250+AT250</f>
        <v>0</v>
      </c>
      <c r="AS250" s="87">
        <f>AS$163*AS249</f>
        <v>0</v>
      </c>
      <c r="AT250" s="87">
        <f>AT$163*AT249</f>
        <v>0</v>
      </c>
      <c r="AU250" s="862">
        <f>AV250+AW250</f>
        <v>0</v>
      </c>
      <c r="AV250" s="87">
        <f>AV$163*AV249</f>
        <v>0</v>
      </c>
      <c r="AW250" s="87">
        <f>AW$163*AW249</f>
        <v>0</v>
      </c>
      <c r="AX250" s="862">
        <f>AY250+AZ250</f>
        <v>0</v>
      </c>
      <c r="AY250" s="87">
        <f>AY$163*AY249</f>
        <v>0</v>
      </c>
      <c r="AZ250" s="87">
        <f>AZ$163*AZ249</f>
        <v>0</v>
      </c>
      <c r="BA250" s="862">
        <f>BB250+BC250</f>
        <v>0</v>
      </c>
      <c r="BB250" s="87">
        <f>BB$163*BB249</f>
        <v>0</v>
      </c>
      <c r="BC250" s="87">
        <f>BC$163*BC249</f>
        <v>0</v>
      </c>
      <c r="BD250" s="862">
        <f>BE250+BF250</f>
        <v>0</v>
      </c>
      <c r="BE250" s="87">
        <f>BE$163*BE249</f>
        <v>0</v>
      </c>
      <c r="BF250" s="87">
        <f>BF$163*BF249</f>
        <v>0</v>
      </c>
      <c r="BG250" s="862">
        <f>BH250+BI250</f>
        <v>0</v>
      </c>
      <c r="BH250" s="87">
        <f>BH$163*BH249</f>
        <v>0</v>
      </c>
      <c r="BI250" s="87">
        <f>BI$163*BI249</f>
        <v>0</v>
      </c>
      <c r="BJ250" s="862">
        <f>BK250+BL250</f>
        <v>0</v>
      </c>
      <c r="BK250" s="87">
        <f>BK$163*BK249</f>
        <v>0</v>
      </c>
      <c r="BL250" s="87">
        <f>BL$163*BL249</f>
        <v>0</v>
      </c>
      <c r="BM250" s="862">
        <f>BN250+BO250</f>
        <v>0</v>
      </c>
      <c r="BN250" s="87">
        <f>BN$163*BN249</f>
        <v>0</v>
      </c>
      <c r="BO250" s="87">
        <f>BO$163*BO249</f>
        <v>0</v>
      </c>
      <c r="BP250" s="862">
        <f>BQ250+BR250</f>
        <v>0</v>
      </c>
      <c r="BQ250" s="1772">
        <f>BQ$163*BQ249</f>
        <v>0</v>
      </c>
      <c r="BR250" s="1772">
        <f>BR$163*BR249</f>
        <v>0</v>
      </c>
      <c r="BS250" s="862">
        <f>BT250+BU250</f>
        <v>0</v>
      </c>
      <c r="BT250" s="87">
        <f>BT$163*BT249</f>
        <v>0</v>
      </c>
      <c r="BU250" s="87">
        <f>BU$163*BU249</f>
        <v>0</v>
      </c>
      <c r="BV250" s="862">
        <f>BW250+BX250</f>
        <v>0</v>
      </c>
      <c r="BW250" s="87">
        <f>BW$163*BW249</f>
        <v>0</v>
      </c>
      <c r="BX250" s="87">
        <f>BX$163*BX249</f>
        <v>0</v>
      </c>
      <c r="BY250" s="862">
        <f>BZ250+CA250</f>
        <v>0</v>
      </c>
      <c r="BZ250" s="87">
        <f>BZ$163*BZ249</f>
        <v>0</v>
      </c>
      <c r="CA250" s="87">
        <f>CA$163*CA249</f>
        <v>0</v>
      </c>
      <c r="CB250" s="862">
        <f>CC250+CD250</f>
        <v>0</v>
      </c>
      <c r="CC250" s="87">
        <f>CC$163*CC249</f>
        <v>0</v>
      </c>
      <c r="CD250" s="87">
        <f>CD$163*CD249</f>
        <v>0</v>
      </c>
      <c r="CE250" s="862">
        <f>CF250+CG250</f>
        <v>0</v>
      </c>
      <c r="CF250" s="87">
        <f>CF$163*CF249</f>
        <v>0</v>
      </c>
      <c r="CG250" s="87">
        <f>CG$163*CG249</f>
        <v>0</v>
      </c>
      <c r="CH250" s="862">
        <f>CI250+CJ250</f>
        <v>0</v>
      </c>
      <c r="CI250" s="87">
        <f>CI$163*CI249</f>
        <v>0</v>
      </c>
      <c r="CJ250" s="87">
        <f>CJ$163*CJ249</f>
        <v>0</v>
      </c>
      <c r="CK250" s="862">
        <f>CL250+CM250</f>
        <v>0</v>
      </c>
      <c r="CL250" s="87">
        <f>CL$163*CL249</f>
        <v>0</v>
      </c>
      <c r="CM250" s="87">
        <f>CM$163*CM249</f>
        <v>0</v>
      </c>
      <c r="CN250" s="862">
        <f>CO250+CP250</f>
        <v>0</v>
      </c>
      <c r="CO250" s="87">
        <f>CO$163*CO249</f>
        <v>0</v>
      </c>
      <c r="CP250" s="87">
        <f>CP$163*CP249</f>
        <v>0</v>
      </c>
      <c r="CQ250" s="862">
        <f>CR250+CS250</f>
        <v>0</v>
      </c>
      <c r="CR250" s="87">
        <f>CR$163*CR249</f>
        <v>0</v>
      </c>
      <c r="CS250" s="87">
        <f>CS$163*CS249</f>
        <v>0</v>
      </c>
      <c r="CT250" s="73"/>
      <c r="CU250" s="0"/>
      <c r="CV250" s="1632"/>
      <c r="CW250" s="1173" t="s">
        <v>871</v>
      </c>
      <c r="CX250" s="1178"/>
      <c r="CY250" s="1178"/>
      <c r="CZ250" s="1178"/>
      <c r="DA250" s="1179"/>
      <c r="DB250" s="1179"/>
    </row>
    <row s="1632" customFormat="1" customHeight="1" ht="16.5" hidden="1">
      <c r="E251" s="797">
        <v>17.1</v>
      </c>
      <c r="F251" s="922" cm="1" t="str">
        <f t="array" ref="F251:F251">OFFSET(G251,-1,-1)</f>
        <v>1</v>
      </c>
      <c r="L251" s="922" cm="1" t="str">
        <f t="array" ref="L251:L251">OFFSET(M251,-1,-1)</f>
        <v>false</v>
      </c>
      <c r="S251" s="159" cm="1" t="str">
        <f t="array" ref="S251:S251">OFFSET(T251,-1,-1)</f>
        <v>true</v>
      </c>
      <c r="T251" s="159">
        <f>AD251&lt;&gt;"38.0"</f>
        <v>0</v>
      </c>
      <c r="U251" s="819">
        <f>AND(S251,IF(ISBLANK(T251),TRUE,T251))</f>
        <v>0</v>
      </c>
      <c r="X251" s="159" t="s">
        <v>234</v>
      </c>
      <c r="AB251" s="1486"/>
      <c r="AD251" s="160" t="s">
        <v>872</v>
      </c>
      <c r="AE251" s="974"/>
      <c r="AF251" s="625"/>
      <c r="AG251" s="859" t="s">
        <v>810</v>
      </c>
      <c r="AH251" s="86"/>
      <c r="AI251" s="87"/>
      <c r="AJ251" s="87"/>
      <c r="AK251" s="87"/>
      <c r="AL251" s="862">
        <f>AM251+AN251</f>
        <v>0</v>
      </c>
      <c r="AM251" s="87"/>
      <c r="AN251" s="87"/>
      <c r="AO251" s="862">
        <f>AP251+AQ251</f>
        <v>0</v>
      </c>
      <c r="AP251" s="87"/>
      <c r="AQ251" s="87"/>
      <c r="AR251" s="862">
        <f>AS251+AT251</f>
        <v>0</v>
      </c>
      <c r="AS251" s="87"/>
      <c r="AT251" s="87"/>
      <c r="AU251" s="862">
        <f>AV251+AW251</f>
        <v>0</v>
      </c>
      <c r="AV251" s="87"/>
      <c r="AW251" s="87"/>
      <c r="AX251" s="862">
        <f>AY251+AZ251</f>
        <v>0</v>
      </c>
      <c r="AY251" s="87"/>
      <c r="AZ251" s="87"/>
      <c r="BA251" s="862">
        <f>BB251+BC251</f>
        <v>0</v>
      </c>
      <c r="BB251" s="87"/>
      <c r="BC251" s="87"/>
      <c r="BD251" s="862">
        <f>BE251+BF251</f>
        <v>0</v>
      </c>
      <c r="BE251" s="87"/>
      <c r="BF251" s="87"/>
      <c r="BG251" s="862">
        <f>BH251+BI251</f>
        <v>0</v>
      </c>
      <c r="BH251" s="87"/>
      <c r="BI251" s="87"/>
      <c r="BJ251" s="862">
        <f>BK251+BL251</f>
        <v>0</v>
      </c>
      <c r="BK251" s="87"/>
      <c r="BL251" s="87"/>
      <c r="BM251" s="862">
        <f>BN251+BO251</f>
        <v>0</v>
      </c>
      <c r="BN251" s="87"/>
      <c r="BO251" s="87"/>
      <c r="BP251" s="862">
        <f>BQ251+BR251</f>
        <v>0</v>
      </c>
      <c r="BQ251" s="979"/>
      <c r="BR251" s="979"/>
      <c r="BS251" s="862">
        <f>BT251+BU251</f>
        <v>0</v>
      </c>
      <c r="BT251" s="87"/>
      <c r="BU251" s="87"/>
      <c r="BV251" s="862">
        <f>BW251+BX251</f>
        <v>0</v>
      </c>
      <c r="BW251" s="87"/>
      <c r="BX251" s="87"/>
      <c r="BY251" s="862">
        <f>BZ251+CA251</f>
        <v>0</v>
      </c>
      <c r="BZ251" s="87"/>
      <c r="CA251" s="87"/>
      <c r="CB251" s="862">
        <f>CC251+CD251</f>
        <v>0</v>
      </c>
      <c r="CC251" s="87"/>
      <c r="CD251" s="87"/>
      <c r="CE251" s="862">
        <f>CF251+CG251</f>
        <v>0</v>
      </c>
      <c r="CF251" s="87"/>
      <c r="CG251" s="87"/>
      <c r="CH251" s="862">
        <f>CI251+CJ251</f>
        <v>0</v>
      </c>
      <c r="CI251" s="87"/>
      <c r="CJ251" s="87"/>
      <c r="CK251" s="862">
        <f>CL251+CM251</f>
        <v>0</v>
      </c>
      <c r="CL251" s="87"/>
      <c r="CM251" s="87"/>
      <c r="CN251" s="862">
        <f>CO251+CP251</f>
        <v>0</v>
      </c>
      <c r="CO251" s="87"/>
      <c r="CP251" s="87"/>
      <c r="CQ251" s="862">
        <f>CR251+CS251</f>
        <v>0</v>
      </c>
      <c r="CR251" s="87"/>
      <c r="CS251" s="87"/>
      <c r="CT251" s="73"/>
      <c r="CW251" s="1173" t="s">
        <v>871</v>
      </c>
      <c r="CX251" s="1178" t="s">
        <v>792</v>
      </c>
      <c r="CY251" s="1182" cm="1" t="str">
        <f t="array" ref="CY251:CY251">AE251</f>
        <v>0</v>
      </c>
      <c r="CZ251" s="1182" cm="1" t="str">
        <f t="array" ref="CZ251:CZ251">AF251</f>
        <v>0</v>
      </c>
      <c r="DA251" s="1179"/>
      <c r="DB251" s="1179"/>
    </row>
    <row s="1632" customFormat="1" customHeight="1" ht="16.5">
      <c r="A252" s="1632"/>
      <c r="B252" s="1632"/>
      <c r="C252" s="1632"/>
      <c r="D252" s="1632"/>
      <c r="E252" s="797">
        <v>17.1</v>
      </c>
      <c r="F252" s="922" cm="1" t="str">
        <f t="array" ref="F252:F252">OFFSET(G252,-1,-1)</f>
        <v>1</v>
      </c>
      <c r="G252" s="1632"/>
      <c r="H252" s="1632"/>
      <c r="I252" s="1632"/>
      <c r="J252" s="1632"/>
      <c r="K252" s="1632"/>
      <c r="L252" s="922" cm="1" t="str">
        <f t="array" ref="L252:L252">OFFSET(M252,-1,-1)</f>
        <v>false</v>
      </c>
      <c r="M252" s="1632"/>
      <c r="N252" s="1632"/>
      <c r="O252" s="1632"/>
      <c r="P252" s="1632"/>
      <c r="Q252" s="1632"/>
      <c r="R252" s="1632"/>
      <c r="S252" s="159" cm="1" t="str">
        <f t="array" ref="S252:S252">OFFSET(T252,-1,-1)</f>
        <v>true</v>
      </c>
      <c r="T252" s="159">
        <f>AD252&lt;&gt;"38.0"</f>
        <v>1</v>
      </c>
      <c r="U252" s="819">
        <f>AND(S252,IF(ISBLANK(T252),TRUE,T252))</f>
        <v>1</v>
      </c>
      <c r="V252" s="1632"/>
      <c r="W252" s="1632"/>
      <c r="X252" s="159" t="str">
        <f>'Топливо 4.4'!$AE$247&amp;'Топливо 4.4'!$AF$247</f>
        <v>Уголь длиннопламенный</v>
      </c>
      <c r="Y252" s="1632"/>
      <c r="Z252" s="1632"/>
      <c r="AA252" s="1632"/>
      <c r="AB252" s="1486"/>
      <c r="AC252" s="0"/>
      <c r="AD252" s="160" t="s">
        <v>922</v>
      </c>
      <c r="AE252" s="974" cm="1" t="str">
        <f t="array" ref="AE252:AE252">IF(ISBLANK('Топливо 4.4'!$AE$247),"",'Топливо 4.4'!$AE$247)</f>
        <v>Уголь длиннопламенный</v>
      </c>
      <c r="AF252" s="625" cm="1" t="str">
        <f t="array" ref="AF252:AF252">IF(ISBLANK('Топливо 4.4'!$AF$247),"",'Топливо 4.4'!$AF$247)</f>
        <v/>
      </c>
      <c r="AG252" s="859" t="s">
        <v>810</v>
      </c>
      <c r="AH252" s="1791"/>
      <c r="AI252" s="1772"/>
      <c r="AJ252" s="1772"/>
      <c r="AK252" s="1772"/>
      <c r="AL252" s="862">
        <f>AM252+AN252</f>
        <v>0</v>
      </c>
      <c r="AM252" s="1772"/>
      <c r="AN252" s="1772"/>
      <c r="AO252" s="862">
        <f>AP252+AQ252</f>
        <v>0</v>
      </c>
      <c r="AP252" s="1772"/>
      <c r="AQ252" s="1772"/>
      <c r="AR252" s="862">
        <f>AS252+AT252</f>
        <v>0</v>
      </c>
      <c r="AS252" s="1772"/>
      <c r="AT252" s="1772"/>
      <c r="AU252" s="862">
        <f>AV252+AW252</f>
        <v>0</v>
      </c>
      <c r="AV252" s="1772"/>
      <c r="AW252" s="1772"/>
      <c r="AX252" s="862">
        <f>AY252+AZ252</f>
        <v>0</v>
      </c>
      <c r="AY252" s="1772"/>
      <c r="AZ252" s="1772"/>
      <c r="BA252" s="862">
        <f>BB252+BC252</f>
        <v>0</v>
      </c>
      <c r="BB252" s="1772"/>
      <c r="BC252" s="1772"/>
      <c r="BD252" s="862">
        <f>BE252+BF252</f>
        <v>0</v>
      </c>
      <c r="BE252" s="1772"/>
      <c r="BF252" s="1772"/>
      <c r="BG252" s="862">
        <f>BH252+BI252</f>
        <v>0</v>
      </c>
      <c r="BH252" s="1772"/>
      <c r="BI252" s="1772"/>
      <c r="BJ252" s="862">
        <f>BK252+BL252</f>
        <v>0</v>
      </c>
      <c r="BK252" s="1772"/>
      <c r="BL252" s="1772"/>
      <c r="BM252" s="862">
        <f>BN252+BO252</f>
        <v>0</v>
      </c>
      <c r="BN252" s="1772"/>
      <c r="BO252" s="1772"/>
      <c r="BP252" s="862">
        <f>BQ252+BR252</f>
        <v>0</v>
      </c>
      <c r="BQ252" s="979"/>
      <c r="BR252" s="979"/>
      <c r="BS252" s="862">
        <f>BT252+BU252</f>
        <v>0</v>
      </c>
      <c r="BT252" s="1772"/>
      <c r="BU252" s="1772"/>
      <c r="BV252" s="862">
        <f>BW252+BX252</f>
        <v>0</v>
      </c>
      <c r="BW252" s="1772"/>
      <c r="BX252" s="1772"/>
      <c r="BY252" s="862">
        <f>BZ252+CA252</f>
        <v>0</v>
      </c>
      <c r="BZ252" s="1772"/>
      <c r="CA252" s="1772"/>
      <c r="CB252" s="862">
        <f>CC252+CD252</f>
        <v>0</v>
      </c>
      <c r="CC252" s="1772"/>
      <c r="CD252" s="1772"/>
      <c r="CE252" s="862">
        <f>CF252+CG252</f>
        <v>0</v>
      </c>
      <c r="CF252" s="1772"/>
      <c r="CG252" s="1772"/>
      <c r="CH252" s="862">
        <f>CI252+CJ252</f>
        <v>0</v>
      </c>
      <c r="CI252" s="1772"/>
      <c r="CJ252" s="1772"/>
      <c r="CK252" s="862">
        <f>CL252+CM252</f>
        <v>0</v>
      </c>
      <c r="CL252" s="1772"/>
      <c r="CM252" s="1772"/>
      <c r="CN252" s="862">
        <f>CO252+CP252</f>
        <v>0</v>
      </c>
      <c r="CO252" s="1772"/>
      <c r="CP252" s="1772"/>
      <c r="CQ252" s="862">
        <f>CR252+CS252</f>
        <v>0</v>
      </c>
      <c r="CR252" s="1772"/>
      <c r="CS252" s="1772"/>
      <c r="CT252" s="1719"/>
      <c r="CU252" s="0"/>
      <c r="CV252" s="1632"/>
      <c r="CW252" s="1173" t="s">
        <v>871</v>
      </c>
      <c r="CX252" s="1178" t="s">
        <v>792</v>
      </c>
      <c r="CY252" s="1182" cm="1" t="str">
        <f t="array" ref="CY252:CY252">AE252</f>
        <v>Уголь длиннопламенный</v>
      </c>
      <c r="CZ252" s="1182" cm="1" t="str">
        <f t="array" ref="CZ252:CZ252">AF252</f>
        <v/>
      </c>
      <c r="DA252" s="1179"/>
      <c r="DB252" s="1179"/>
    </row>
    <row s="1632" customFormat="1" customHeight="1" ht="15" hidden="1">
      <c r="A253" s="1443"/>
      <c r="B253" s="927"/>
      <c r="C253" s="1443"/>
      <c r="D253" s="1443"/>
      <c r="E253" s="797">
        <v>0</v>
      </c>
      <c r="F253" s="922" cm="1" t="str">
        <f t="array" ref="F253:F253">OFFSET(G253,-1,-1)</f>
        <v>1</v>
      </c>
      <c r="G253" s="965"/>
      <c r="H253" s="965"/>
      <c r="I253" s="965"/>
      <c r="J253" s="965"/>
      <c r="K253" s="965"/>
      <c r="L253" s="922" cm="1" t="str">
        <f t="array" ref="L253:L253">OFFSET(M253,-1,-1)</f>
        <v>false</v>
      </c>
      <c r="M253" s="965"/>
      <c r="N253" s="965"/>
      <c r="O253" s="965"/>
      <c r="P253" s="965"/>
      <c r="Q253" s="965"/>
      <c r="R253" s="1443"/>
      <c r="S253" s="159" cm="1" t="str">
        <f t="array" ref="S253:S253">OFFSET(T253,-1,-1)</f>
        <v>true</v>
      </c>
      <c r="T253" s="1443"/>
      <c r="U253" s="819">
        <f>AND(S253,IF(ISBLANK(T253),TRUE,T253))</f>
        <v>1</v>
      </c>
      <c r="V253" s="1443"/>
      <c r="W253" s="1443"/>
      <c r="X253" s="973" t="str">
        <f>"{                  
         funcDyn: 'msg1',
         blok: 'blok_2',
         wsCross: 'Топливо 4.4',
         linkFormula: 'AE-AE#AF-AF',
         levelDyn: "&amp;Y139&amp;"
}"</f>
        <v>{                  
         funcDyn: 'msg1',
         blok: 'blok_2',
         wsCross: 'Топливо 4.4',
         linkFormula: 'AE-AE#AF-AF',
         levelDyn: 1
}</v>
      </c>
      <c r="Y253" s="1443"/>
      <c r="Z253" s="1443"/>
      <c r="AA253" s="820"/>
      <c r="AB253" s="1486"/>
      <c r="AC253" s="0"/>
      <c r="AD253" s="976"/>
      <c r="AE253" s="975" t="s">
        <v>236</v>
      </c>
      <c r="AF253" s="874"/>
      <c r="AG253" s="859"/>
      <c r="AH253" s="861"/>
      <c r="AI253" s="863"/>
      <c r="AJ253" s="863"/>
      <c r="AK253" s="863"/>
      <c r="AL253" s="863"/>
      <c r="AM253" s="863"/>
      <c r="AN253" s="863"/>
      <c r="AO253" s="863"/>
      <c r="AP253" s="863"/>
      <c r="AQ253" s="863"/>
      <c r="AR253" s="863"/>
      <c r="AS253" s="863"/>
      <c r="AT253" s="863"/>
      <c r="AU253" s="863"/>
      <c r="AV253" s="863"/>
      <c r="AW253" s="863"/>
      <c r="AX253" s="863"/>
      <c r="AY253" s="863"/>
      <c r="AZ253" s="863"/>
      <c r="BA253" s="863"/>
      <c r="BB253" s="863"/>
      <c r="BC253" s="863"/>
      <c r="BD253" s="863"/>
      <c r="BE253" s="863"/>
      <c r="BF253" s="863"/>
      <c r="BG253" s="863"/>
      <c r="BH253" s="863"/>
      <c r="BI253" s="863"/>
      <c r="BJ253" s="863"/>
      <c r="BK253" s="863"/>
      <c r="BL253" s="863"/>
      <c r="BM253" s="863"/>
      <c r="BN253" s="863"/>
      <c r="BO253" s="863"/>
      <c r="BP253" s="863"/>
      <c r="BQ253" s="863"/>
      <c r="BR253" s="863"/>
      <c r="BS253" s="863"/>
      <c r="BT253" s="863"/>
      <c r="BU253" s="863"/>
      <c r="BV253" s="863"/>
      <c r="BW253" s="863"/>
      <c r="BX253" s="863"/>
      <c r="BY253" s="863"/>
      <c r="BZ253" s="863"/>
      <c r="CA253" s="863"/>
      <c r="CB253" s="863"/>
      <c r="CC253" s="863"/>
      <c r="CD253" s="863"/>
      <c r="CE253" s="863"/>
      <c r="CF253" s="863"/>
      <c r="CG253" s="863"/>
      <c r="CH253" s="863"/>
      <c r="CI253" s="863"/>
      <c r="CJ253" s="863"/>
      <c r="CK253" s="863"/>
      <c r="CL253" s="863"/>
      <c r="CM253" s="863"/>
      <c r="CN253" s="863"/>
      <c r="CO253" s="863"/>
      <c r="CP253" s="863"/>
      <c r="CQ253" s="863"/>
      <c r="CR253" s="863"/>
      <c r="CS253" s="863"/>
      <c r="CT253" s="91"/>
      <c r="CU253" s="0"/>
      <c r="CV253" s="1632"/>
      <c r="CW253" s="1173" t="str">
        <f>IF(AND(ISNUMBER(VALUE(TRIM(SUBSTITUTE(AD253,".","")))),TRIM(SUBSTITUTE(AD253,".",""))&lt;&gt;""),"P"&amp;SUBSTITUTE(AD253,".",""),"")</f>
        <v/>
      </c>
      <c r="CX253" s="1178"/>
      <c r="CY253" s="1178"/>
      <c r="CZ253" s="1178"/>
      <c r="DA253" s="1179"/>
      <c r="DB253" s="1179"/>
    </row>
    <row s="1632" customFormat="1" customHeight="1" ht="29.25" hidden="1">
      <c r="A254" s="1443"/>
      <c r="B254" s="927"/>
      <c r="C254" s="1443"/>
      <c r="D254" s="1443"/>
      <c r="E254" s="797">
        <v>30</v>
      </c>
      <c r="F254" s="922" cm="1" t="str">
        <f t="array" ref="F254:F254">OFFSET(G254,-1,-1)</f>
        <v>1</v>
      </c>
      <c r="G254" s="965"/>
      <c r="H254" s="965"/>
      <c r="I254" s="965"/>
      <c r="J254" s="965"/>
      <c r="K254" s="965"/>
      <c r="L254" s="922" cm="1" t="str">
        <f t="array" ref="L254:L254">OFFSET(M254,-1,-1)</f>
        <v>false</v>
      </c>
      <c r="M254" s="965"/>
      <c r="N254" s="965"/>
      <c r="O254" s="965"/>
      <c r="P254" s="965"/>
      <c r="Q254" s="965"/>
      <c r="R254" s="922" t="s">
        <v>730</v>
      </c>
      <c r="S254" s="159" cm="1" t="str">
        <f t="array" ref="S254:S254">OFFSET(T254,-1,-1)</f>
        <v>true</v>
      </c>
      <c r="T254" s="159" cm="1" t="str">
        <f t="array" ref="T254:T254">L254</f>
        <v>false</v>
      </c>
      <c r="U254" s="819">
        <f>AND(S254,IF(ISBLANK(T254),TRUE,T254))</f>
        <v>0</v>
      </c>
      <c r="V254" s="1443"/>
      <c r="W254" s="1443"/>
      <c r="X254" s="1443"/>
      <c r="Y254" s="1443"/>
      <c r="Z254" s="1443"/>
      <c r="AA254" s="820"/>
      <c r="AB254" s="1486"/>
      <c r="AC254" s="0"/>
      <c r="AD254" s="173" t="s">
        <v>873</v>
      </c>
      <c r="AE254" s="1502" t="s">
        <v>874</v>
      </c>
      <c r="AF254" s="163"/>
      <c r="AG254" s="859" t="s">
        <v>810</v>
      </c>
      <c r="AH254" s="860">
        <f>SUM(AH255:AH257)</f>
        <v>0</v>
      </c>
      <c r="AI254" s="860">
        <f>SUM(AI255:AI257)</f>
        <v>0</v>
      </c>
      <c r="AJ254" s="860">
        <f>SUM(AJ255:AJ257)</f>
        <v>0</v>
      </c>
      <c r="AK254" s="860">
        <f>SUM(AK255:AK257)</f>
        <v>0</v>
      </c>
      <c r="AL254" s="860">
        <f>SUM(AL255:AL257)</f>
        <v>0</v>
      </c>
      <c r="AM254" s="860">
        <f>SUM(AM255:AM257)</f>
        <v>0</v>
      </c>
      <c r="AN254" s="860">
        <f>SUM(AN255:AN257)</f>
        <v>0</v>
      </c>
      <c r="AO254" s="860">
        <f>SUM(AO255:AO257)</f>
        <v>0</v>
      </c>
      <c r="AP254" s="860">
        <f>SUM(AP255:AP257)</f>
        <v>0</v>
      </c>
      <c r="AQ254" s="860">
        <f>SUM(AQ255:AQ257)</f>
        <v>0</v>
      </c>
      <c r="AR254" s="860">
        <f>SUM(AR255:AR257)</f>
        <v>0</v>
      </c>
      <c r="AS254" s="860">
        <f>SUM(AS255:AS257)</f>
        <v>0</v>
      </c>
      <c r="AT254" s="860">
        <f>SUM(AT255:AT257)</f>
        <v>0</v>
      </c>
      <c r="AU254" s="860">
        <f>SUM(AU255:AU257)</f>
        <v>0</v>
      </c>
      <c r="AV254" s="860">
        <f>SUM(AV255:AV257)</f>
        <v>0</v>
      </c>
      <c r="AW254" s="860">
        <f>SUM(AW255:AW257)</f>
        <v>0</v>
      </c>
      <c r="AX254" s="860">
        <f>SUM(AX255:AX257)</f>
        <v>0</v>
      </c>
      <c r="AY254" s="860">
        <f>SUM(AY255:AY257)</f>
        <v>0</v>
      </c>
      <c r="AZ254" s="860">
        <f>SUM(AZ255:AZ257)</f>
        <v>0</v>
      </c>
      <c r="BA254" s="860">
        <f>SUM(BA255:BA257)</f>
        <v>0</v>
      </c>
      <c r="BB254" s="860">
        <f>SUM(BB255:BB257)</f>
        <v>0</v>
      </c>
      <c r="BC254" s="860">
        <f>SUM(BC255:BC257)</f>
        <v>0</v>
      </c>
      <c r="BD254" s="860">
        <f>SUM(BD255:BD257)</f>
        <v>0</v>
      </c>
      <c r="BE254" s="860">
        <f>SUM(BE255:BE257)</f>
        <v>0</v>
      </c>
      <c r="BF254" s="860">
        <f>SUM(BF255:BF257)</f>
        <v>0</v>
      </c>
      <c r="BG254" s="860">
        <f>SUM(BG255:BG257)</f>
        <v>0</v>
      </c>
      <c r="BH254" s="860">
        <f>SUM(BH255:BH257)</f>
        <v>0</v>
      </c>
      <c r="BI254" s="860">
        <f>SUM(BI255:BI257)</f>
        <v>0</v>
      </c>
      <c r="BJ254" s="860">
        <f>SUM(BJ255:BJ257)</f>
        <v>0</v>
      </c>
      <c r="BK254" s="860">
        <f>SUM(BK255:BK257)</f>
        <v>0</v>
      </c>
      <c r="BL254" s="860">
        <f>SUM(BL255:BL257)</f>
        <v>0</v>
      </c>
      <c r="BM254" s="860">
        <f>SUM(BM255:BM257)</f>
        <v>0</v>
      </c>
      <c r="BN254" s="860">
        <f>SUM(BN255:BN257)</f>
        <v>0</v>
      </c>
      <c r="BO254" s="860">
        <f>SUM(BO255:BO257)</f>
        <v>0</v>
      </c>
      <c r="BP254" s="860">
        <f>SUM(BP255:BP257)</f>
        <v>0</v>
      </c>
      <c r="BQ254" s="860">
        <f>SUM(BQ255:BQ257)</f>
        <v>0</v>
      </c>
      <c r="BR254" s="860">
        <f>SUM(BR255:BR257)</f>
        <v>0</v>
      </c>
      <c r="BS254" s="860">
        <f>SUM(BS255:BS257)</f>
        <v>0</v>
      </c>
      <c r="BT254" s="860">
        <f>SUM(BT255:BT257)</f>
        <v>0</v>
      </c>
      <c r="BU254" s="860">
        <f>SUM(BU255:BU257)</f>
        <v>0</v>
      </c>
      <c r="BV254" s="860">
        <f>SUM(BV255:BV257)</f>
        <v>0</v>
      </c>
      <c r="BW254" s="860">
        <f>SUM(BW255:BW257)</f>
        <v>0</v>
      </c>
      <c r="BX254" s="860">
        <f>SUM(BX255:BX257)</f>
        <v>0</v>
      </c>
      <c r="BY254" s="860">
        <f>SUM(BY255:BY257)</f>
        <v>0</v>
      </c>
      <c r="BZ254" s="860">
        <f>SUM(BZ255:BZ257)</f>
        <v>0</v>
      </c>
      <c r="CA254" s="860">
        <f>SUM(CA255:CA257)</f>
        <v>0</v>
      </c>
      <c r="CB254" s="860">
        <f>SUM(CB255:CB257)</f>
        <v>0</v>
      </c>
      <c r="CC254" s="860">
        <f>SUM(CC255:CC257)</f>
        <v>0</v>
      </c>
      <c r="CD254" s="860">
        <f>SUM(CD255:CD257)</f>
        <v>0</v>
      </c>
      <c r="CE254" s="860">
        <f>SUM(CE255:CE257)</f>
        <v>0</v>
      </c>
      <c r="CF254" s="860">
        <f>SUM(CF255:CF257)</f>
        <v>0</v>
      </c>
      <c r="CG254" s="860">
        <f>SUM(CG255:CG257)</f>
        <v>0</v>
      </c>
      <c r="CH254" s="860">
        <f>SUM(CH255:CH257)</f>
        <v>0</v>
      </c>
      <c r="CI254" s="860">
        <f>SUM(CI255:CI257)</f>
        <v>0</v>
      </c>
      <c r="CJ254" s="860">
        <f>SUM(CJ255:CJ257)</f>
        <v>0</v>
      </c>
      <c r="CK254" s="860">
        <f>SUM(CK255:CK257)</f>
        <v>0</v>
      </c>
      <c r="CL254" s="860">
        <f>SUM(CL255:CL257)</f>
        <v>0</v>
      </c>
      <c r="CM254" s="860">
        <f>SUM(CM255:CM257)</f>
        <v>0</v>
      </c>
      <c r="CN254" s="860">
        <f>SUM(CN255:CN257)</f>
        <v>0</v>
      </c>
      <c r="CO254" s="860">
        <f>SUM(CO255:CO257)</f>
        <v>0</v>
      </c>
      <c r="CP254" s="860">
        <f>SUM(CP255:CP257)</f>
        <v>0</v>
      </c>
      <c r="CQ254" s="860">
        <f>SUM(CQ255:CQ257)</f>
        <v>0</v>
      </c>
      <c r="CR254" s="860">
        <f>SUM(CR255:CR257)</f>
        <v>0</v>
      </c>
      <c r="CS254" s="860">
        <f>SUM(CS255:CS257)</f>
        <v>0</v>
      </c>
      <c r="CT254" s="73"/>
      <c r="CU254" s="0"/>
      <c r="CV254" s="1632"/>
      <c r="CW254" s="1173" t="s">
        <v>875</v>
      </c>
      <c r="CX254" s="1178"/>
      <c r="CY254" s="1178"/>
      <c r="CZ254" s="1178"/>
      <c r="DA254" s="1179"/>
      <c r="DB254" s="1179"/>
    </row>
    <row s="1632" customFormat="1" customHeight="1" ht="16.5" hidden="1">
      <c r="E255" s="797">
        <v>17.1</v>
      </c>
      <c r="F255" s="922" cm="1" t="str">
        <f t="array" ref="F255:F255">OFFSET(G255,-1,-1)</f>
        <v>1</v>
      </c>
      <c r="L255" s="922" cm="1" t="str">
        <f t="array" ref="L255:L255">OFFSET(M255,-1,-1)</f>
        <v>false</v>
      </c>
      <c r="R255" s="922" t="s">
        <v>730</v>
      </c>
      <c r="S255" s="159" cm="1" t="str">
        <f t="array" ref="S255:S255">OFFSET(T255,-1,-1)</f>
        <v>true</v>
      </c>
      <c r="T255" s="159">
        <f>AND(L255,AD255&lt;&gt;"39.0")</f>
        <v>0</v>
      </c>
      <c r="U255" s="819">
        <f>AND(S255,IF(ISBLANK(T255),TRUE,T255))</f>
        <v>0</v>
      </c>
      <c r="X255" s="159" t="s">
        <v>234</v>
      </c>
      <c r="AB255" s="1486"/>
      <c r="AD255" s="160" t="s">
        <v>876</v>
      </c>
      <c r="AE255" s="974"/>
      <c r="AF255" s="625"/>
      <c r="AG255" s="859" t="s">
        <v>810</v>
      </c>
      <c r="AH255" s="86">
        <f>AH$163*AH251</f>
        <v>0</v>
      </c>
      <c r="AI255" s="87">
        <f>AI$163*AI251</f>
        <v>0</v>
      </c>
      <c r="AJ255" s="87">
        <f>AJ$163*AJ251</f>
        <v>0</v>
      </c>
      <c r="AK255" s="87">
        <f>AK$163*AK251</f>
        <v>0</v>
      </c>
      <c r="AL255" s="862">
        <f>AM255+AN255</f>
        <v>0</v>
      </c>
      <c r="AM255" s="87">
        <f>AM$163*AM251</f>
        <v>0</v>
      </c>
      <c r="AN255" s="87">
        <f>AN$163*AN251</f>
        <v>0</v>
      </c>
      <c r="AO255" s="862">
        <f>AP255+AQ255</f>
        <v>0</v>
      </c>
      <c r="AP255" s="87">
        <f>AP$163*AP251</f>
        <v>0</v>
      </c>
      <c r="AQ255" s="87">
        <f>AQ$163*AQ251</f>
        <v>0</v>
      </c>
      <c r="AR255" s="862">
        <f>AS255+AT255</f>
        <v>0</v>
      </c>
      <c r="AS255" s="87">
        <f>AS$163*AS251</f>
        <v>0</v>
      </c>
      <c r="AT255" s="87">
        <f>AT$163*AT251</f>
        <v>0</v>
      </c>
      <c r="AU255" s="862">
        <f>AV255+AW255</f>
        <v>0</v>
      </c>
      <c r="AV255" s="87">
        <f>AV$163*AV251</f>
        <v>0</v>
      </c>
      <c r="AW255" s="87">
        <f>AW$163*AW251</f>
        <v>0</v>
      </c>
      <c r="AX255" s="862">
        <f>AY255+AZ255</f>
        <v>0</v>
      </c>
      <c r="AY255" s="87">
        <f>AY$163*AY251</f>
        <v>0</v>
      </c>
      <c r="AZ255" s="87">
        <f>AZ$163*AZ251</f>
        <v>0</v>
      </c>
      <c r="BA255" s="862">
        <f>BB255+BC255</f>
        <v>0</v>
      </c>
      <c r="BB255" s="87">
        <f>BB$163*BB251</f>
        <v>0</v>
      </c>
      <c r="BC255" s="87">
        <f>BC$163*BC251</f>
        <v>0</v>
      </c>
      <c r="BD255" s="862">
        <f>BE255+BF255</f>
        <v>0</v>
      </c>
      <c r="BE255" s="87">
        <f>BE$163*BE251</f>
        <v>0</v>
      </c>
      <c r="BF255" s="87">
        <f>BF$163*BF251</f>
        <v>0</v>
      </c>
      <c r="BG255" s="862">
        <f>BH255+BI255</f>
        <v>0</v>
      </c>
      <c r="BH255" s="87">
        <f>BH$163*BH251</f>
        <v>0</v>
      </c>
      <c r="BI255" s="87">
        <f>BI$163*BI251</f>
        <v>0</v>
      </c>
      <c r="BJ255" s="862">
        <f>BK255+BL255</f>
        <v>0</v>
      </c>
      <c r="BK255" s="87">
        <f>BK$163*BK251</f>
        <v>0</v>
      </c>
      <c r="BL255" s="87">
        <f>BL$163*BL251</f>
        <v>0</v>
      </c>
      <c r="BM255" s="862">
        <f>BN255+BO255</f>
        <v>0</v>
      </c>
      <c r="BN255" s="87">
        <f>BN$163*BN251</f>
        <v>0</v>
      </c>
      <c r="BO255" s="87">
        <f>BO$163*BO251</f>
        <v>0</v>
      </c>
      <c r="BP255" s="862">
        <f>BQ255+BR255</f>
        <v>0</v>
      </c>
      <c r="BQ255" s="979">
        <f>BQ$163*BQ251</f>
        <v>0</v>
      </c>
      <c r="BR255" s="979">
        <f>BR$163*BR251</f>
        <v>0</v>
      </c>
      <c r="BS255" s="862">
        <f>BT255+BU255</f>
        <v>0</v>
      </c>
      <c r="BT255" s="87">
        <f>BT$163*BT251</f>
        <v>0</v>
      </c>
      <c r="BU255" s="87">
        <f>BU$163*BU251</f>
        <v>0</v>
      </c>
      <c r="BV255" s="862">
        <f>BW255+BX255</f>
        <v>0</v>
      </c>
      <c r="BW255" s="87">
        <f>BW$163*BW251</f>
        <v>0</v>
      </c>
      <c r="BX255" s="87">
        <f>BX$163*BX251</f>
        <v>0</v>
      </c>
      <c r="BY255" s="862">
        <f>BZ255+CA255</f>
        <v>0</v>
      </c>
      <c r="BZ255" s="87">
        <f>BZ$163*BZ251</f>
        <v>0</v>
      </c>
      <c r="CA255" s="87">
        <f>CA$163*CA251</f>
        <v>0</v>
      </c>
      <c r="CB255" s="862">
        <f>CC255+CD255</f>
        <v>0</v>
      </c>
      <c r="CC255" s="87">
        <f>CC$163*CC251</f>
        <v>0</v>
      </c>
      <c r="CD255" s="87">
        <f>CD$163*CD251</f>
        <v>0</v>
      </c>
      <c r="CE255" s="862">
        <f>CF255+CG255</f>
        <v>0</v>
      </c>
      <c r="CF255" s="87">
        <f>CF$163*CF251</f>
        <v>0</v>
      </c>
      <c r="CG255" s="87">
        <f>CG$163*CG251</f>
        <v>0</v>
      </c>
      <c r="CH255" s="862">
        <f>CI255+CJ255</f>
        <v>0</v>
      </c>
      <c r="CI255" s="87">
        <f>CI$163*CI251</f>
        <v>0</v>
      </c>
      <c r="CJ255" s="87">
        <f>CJ$163*CJ251</f>
        <v>0</v>
      </c>
      <c r="CK255" s="862">
        <f>CL255+CM255</f>
        <v>0</v>
      </c>
      <c r="CL255" s="87">
        <f>CL$163*CL251</f>
        <v>0</v>
      </c>
      <c r="CM255" s="87">
        <f>CM$163*CM251</f>
        <v>0</v>
      </c>
      <c r="CN255" s="862">
        <f>CO255+CP255</f>
        <v>0</v>
      </c>
      <c r="CO255" s="87">
        <f>CO$163*CO251</f>
        <v>0</v>
      </c>
      <c r="CP255" s="87">
        <f>CP$163*CP251</f>
        <v>0</v>
      </c>
      <c r="CQ255" s="862">
        <f>CR255+CS255</f>
        <v>0</v>
      </c>
      <c r="CR255" s="87">
        <f>CR$163*CR251</f>
        <v>0</v>
      </c>
      <c r="CS255" s="87">
        <f>CS$163*CS251</f>
        <v>0</v>
      </c>
      <c r="CT255" s="73"/>
      <c r="CW255" s="1173" t="s">
        <v>875</v>
      </c>
      <c r="CX255" s="1178" t="s">
        <v>792</v>
      </c>
      <c r="CY255" s="1182" cm="1" t="str">
        <f t="array" ref="CY255:CY255">AE255</f>
        <v>0</v>
      </c>
      <c r="CZ255" s="1182" cm="1" t="str">
        <f t="array" ref="CZ255:CZ255">AF255</f>
        <v>0</v>
      </c>
      <c r="DA255" s="1179"/>
      <c r="DB255" s="1179"/>
    </row>
    <row s="1632" customFormat="1" customHeight="1" ht="16.5" hidden="1">
      <c r="A256" s="1632"/>
      <c r="B256" s="1632"/>
      <c r="C256" s="1632"/>
      <c r="D256" s="1632"/>
      <c r="E256" s="797">
        <v>17.1</v>
      </c>
      <c r="F256" s="922" cm="1" t="str">
        <f t="array" ref="F256:F256">OFFSET(G256,-1,-1)</f>
        <v>1</v>
      </c>
      <c r="G256" s="1632"/>
      <c r="H256" s="1632"/>
      <c r="I256" s="1632"/>
      <c r="J256" s="1632"/>
      <c r="K256" s="1632"/>
      <c r="L256" s="922" cm="1" t="str">
        <f t="array" ref="L256:L256">OFFSET(M256,-1,-1)</f>
        <v>false</v>
      </c>
      <c r="M256" s="1632"/>
      <c r="N256" s="1632"/>
      <c r="O256" s="1632"/>
      <c r="P256" s="1632"/>
      <c r="Q256" s="1632"/>
      <c r="R256" s="922" t="s">
        <v>730</v>
      </c>
      <c r="S256" s="159" cm="1" t="str">
        <f t="array" ref="S256:S256">OFFSET(T256,-1,-1)</f>
        <v>true</v>
      </c>
      <c r="T256" s="159">
        <f>AND(L256,AD256&lt;&gt;"39.0")</f>
        <v>0</v>
      </c>
      <c r="U256" s="819">
        <f>AND(S256,IF(ISBLANK(T256),TRUE,T256))</f>
        <v>0</v>
      </c>
      <c r="V256" s="1632"/>
      <c r="W256" s="1632"/>
      <c r="X256" s="159" t="str">
        <f>'Топливо 4.4'!$AE$252&amp;'Топливо 4.4'!$AF$252</f>
        <v>Уголь длиннопламенный</v>
      </c>
      <c r="Y256" s="1632"/>
      <c r="Z256" s="1632"/>
      <c r="AA256" s="1632"/>
      <c r="AB256" s="1486"/>
      <c r="AC256" s="0"/>
      <c r="AD256" s="160" t="s">
        <v>923</v>
      </c>
      <c r="AE256" s="974" cm="1" t="str">
        <f t="array" ref="AE256:AE256">IF(ISBLANK('Топливо 4.4'!$AE$252),"",'Топливо 4.4'!$AE$252)</f>
        <v>Уголь длиннопламенный</v>
      </c>
      <c r="AF256" s="625" cm="1" t="str">
        <f t="array" ref="AF256:AF256">IF(ISBLANK('Топливо 4.4'!$AF$252),"",'Топливо 4.4'!$AF$252)</f>
        <v/>
      </c>
      <c r="AG256" s="859" t="s">
        <v>810</v>
      </c>
      <c r="AH256" s="86">
        <f>AH$163*AH252</f>
        <v>0</v>
      </c>
      <c r="AI256" s="87">
        <f>AI$163*AI252</f>
        <v>0</v>
      </c>
      <c r="AJ256" s="87">
        <f>AJ$163*AJ252</f>
        <v>0</v>
      </c>
      <c r="AK256" s="87">
        <f>AK$163*AK252</f>
        <v>0</v>
      </c>
      <c r="AL256" s="862">
        <f>AM256+AN256</f>
        <v>0</v>
      </c>
      <c r="AM256" s="87">
        <f>AM$163*AM252</f>
        <v>0</v>
      </c>
      <c r="AN256" s="87">
        <f>AN$163*AN252</f>
        <v>0</v>
      </c>
      <c r="AO256" s="862">
        <f>AP256+AQ256</f>
        <v>0</v>
      </c>
      <c r="AP256" s="87">
        <f>AP$163*AP252</f>
        <v>0</v>
      </c>
      <c r="AQ256" s="87">
        <f>AQ$163*AQ252</f>
        <v>0</v>
      </c>
      <c r="AR256" s="862">
        <f>AS256+AT256</f>
        <v>0</v>
      </c>
      <c r="AS256" s="87">
        <f>AS$163*AS252</f>
        <v>0</v>
      </c>
      <c r="AT256" s="87">
        <f>AT$163*AT252</f>
        <v>0</v>
      </c>
      <c r="AU256" s="862">
        <f>AV256+AW256</f>
        <v>0</v>
      </c>
      <c r="AV256" s="87">
        <f>AV$163*AV252</f>
        <v>0</v>
      </c>
      <c r="AW256" s="87">
        <f>AW$163*AW252</f>
        <v>0</v>
      </c>
      <c r="AX256" s="862">
        <f>AY256+AZ256</f>
        <v>0</v>
      </c>
      <c r="AY256" s="87">
        <f>AY$163*AY252</f>
        <v>0</v>
      </c>
      <c r="AZ256" s="87">
        <f>AZ$163*AZ252</f>
        <v>0</v>
      </c>
      <c r="BA256" s="862">
        <f>BB256+BC256</f>
        <v>0</v>
      </c>
      <c r="BB256" s="87">
        <f>BB$163*BB252</f>
        <v>0</v>
      </c>
      <c r="BC256" s="87">
        <f>BC$163*BC252</f>
        <v>0</v>
      </c>
      <c r="BD256" s="862">
        <f>BE256+BF256</f>
        <v>0</v>
      </c>
      <c r="BE256" s="87">
        <f>BE$163*BE252</f>
        <v>0</v>
      </c>
      <c r="BF256" s="87">
        <f>BF$163*BF252</f>
        <v>0</v>
      </c>
      <c r="BG256" s="862">
        <f>BH256+BI256</f>
        <v>0</v>
      </c>
      <c r="BH256" s="87">
        <f>BH$163*BH252</f>
        <v>0</v>
      </c>
      <c r="BI256" s="87">
        <f>BI$163*BI252</f>
        <v>0</v>
      </c>
      <c r="BJ256" s="862">
        <f>BK256+BL256</f>
        <v>0</v>
      </c>
      <c r="BK256" s="87">
        <f>BK$163*BK252</f>
        <v>0</v>
      </c>
      <c r="BL256" s="87">
        <f>BL$163*BL252</f>
        <v>0</v>
      </c>
      <c r="BM256" s="862">
        <f>BN256+BO256</f>
        <v>0</v>
      </c>
      <c r="BN256" s="87">
        <f>BN$163*BN252</f>
        <v>0</v>
      </c>
      <c r="BO256" s="87">
        <f>BO$163*BO252</f>
        <v>0</v>
      </c>
      <c r="BP256" s="862">
        <f>BQ256+BR256</f>
        <v>0</v>
      </c>
      <c r="BQ256" s="979">
        <f>BQ$163*BQ252</f>
        <v>0</v>
      </c>
      <c r="BR256" s="979">
        <f>BR$163*BR252</f>
        <v>0</v>
      </c>
      <c r="BS256" s="862">
        <f>BT256+BU256</f>
        <v>0</v>
      </c>
      <c r="BT256" s="87">
        <f>BT$163*BT252</f>
        <v>0</v>
      </c>
      <c r="BU256" s="87">
        <f>BU$163*BU252</f>
        <v>0</v>
      </c>
      <c r="BV256" s="862">
        <f>BW256+BX256</f>
        <v>0</v>
      </c>
      <c r="BW256" s="87">
        <f>BW$163*BW252</f>
        <v>0</v>
      </c>
      <c r="BX256" s="87">
        <f>BX$163*BX252</f>
        <v>0</v>
      </c>
      <c r="BY256" s="862">
        <f>BZ256+CA256</f>
        <v>0</v>
      </c>
      <c r="BZ256" s="87">
        <f>BZ$163*BZ252</f>
        <v>0</v>
      </c>
      <c r="CA256" s="87">
        <f>CA$163*CA252</f>
        <v>0</v>
      </c>
      <c r="CB256" s="862">
        <f>CC256+CD256</f>
        <v>0</v>
      </c>
      <c r="CC256" s="87">
        <f>CC$163*CC252</f>
        <v>0</v>
      </c>
      <c r="CD256" s="87">
        <f>CD$163*CD252</f>
        <v>0</v>
      </c>
      <c r="CE256" s="862">
        <f>CF256+CG256</f>
        <v>0</v>
      </c>
      <c r="CF256" s="87">
        <f>CF$163*CF252</f>
        <v>0</v>
      </c>
      <c r="CG256" s="87">
        <f>CG$163*CG252</f>
        <v>0</v>
      </c>
      <c r="CH256" s="862">
        <f>CI256+CJ256</f>
        <v>0</v>
      </c>
      <c r="CI256" s="87">
        <f>CI$163*CI252</f>
        <v>0</v>
      </c>
      <c r="CJ256" s="87">
        <f>CJ$163*CJ252</f>
        <v>0</v>
      </c>
      <c r="CK256" s="862">
        <f>CL256+CM256</f>
        <v>0</v>
      </c>
      <c r="CL256" s="87">
        <f>CL$163*CL252</f>
        <v>0</v>
      </c>
      <c r="CM256" s="87">
        <f>CM$163*CM252</f>
        <v>0</v>
      </c>
      <c r="CN256" s="862">
        <f>CO256+CP256</f>
        <v>0</v>
      </c>
      <c r="CO256" s="87">
        <f>CO$163*CO252</f>
        <v>0</v>
      </c>
      <c r="CP256" s="87">
        <f>CP$163*CP252</f>
        <v>0</v>
      </c>
      <c r="CQ256" s="862">
        <f>CR256+CS256</f>
        <v>0</v>
      </c>
      <c r="CR256" s="87">
        <f>CR$163*CR252</f>
        <v>0</v>
      </c>
      <c r="CS256" s="87">
        <f>CS$163*CS252</f>
        <v>0</v>
      </c>
      <c r="CT256" s="73"/>
      <c r="CU256" s="0"/>
      <c r="CV256" s="1632"/>
      <c r="CW256" s="1173" t="s">
        <v>875</v>
      </c>
      <c r="CX256" s="1178" t="s">
        <v>792</v>
      </c>
      <c r="CY256" s="1182" cm="1" t="str">
        <f t="array" ref="CY256:CY256">AE256</f>
        <v>Уголь длиннопламенный</v>
      </c>
      <c r="CZ256" s="1182" cm="1" t="str">
        <f t="array" ref="CZ256:CZ256">AF256</f>
        <v/>
      </c>
      <c r="DA256" s="1179"/>
      <c r="DB256" s="1179"/>
    </row>
    <row s="1632" customFormat="1" customHeight="1" ht="15" hidden="1">
      <c r="A257" s="1443"/>
      <c r="B257" s="927"/>
      <c r="C257" s="1443"/>
      <c r="D257" s="1443"/>
      <c r="E257" s="797">
        <v>0</v>
      </c>
      <c r="F257" s="922" cm="1" t="str">
        <f t="array" ref="F257:F257">OFFSET(G257,-1,-1)</f>
        <v>1</v>
      </c>
      <c r="G257" s="965"/>
      <c r="H257" s="965"/>
      <c r="I257" s="965"/>
      <c r="J257" s="965"/>
      <c r="K257" s="965"/>
      <c r="L257" s="922" cm="1" t="str">
        <f t="array" ref="L257:L257">OFFSET(M257,-1,-1)</f>
        <v>false</v>
      </c>
      <c r="M257" s="965"/>
      <c r="N257" s="965"/>
      <c r="O257" s="965"/>
      <c r="P257" s="965"/>
      <c r="Q257" s="965"/>
      <c r="R257" s="1443"/>
      <c r="S257" s="159" cm="1" t="str">
        <f t="array" ref="S257:S257">OFFSET(T257,-1,-1)</f>
        <v>true</v>
      </c>
      <c r="T257" s="1443"/>
      <c r="U257" s="819">
        <f>AND(S257,IF(ISBLANK(T257),TRUE,T257))</f>
        <v>1</v>
      </c>
      <c r="V257" s="1443"/>
      <c r="W257" s="1443"/>
      <c r="X257" s="973" t="str">
        <f>"{                  
         funcDyn: 'msg1',
         blok: 'blok_2',
         wsCross: 'Топливо 4.4',
         linkFormula: 'AE-AE#AF-AF',
         levelDyn: "&amp;Y139&amp;"
}"</f>
        <v>{                  
         funcDyn: 'msg1',
         blok: 'blok_2',
         wsCross: 'Топливо 4.4',
         linkFormula: 'AE-AE#AF-AF',
         levelDyn: 1
}</v>
      </c>
      <c r="Y257" s="1443"/>
      <c r="Z257" s="1443"/>
      <c r="AA257" s="820"/>
      <c r="AB257" s="1487"/>
      <c r="AC257" s="0"/>
      <c r="AD257" s="976"/>
      <c r="AE257" s="975" t="s">
        <v>236</v>
      </c>
      <c r="AF257" s="874"/>
      <c r="AG257" s="859"/>
      <c r="AH257" s="861"/>
      <c r="AI257" s="863"/>
      <c r="AJ257" s="863"/>
      <c r="AK257" s="863"/>
      <c r="AL257" s="863"/>
      <c r="AM257" s="863"/>
      <c r="AN257" s="863"/>
      <c r="AO257" s="863"/>
      <c r="AP257" s="863"/>
      <c r="AQ257" s="863"/>
      <c r="AR257" s="863"/>
      <c r="AS257" s="863"/>
      <c r="AT257" s="863"/>
      <c r="AU257" s="863"/>
      <c r="AV257" s="863"/>
      <c r="AW257" s="863"/>
      <c r="AX257" s="863"/>
      <c r="AY257" s="863"/>
      <c r="AZ257" s="863"/>
      <c r="BA257" s="863"/>
      <c r="BB257" s="863"/>
      <c r="BC257" s="863"/>
      <c r="BD257" s="863"/>
      <c r="BE257" s="863"/>
      <c r="BF257" s="863"/>
      <c r="BG257" s="863"/>
      <c r="BH257" s="863"/>
      <c r="BI257" s="863"/>
      <c r="BJ257" s="863"/>
      <c r="BK257" s="863"/>
      <c r="BL257" s="863"/>
      <c r="BM257" s="863"/>
      <c r="BN257" s="863"/>
      <c r="BO257" s="863"/>
      <c r="BP257" s="863"/>
      <c r="BQ257" s="863"/>
      <c r="BR257" s="863"/>
      <c r="BS257" s="863"/>
      <c r="BT257" s="863"/>
      <c r="BU257" s="863"/>
      <c r="BV257" s="863"/>
      <c r="BW257" s="863"/>
      <c r="BX257" s="863"/>
      <c r="BY257" s="863"/>
      <c r="BZ257" s="863"/>
      <c r="CA257" s="863"/>
      <c r="CB257" s="863"/>
      <c r="CC257" s="863"/>
      <c r="CD257" s="863"/>
      <c r="CE257" s="863"/>
      <c r="CF257" s="863"/>
      <c r="CG257" s="863"/>
      <c r="CH257" s="863"/>
      <c r="CI257" s="863"/>
      <c r="CJ257" s="863"/>
      <c r="CK257" s="863"/>
      <c r="CL257" s="863"/>
      <c r="CM257" s="863"/>
      <c r="CN257" s="863"/>
      <c r="CO257" s="863"/>
      <c r="CP257" s="863"/>
      <c r="CQ257" s="863"/>
      <c r="CR257" s="863"/>
      <c r="CS257" s="863"/>
      <c r="CT257" s="91"/>
      <c r="CU257" s="0"/>
      <c r="CV257" s="1632"/>
      <c r="CW257" s="1173" t="str">
        <f>IF(AND(ISNUMBER(VALUE(TRIM(SUBSTITUTE(AD257,".","")))),TRIM(SUBSTITUTE(AD257,".",""))&lt;&gt;""),"P"&amp;SUBSTITUTE(AD257,".",""),"")</f>
        <v/>
      </c>
      <c r="CX257" s="1178"/>
      <c r="CY257" s="1178"/>
      <c r="CZ257" s="1178"/>
      <c r="DA257" s="1179"/>
      <c r="DB257" s="1179"/>
    </row>
    <row s="1632" customFormat="1" customHeight="1" ht="16.5">
      <c r="A258" s="1443"/>
      <c r="B258" s="927"/>
      <c r="C258" s="1443"/>
      <c r="D258" s="1443"/>
      <c r="E258" s="797">
        <v>17.1</v>
      </c>
      <c r="F258" s="922" cm="1" t="str">
        <f t="array" ref="F258:F258">OFFSET(G258,-1,-1)</f>
        <v>1</v>
      </c>
      <c r="G258" s="965"/>
      <c r="H258" s="965"/>
      <c r="I258" s="965"/>
      <c r="J258" s="965"/>
      <c r="K258" s="965"/>
      <c r="L258" s="922" cm="1" t="str">
        <f t="array" ref="L258:L258">OFFSET(M258,-1,-1)</f>
        <v>false</v>
      </c>
      <c r="M258" s="965"/>
      <c r="N258" s="965"/>
      <c r="O258" s="965"/>
      <c r="P258" s="965"/>
      <c r="Q258" s="965"/>
      <c r="R258" s="1443"/>
      <c r="S258" s="159" cm="1" t="str">
        <f t="array" ref="S258:S258">OFFSET(T258,-1,-1)</f>
        <v>true</v>
      </c>
      <c r="T258" s="1443"/>
      <c r="U258" s="819">
        <f>AND(S258,IF(ISBLANK(T258),TRUE,T258))</f>
        <v>1</v>
      </c>
      <c r="V258" s="1443"/>
      <c r="W258" s="1443"/>
      <c r="X258" s="1443"/>
      <c r="Y258" s="1443"/>
      <c r="Z258" s="1443"/>
      <c r="AA258" s="820"/>
      <c r="AB258" s="1526" t="s">
        <v>877</v>
      </c>
      <c r="AC258" s="0"/>
      <c r="AD258" s="173" t="s">
        <v>878</v>
      </c>
      <c r="AE258" s="1502" t="s">
        <v>879</v>
      </c>
      <c r="AF258" s="163"/>
      <c r="AG258" s="859" t="s">
        <v>810</v>
      </c>
      <c r="AH258" s="860">
        <f>SUM(AH262:AH264)</f>
        <v>5673.56</v>
      </c>
      <c r="AI258" s="860">
        <f>SUM(AI262:AI264)</f>
        <v>7937.13</v>
      </c>
      <c r="AJ258" s="860">
        <f>SUM(AJ262:AJ264)</f>
        <v>5920.92571428572</v>
      </c>
      <c r="AK258" s="860">
        <f>SUM(AK262:AK264)</f>
        <v>5136.98</v>
      </c>
      <c r="AL258" s="860">
        <f>SUM(AL262:AL264)</f>
        <v>5528.831685</v>
      </c>
      <c r="AM258" s="860">
        <f>SUM(AM262:AM264)</f>
        <v>3072.923456</v>
      </c>
      <c r="AN258" s="860">
        <f>SUM(AN262:AN264)</f>
        <v>2455.908229</v>
      </c>
      <c r="AO258" s="860">
        <f>SUM(AO262:AO264)</f>
        <v>0</v>
      </c>
      <c r="AP258" s="860">
        <f>SUM(AP262:AP264)</f>
        <v>0</v>
      </c>
      <c r="AQ258" s="860">
        <f>SUM(AQ262:AQ264)</f>
        <v>0</v>
      </c>
      <c r="AR258" s="860">
        <f>SUM(AR262:AR264)</f>
        <v>0</v>
      </c>
      <c r="AS258" s="860">
        <f>SUM(AS262:AS264)</f>
        <v>0</v>
      </c>
      <c r="AT258" s="860">
        <f>SUM(AT262:AT264)</f>
        <v>0</v>
      </c>
      <c r="AU258" s="860">
        <f>SUM(AU262:AU264)</f>
        <v>0</v>
      </c>
      <c r="AV258" s="860">
        <f>SUM(AV262:AV264)</f>
        <v>0</v>
      </c>
      <c r="AW258" s="860">
        <f>SUM(AW262:AW264)</f>
        <v>0</v>
      </c>
      <c r="AX258" s="860">
        <f>SUM(AX262:AX264)</f>
        <v>0</v>
      </c>
      <c r="AY258" s="860">
        <f>SUM(AY262:AY264)</f>
        <v>0</v>
      </c>
      <c r="AZ258" s="860">
        <f>SUM(AZ262:AZ264)</f>
        <v>0</v>
      </c>
      <c r="BA258" s="860">
        <f>SUM(BA262:BA264)</f>
        <v>0</v>
      </c>
      <c r="BB258" s="860">
        <f>SUM(BB262:BB264)</f>
        <v>0</v>
      </c>
      <c r="BC258" s="860">
        <f>SUM(BC262:BC264)</f>
        <v>0</v>
      </c>
      <c r="BD258" s="860">
        <f>SUM(BD262:BD264)</f>
        <v>0</v>
      </c>
      <c r="BE258" s="860">
        <f>SUM(BE262:BE264)</f>
        <v>0</v>
      </c>
      <c r="BF258" s="860">
        <f>SUM(BF262:BF264)</f>
        <v>0</v>
      </c>
      <c r="BG258" s="860">
        <f>SUM(BG262:BG264)</f>
        <v>0</v>
      </c>
      <c r="BH258" s="860">
        <f>SUM(BH262:BH264)</f>
        <v>0</v>
      </c>
      <c r="BI258" s="860">
        <f>SUM(BI262:BI264)</f>
        <v>0</v>
      </c>
      <c r="BJ258" s="860">
        <f>SUM(BJ262:BJ264)</f>
        <v>0</v>
      </c>
      <c r="BK258" s="860">
        <f>SUM(BK262:BK264)</f>
        <v>0</v>
      </c>
      <c r="BL258" s="860">
        <f>SUM(BL262:BL264)</f>
        <v>0</v>
      </c>
      <c r="BM258" s="860">
        <f>SUM(BM262:BM264)</f>
        <v>0</v>
      </c>
      <c r="BN258" s="860">
        <f>SUM(BN262:BN264)</f>
        <v>0</v>
      </c>
      <c r="BO258" s="860">
        <f>SUM(BO262:BO264)</f>
        <v>0</v>
      </c>
      <c r="BP258" s="860">
        <f>SUM(BP262:BP264)</f>
        <v>5385.60454893618</v>
      </c>
      <c r="BQ258" s="860">
        <f>SUM(BQ262:BQ264)</f>
        <v>2993.31720340427</v>
      </c>
      <c r="BR258" s="860">
        <f>SUM(BR262:BR264)</f>
        <v>2392.28734553191</v>
      </c>
      <c r="BS258" s="860">
        <f>SUM(BS262:BS264)</f>
        <v>0</v>
      </c>
      <c r="BT258" s="860">
        <f>SUM(BT262:BT264)</f>
        <v>0</v>
      </c>
      <c r="BU258" s="860">
        <f>SUM(BU262:BU264)</f>
        <v>0</v>
      </c>
      <c r="BV258" s="860">
        <f>SUM(BV262:BV264)</f>
        <v>0</v>
      </c>
      <c r="BW258" s="860">
        <f>SUM(BW262:BW264)</f>
        <v>0</v>
      </c>
      <c r="BX258" s="860">
        <f>SUM(BX262:BX264)</f>
        <v>0</v>
      </c>
      <c r="BY258" s="860">
        <f>SUM(BY262:BY264)</f>
        <v>0</v>
      </c>
      <c r="BZ258" s="860">
        <f>SUM(BZ262:BZ264)</f>
        <v>0</v>
      </c>
      <c r="CA258" s="860">
        <f>SUM(CA262:CA264)</f>
        <v>0</v>
      </c>
      <c r="CB258" s="860">
        <f>SUM(CB262:CB264)</f>
        <v>0</v>
      </c>
      <c r="CC258" s="860">
        <f>SUM(CC262:CC264)</f>
        <v>0</v>
      </c>
      <c r="CD258" s="860">
        <f>SUM(CD262:CD264)</f>
        <v>0</v>
      </c>
      <c r="CE258" s="860">
        <f>SUM(CE262:CE264)</f>
        <v>0</v>
      </c>
      <c r="CF258" s="860">
        <f>SUM(CF262:CF264)</f>
        <v>0</v>
      </c>
      <c r="CG258" s="860">
        <f>SUM(CG262:CG264)</f>
        <v>0</v>
      </c>
      <c r="CH258" s="860">
        <f>SUM(CH262:CH264)</f>
        <v>0</v>
      </c>
      <c r="CI258" s="860">
        <f>SUM(CI262:CI264)</f>
        <v>0</v>
      </c>
      <c r="CJ258" s="860">
        <f>SUM(CJ262:CJ264)</f>
        <v>0</v>
      </c>
      <c r="CK258" s="860">
        <f>SUM(CK262:CK264)</f>
        <v>0</v>
      </c>
      <c r="CL258" s="860">
        <f>SUM(CL262:CL264)</f>
        <v>0</v>
      </c>
      <c r="CM258" s="860">
        <f>SUM(CM262:CM264)</f>
        <v>0</v>
      </c>
      <c r="CN258" s="860">
        <f>SUM(CN262:CN264)</f>
        <v>0</v>
      </c>
      <c r="CO258" s="860">
        <f>SUM(CO262:CO264)</f>
        <v>0</v>
      </c>
      <c r="CP258" s="860">
        <f>SUM(CP262:CP264)</f>
        <v>0</v>
      </c>
      <c r="CQ258" s="860">
        <f>SUM(CQ262:CQ264)</f>
        <v>0</v>
      </c>
      <c r="CR258" s="860">
        <f>SUM(CR262:CR264)</f>
        <v>0</v>
      </c>
      <c r="CS258" s="860">
        <f>SUM(CS262:CS264)</f>
        <v>0</v>
      </c>
      <c r="CT258" s="1719"/>
      <c r="CU258" s="0"/>
      <c r="CV258" s="1632"/>
      <c r="CW258" s="1173" t="s">
        <v>880</v>
      </c>
      <c r="CX258" s="1178"/>
      <c r="CY258" s="1178"/>
      <c r="CZ258" s="1178"/>
      <c r="DA258" s="1179"/>
      <c r="DB258" s="1179"/>
    </row>
    <row s="1632" customFormat="1" customHeight="1" ht="16.5" hidden="1">
      <c r="A259" s="1443"/>
      <c r="B259" s="927"/>
      <c r="C259" s="1443"/>
      <c r="D259" s="1443"/>
      <c r="E259" s="797">
        <v>17.1</v>
      </c>
      <c r="F259" s="922" cm="1" t="str">
        <f t="array" ref="F259:F259">OFFSET(G259,-1,-1)</f>
        <v>1</v>
      </c>
      <c r="G259" s="739" t="str">
        <f>IF(J139="вода+пар","топливо","")</f>
        <v/>
      </c>
      <c r="H259" s="965"/>
      <c r="I259" s="965"/>
      <c r="J259" s="965"/>
      <c r="K259" s="965"/>
      <c r="L259" s="922" cm="1" t="str">
        <f t="array" ref="L259:L259">OFFSET(M259,-1,-1)</f>
        <v>false</v>
      </c>
      <c r="M259" s="965"/>
      <c r="N259" s="965"/>
      <c r="O259" s="965"/>
      <c r="P259" s="965"/>
      <c r="Q259" s="965"/>
      <c r="R259" s="922" t="s">
        <v>730</v>
      </c>
      <c r="S259" s="159" cm="1" t="str">
        <f t="array" ref="S259:S259">OFFSET(T259,-1,-1)</f>
        <v>true</v>
      </c>
      <c r="T259" s="159" cm="1" t="str">
        <f t="array" ref="T259:T259">L259</f>
        <v>false</v>
      </c>
      <c r="U259" s="819">
        <f>AND(S259,IF(ISBLANK(T259),TRUE,T259))</f>
        <v>0</v>
      </c>
      <c r="V259" s="1443"/>
      <c r="W259" s="1443"/>
      <c r="X259" s="1443"/>
      <c r="Y259" s="1443"/>
      <c r="Z259" s="1443"/>
      <c r="AA259" s="820"/>
      <c r="AB259" s="1527"/>
      <c r="AC259" s="0"/>
      <c r="AD259" s="160" t="str">
        <f>AD258&amp;".0"</f>
        <v>40.0</v>
      </c>
      <c r="AE259" s="1504" t="s">
        <v>741</v>
      </c>
      <c r="AF259" s="1505"/>
      <c r="AG259" s="859" t="s">
        <v>810</v>
      </c>
      <c r="AH259" s="86">
        <f>AH$163*AH258</f>
        <v>5673.56</v>
      </c>
      <c r="AI259" s="87">
        <f>AI$163*AI258</f>
        <v>7937.13</v>
      </c>
      <c r="AJ259" s="87">
        <f>AJ$163*AJ258</f>
        <v>5920.92571428572</v>
      </c>
      <c r="AK259" s="87">
        <f>AK$163*AK258</f>
        <v>5136.98</v>
      </c>
      <c r="AL259" s="862">
        <f>AM259+AN259</f>
        <v>5528.831685</v>
      </c>
      <c r="AM259" s="87">
        <f>AM$163*AM258</f>
        <v>3072.923456</v>
      </c>
      <c r="AN259" s="87">
        <f>AN$163*AN258</f>
        <v>2455.908229</v>
      </c>
      <c r="AO259" s="862">
        <f>AP259+AQ259</f>
        <v>0</v>
      </c>
      <c r="AP259" s="87">
        <f>AP$163*AP258</f>
        <v>0</v>
      </c>
      <c r="AQ259" s="87">
        <f>AQ$163*AQ258</f>
        <v>0</v>
      </c>
      <c r="AR259" s="862">
        <f>AS259+AT259</f>
        <v>0</v>
      </c>
      <c r="AS259" s="87">
        <f>AS$163*AS258</f>
        <v>0</v>
      </c>
      <c r="AT259" s="87">
        <f>AT$163*AT258</f>
        <v>0</v>
      </c>
      <c r="AU259" s="862">
        <f>AV259+AW259</f>
        <v>0</v>
      </c>
      <c r="AV259" s="87">
        <f>AV$163*AV258</f>
        <v>0</v>
      </c>
      <c r="AW259" s="87">
        <f>AW$163*AW258</f>
        <v>0</v>
      </c>
      <c r="AX259" s="862">
        <f>AY259+AZ259</f>
        <v>0</v>
      </c>
      <c r="AY259" s="87">
        <f>AY$163*AY258</f>
        <v>0</v>
      </c>
      <c r="AZ259" s="87">
        <f>AZ$163*AZ258</f>
        <v>0</v>
      </c>
      <c r="BA259" s="862">
        <f>BB259+BC259</f>
        <v>0</v>
      </c>
      <c r="BB259" s="87">
        <f>BB$163*BB258</f>
        <v>0</v>
      </c>
      <c r="BC259" s="87">
        <f>BC$163*BC258</f>
        <v>0</v>
      </c>
      <c r="BD259" s="862">
        <f>BE259+BF259</f>
        <v>0</v>
      </c>
      <c r="BE259" s="87">
        <f>BE$163*BE258</f>
        <v>0</v>
      </c>
      <c r="BF259" s="87">
        <f>BF$163*BF258</f>
        <v>0</v>
      </c>
      <c r="BG259" s="862">
        <f>BH259+BI259</f>
        <v>0</v>
      </c>
      <c r="BH259" s="87">
        <f>BH$163*BH258</f>
        <v>0</v>
      </c>
      <c r="BI259" s="87">
        <f>BI$163*BI258</f>
        <v>0</v>
      </c>
      <c r="BJ259" s="862">
        <f>BK259+BL259</f>
        <v>0</v>
      </c>
      <c r="BK259" s="87">
        <f>BK$163*BK258</f>
        <v>0</v>
      </c>
      <c r="BL259" s="87">
        <f>BL$163*BL258</f>
        <v>0</v>
      </c>
      <c r="BM259" s="862">
        <f>BN259+BO259</f>
        <v>0</v>
      </c>
      <c r="BN259" s="87">
        <f>BN$163*BN258</f>
        <v>0</v>
      </c>
      <c r="BO259" s="87">
        <f>BO$163*BO258</f>
        <v>0</v>
      </c>
      <c r="BP259" s="862">
        <f>BQ259+BR259</f>
        <v>5385.60454893618</v>
      </c>
      <c r="BQ259" s="1772">
        <f>BQ$163*BQ258</f>
        <v>2993.31720340427</v>
      </c>
      <c r="BR259" s="1772">
        <f>BR$163*BR258</f>
        <v>2392.28734553191</v>
      </c>
      <c r="BS259" s="862">
        <f>BT259+BU259</f>
        <v>0</v>
      </c>
      <c r="BT259" s="87">
        <f>BT$163*BT258</f>
        <v>0</v>
      </c>
      <c r="BU259" s="87">
        <f>BU$163*BU258</f>
        <v>0</v>
      </c>
      <c r="BV259" s="862">
        <f>BW259+BX259</f>
        <v>0</v>
      </c>
      <c r="BW259" s="87">
        <f>BW$163*BW258</f>
        <v>0</v>
      </c>
      <c r="BX259" s="87">
        <f>BX$163*BX258</f>
        <v>0</v>
      </c>
      <c r="BY259" s="862">
        <f>BZ259+CA259</f>
        <v>0</v>
      </c>
      <c r="BZ259" s="87">
        <f>BZ$163*BZ258</f>
        <v>0</v>
      </c>
      <c r="CA259" s="87">
        <f>CA$163*CA258</f>
        <v>0</v>
      </c>
      <c r="CB259" s="862">
        <f>CC259+CD259</f>
        <v>0</v>
      </c>
      <c r="CC259" s="87">
        <f>CC$163*CC258</f>
        <v>0</v>
      </c>
      <c r="CD259" s="87">
        <f>CD$163*CD258</f>
        <v>0</v>
      </c>
      <c r="CE259" s="862">
        <f>CF259+CG259</f>
        <v>0</v>
      </c>
      <c r="CF259" s="87">
        <f>CF$163*CF258</f>
        <v>0</v>
      </c>
      <c r="CG259" s="87">
        <f>CG$163*CG258</f>
        <v>0</v>
      </c>
      <c r="CH259" s="862">
        <f>CI259+CJ259</f>
        <v>0</v>
      </c>
      <c r="CI259" s="87">
        <f>CI$163*CI258</f>
        <v>0</v>
      </c>
      <c r="CJ259" s="87">
        <f>CJ$163*CJ258</f>
        <v>0</v>
      </c>
      <c r="CK259" s="862">
        <f>CL259+CM259</f>
        <v>0</v>
      </c>
      <c r="CL259" s="87">
        <f>CL$163*CL258</f>
        <v>0</v>
      </c>
      <c r="CM259" s="87">
        <f>CM$163*CM258</f>
        <v>0</v>
      </c>
      <c r="CN259" s="862">
        <f>CO259+CP259</f>
        <v>0</v>
      </c>
      <c r="CO259" s="87">
        <f>CO$163*CO258</f>
        <v>0</v>
      </c>
      <c r="CP259" s="87">
        <f>CP$163*CP258</f>
        <v>0</v>
      </c>
      <c r="CQ259" s="862">
        <f>CR259+CS259</f>
        <v>0</v>
      </c>
      <c r="CR259" s="87">
        <f>CR$163*CR258</f>
        <v>0</v>
      </c>
      <c r="CS259" s="87">
        <f>CS$163*CS258</f>
        <v>0</v>
      </c>
      <c r="CT259" s="73"/>
      <c r="CU259" s="0"/>
      <c r="CV259" s="1632"/>
      <c r="CW259" s="1173" t="s">
        <v>881</v>
      </c>
      <c r="CX259" s="1178"/>
      <c r="CY259" s="1178"/>
      <c r="CZ259" s="1178"/>
      <c r="DA259" s="1179"/>
      <c r="DB259" s="1179"/>
    </row>
    <row s="1632" customFormat="1" customHeight="1" ht="16.5">
      <c r="A260" s="1443"/>
      <c r="B260" s="927"/>
      <c r="C260" s="1443"/>
      <c r="D260" s="1443"/>
      <c r="E260" s="797">
        <v>17.1</v>
      </c>
      <c r="F260" s="922" cm="1" t="str">
        <f t="array" ref="F260:F260">OFFSET(G260,-1,-1)</f>
        <v>1</v>
      </c>
      <c r="G260" s="739" t="str">
        <f>IF(J139="вода","топливо","")</f>
        <v>топливо</v>
      </c>
      <c r="H260" s="965"/>
      <c r="I260" s="965"/>
      <c r="J260" s="965"/>
      <c r="K260" s="965"/>
      <c r="L260" s="922" cm="1" t="str">
        <f t="array" ref="L260:L260">OFFSET(M260,-1,-1)</f>
        <v>false</v>
      </c>
      <c r="M260" s="965"/>
      <c r="N260" s="965"/>
      <c r="O260" s="965"/>
      <c r="P260" s="965"/>
      <c r="Q260" s="965"/>
      <c r="R260" s="1443"/>
      <c r="S260" s="159" cm="1" t="str">
        <f t="array" ref="S260:S260">OFFSET(T260,-1,-1)</f>
        <v>true</v>
      </c>
      <c r="T260" s="1443"/>
      <c r="U260" s="819">
        <f>AND(S260,IF(ISBLANK(T260),TRUE,T260))</f>
        <v>1</v>
      </c>
      <c r="V260" s="1443"/>
      <c r="W260" s="1443"/>
      <c r="X260" s="1443"/>
      <c r="Y260" s="1443"/>
      <c r="Z260" s="1443"/>
      <c r="AA260" s="820"/>
      <c r="AB260" s="1527"/>
      <c r="AC260" s="0"/>
      <c r="AD260" s="977" t="s">
        <v>882</v>
      </c>
      <c r="AE260" s="1506" t="s">
        <v>603</v>
      </c>
      <c r="AF260" s="1507"/>
      <c r="AG260" s="1013" t="s">
        <v>810</v>
      </c>
      <c r="AH260" s="864">
        <f>AH259-AH261</f>
        <v>5673.56</v>
      </c>
      <c r="AI260" s="864">
        <f>AI259-AI261</f>
        <v>7937.13</v>
      </c>
      <c r="AJ260" s="864">
        <f>AJ259-AJ261</f>
        <v>5920.92571428572</v>
      </c>
      <c r="AK260" s="864">
        <f>AK259-AK261</f>
        <v>5136.98</v>
      </c>
      <c r="AL260" s="864">
        <f>AL259-AL261</f>
        <v>5528.831685</v>
      </c>
      <c r="AM260" s="864">
        <f>AM259-AM261</f>
        <v>3072.923456</v>
      </c>
      <c r="AN260" s="864">
        <f>AN259-AN261</f>
        <v>2455.908229</v>
      </c>
      <c r="AO260" s="864">
        <f>AO259-AO261</f>
        <v>0</v>
      </c>
      <c r="AP260" s="864">
        <f>AP259-AP261</f>
        <v>0</v>
      </c>
      <c r="AQ260" s="864">
        <f>AQ259-AQ261</f>
        <v>0</v>
      </c>
      <c r="AR260" s="864">
        <f>AR259-AR261</f>
        <v>0</v>
      </c>
      <c r="AS260" s="864">
        <f>AS259-AS261</f>
        <v>0</v>
      </c>
      <c r="AT260" s="864">
        <f>AT259-AT261</f>
        <v>0</v>
      </c>
      <c r="AU260" s="864">
        <f>AU259-AU261</f>
        <v>0</v>
      </c>
      <c r="AV260" s="864">
        <f>AV259-AV261</f>
        <v>0</v>
      </c>
      <c r="AW260" s="864">
        <f>AW259-AW261</f>
        <v>0</v>
      </c>
      <c r="AX260" s="864">
        <f>AX259-AX261</f>
        <v>0</v>
      </c>
      <c r="AY260" s="864">
        <f>AY259-AY261</f>
        <v>0</v>
      </c>
      <c r="AZ260" s="864">
        <f>AZ259-AZ261</f>
        <v>0</v>
      </c>
      <c r="BA260" s="864">
        <f>BA259-BA261</f>
        <v>0</v>
      </c>
      <c r="BB260" s="864">
        <f>BB259-BB261</f>
        <v>0</v>
      </c>
      <c r="BC260" s="864">
        <f>BC259-BC261</f>
        <v>0</v>
      </c>
      <c r="BD260" s="864">
        <f>BD259-BD261</f>
        <v>0</v>
      </c>
      <c r="BE260" s="864">
        <f>BE259-BE261</f>
        <v>0</v>
      </c>
      <c r="BF260" s="864">
        <f>BF259-BF261</f>
        <v>0</v>
      </c>
      <c r="BG260" s="864">
        <f>BG259-BG261</f>
        <v>0</v>
      </c>
      <c r="BH260" s="864">
        <f>BH259-BH261</f>
        <v>0</v>
      </c>
      <c r="BI260" s="864">
        <f>BI259-BI261</f>
        <v>0</v>
      </c>
      <c r="BJ260" s="864">
        <f>BJ259-BJ261</f>
        <v>0</v>
      </c>
      <c r="BK260" s="864">
        <f>BK259-BK261</f>
        <v>0</v>
      </c>
      <c r="BL260" s="864">
        <f>BL259-BL261</f>
        <v>0</v>
      </c>
      <c r="BM260" s="864">
        <f>BM259-BM261</f>
        <v>0</v>
      </c>
      <c r="BN260" s="864">
        <f>BN259-BN261</f>
        <v>0</v>
      </c>
      <c r="BO260" s="864">
        <f>BO259-BO261</f>
        <v>0</v>
      </c>
      <c r="BP260" s="864">
        <f>BP259-BP261</f>
        <v>5385.60454893618</v>
      </c>
      <c r="BQ260" s="864">
        <f>BQ259-BQ261</f>
        <v>2993.31720340427</v>
      </c>
      <c r="BR260" s="864">
        <f>BR259-BR261</f>
        <v>2392.28734553191</v>
      </c>
      <c r="BS260" s="864">
        <f>BS259-BS261</f>
        <v>0</v>
      </c>
      <c r="BT260" s="864">
        <f>BT259-BT261</f>
        <v>0</v>
      </c>
      <c r="BU260" s="864">
        <f>BU259-BU261</f>
        <v>0</v>
      </c>
      <c r="BV260" s="864">
        <f>BV259-BV261</f>
        <v>0</v>
      </c>
      <c r="BW260" s="864">
        <f>BW259-BW261</f>
        <v>0</v>
      </c>
      <c r="BX260" s="864">
        <f>BX259-BX261</f>
        <v>0</v>
      </c>
      <c r="BY260" s="864">
        <f>BY259-BY261</f>
        <v>0</v>
      </c>
      <c r="BZ260" s="864">
        <f>BZ259-BZ261</f>
        <v>0</v>
      </c>
      <c r="CA260" s="864">
        <f>CA259-CA261</f>
        <v>0</v>
      </c>
      <c r="CB260" s="864">
        <f>CB259-CB261</f>
        <v>0</v>
      </c>
      <c r="CC260" s="864">
        <f>CC259-CC261</f>
        <v>0</v>
      </c>
      <c r="CD260" s="864">
        <f>CD259-CD261</f>
        <v>0</v>
      </c>
      <c r="CE260" s="864">
        <f>CE259-CE261</f>
        <v>0</v>
      </c>
      <c r="CF260" s="864">
        <f>CF259-CF261</f>
        <v>0</v>
      </c>
      <c r="CG260" s="864">
        <f>CG259-CG261</f>
        <v>0</v>
      </c>
      <c r="CH260" s="864">
        <f>CH259-CH261</f>
        <v>0</v>
      </c>
      <c r="CI260" s="864">
        <f>CI259-CI261</f>
        <v>0</v>
      </c>
      <c r="CJ260" s="864">
        <f>CJ259-CJ261</f>
        <v>0</v>
      </c>
      <c r="CK260" s="864">
        <f>CK259-CK261</f>
        <v>0</v>
      </c>
      <c r="CL260" s="864">
        <f>CL259-CL261</f>
        <v>0</v>
      </c>
      <c r="CM260" s="864">
        <f>CM259-CM261</f>
        <v>0</v>
      </c>
      <c r="CN260" s="864">
        <f>CN259-CN261</f>
        <v>0</v>
      </c>
      <c r="CO260" s="864">
        <f>CO259-CO261</f>
        <v>0</v>
      </c>
      <c r="CP260" s="864">
        <f>CP259-CP261</f>
        <v>0</v>
      </c>
      <c r="CQ260" s="864">
        <f>CQ259-CQ261</f>
        <v>0</v>
      </c>
      <c r="CR260" s="864">
        <f>CR259-CR261</f>
        <v>0</v>
      </c>
      <c r="CS260" s="864">
        <f>CS259-CS261</f>
        <v>0</v>
      </c>
      <c r="CT260" s="1719"/>
      <c r="CU260" s="0"/>
      <c r="CV260" s="1632"/>
      <c r="CW260" s="1173" t="s">
        <v>883</v>
      </c>
      <c r="CX260" s="1178"/>
      <c r="CY260" s="1178"/>
      <c r="CZ260" s="1178"/>
      <c r="DA260" s="1179"/>
      <c r="DB260" s="1179"/>
    </row>
    <row s="1632" customFormat="1" customHeight="1" ht="16.5">
      <c r="A261" s="1443"/>
      <c r="B261" s="927"/>
      <c r="C261" s="1443"/>
      <c r="D261" s="1443"/>
      <c r="E261" s="797">
        <v>17.1</v>
      </c>
      <c r="F261" s="922" cm="1" t="str">
        <f t="array" ref="F261:F261">OFFSET(G261,-1,-1)</f>
        <v>1</v>
      </c>
      <c r="G261" s="739" t="str">
        <f>IF(J139="пар","топливо","")</f>
        <v/>
      </c>
      <c r="H261" s="965"/>
      <c r="I261" s="965"/>
      <c r="J261" s="965"/>
      <c r="K261" s="965"/>
      <c r="L261" s="922" cm="1" t="str">
        <f t="array" ref="L261:L261">OFFSET(M261,-1,-1)</f>
        <v>false</v>
      </c>
      <c r="M261" s="965"/>
      <c r="N261" s="965"/>
      <c r="O261" s="965"/>
      <c r="P261" s="965"/>
      <c r="Q261" s="965"/>
      <c r="R261" s="1443"/>
      <c r="S261" s="159" cm="1" t="str">
        <f t="array" ref="S261:S261">OFFSET(T261,-1,-1)</f>
        <v>true</v>
      </c>
      <c r="T261" s="1443"/>
      <c r="U261" s="819">
        <f>AND(S261,IF(ISBLANK(T261),TRUE,T261))</f>
        <v>1</v>
      </c>
      <c r="V261" s="1443"/>
      <c r="W261" s="1443"/>
      <c r="X261" s="1443"/>
      <c r="Y261" s="1443"/>
      <c r="Z261" s="1443"/>
      <c r="AA261" s="820"/>
      <c r="AB261" s="1527"/>
      <c r="AC261" s="0"/>
      <c r="AD261" s="977" t="s">
        <v>884</v>
      </c>
      <c r="AE261" s="1506" t="s">
        <v>605</v>
      </c>
      <c r="AF261" s="1507"/>
      <c r="AG261" s="1013" t="s">
        <v>810</v>
      </c>
      <c r="AH261" s="1847"/>
      <c r="AI261" s="1847"/>
      <c r="AJ261" s="1847"/>
      <c r="AK261" s="1847"/>
      <c r="AL261" s="1847"/>
      <c r="AM261" s="1847"/>
      <c r="AN261" s="1847"/>
      <c r="AO261" s="1847"/>
      <c r="AP261" s="1847"/>
      <c r="AQ261" s="1847"/>
      <c r="AR261" s="1847"/>
      <c r="AS261" s="1847"/>
      <c r="AT261" s="1847"/>
      <c r="AU261" s="1847"/>
      <c r="AV261" s="1847"/>
      <c r="AW261" s="1847"/>
      <c r="AX261" s="1847"/>
      <c r="AY261" s="1847"/>
      <c r="AZ261" s="1847"/>
      <c r="BA261" s="1847"/>
      <c r="BB261" s="1847"/>
      <c r="BC261" s="1847"/>
      <c r="BD261" s="1847"/>
      <c r="BE261" s="1847"/>
      <c r="BF261" s="1847"/>
      <c r="BG261" s="1847"/>
      <c r="BH261" s="1847"/>
      <c r="BI261" s="1847"/>
      <c r="BJ261" s="1847"/>
      <c r="BK261" s="1847"/>
      <c r="BL261" s="1847"/>
      <c r="BM261" s="1847"/>
      <c r="BN261" s="1847"/>
      <c r="BO261" s="1847"/>
      <c r="BP261" s="1847"/>
      <c r="BQ261" s="1847"/>
      <c r="BR261" s="1847"/>
      <c r="BS261" s="1847"/>
      <c r="BT261" s="1847"/>
      <c r="BU261" s="1847"/>
      <c r="BV261" s="1847"/>
      <c r="BW261" s="1847"/>
      <c r="BX261" s="1847"/>
      <c r="BY261" s="1847"/>
      <c r="BZ261" s="1847"/>
      <c r="CA261" s="1847"/>
      <c r="CB261" s="1847"/>
      <c r="CC261" s="1847"/>
      <c r="CD261" s="1847"/>
      <c r="CE261" s="1847"/>
      <c r="CF261" s="1847"/>
      <c r="CG261" s="1847"/>
      <c r="CH261" s="1847"/>
      <c r="CI261" s="1847"/>
      <c r="CJ261" s="1847"/>
      <c r="CK261" s="1847"/>
      <c r="CL261" s="1847"/>
      <c r="CM261" s="1847"/>
      <c r="CN261" s="1847"/>
      <c r="CO261" s="1847"/>
      <c r="CP261" s="1847"/>
      <c r="CQ261" s="1847"/>
      <c r="CR261" s="1847"/>
      <c r="CS261" s="1847"/>
      <c r="CT261" s="1719"/>
      <c r="CU261" s="0"/>
      <c r="CV261" s="1632"/>
      <c r="CW261" s="1173" t="s">
        <v>885</v>
      </c>
      <c r="CX261" s="1178"/>
      <c r="CY261" s="1178"/>
      <c r="CZ261" s="1178"/>
      <c r="DA261" s="1179"/>
      <c r="DB261" s="1179"/>
    </row>
    <row s="1632" customFormat="1" customHeight="1" ht="16.5" hidden="1">
      <c r="E262" s="797">
        <v>17.1</v>
      </c>
      <c r="F262" s="922" cm="1" t="str">
        <f t="array" ref="F262:F262">OFFSET(G262,-1,-1)</f>
        <v>1</v>
      </c>
      <c r="L262" s="922" cm="1" t="str">
        <f t="array" ref="L262:L262">OFFSET(M262,-1,-1)</f>
        <v>false</v>
      </c>
      <c r="S262" s="159" cm="1" t="str">
        <f t="array" ref="S262:S262">OFFSET(T262,-1,-1)</f>
        <v>true</v>
      </c>
      <c r="T262" s="159">
        <f>AD262&lt;&gt;"40.0"</f>
        <v>0</v>
      </c>
      <c r="U262" s="819">
        <f>AND(S262,IF(ISBLANK(T262),TRUE,T262))</f>
        <v>0</v>
      </c>
      <c r="X262" s="159" t="s">
        <v>234</v>
      </c>
      <c r="AB262" s="1527"/>
      <c r="AD262" s="160" t="s">
        <v>886</v>
      </c>
      <c r="AE262" s="974"/>
      <c r="AF262" s="625"/>
      <c r="AG262" s="859" t="s">
        <v>810</v>
      </c>
      <c r="AH262" s="860">
        <f>AH191+AH208+AH225+AH242+AH251</f>
        <v>0</v>
      </c>
      <c r="AI262" s="860">
        <f>AI191+AI208+AI225+AI242+AI251</f>
        <v>0</v>
      </c>
      <c r="AJ262" s="860">
        <f>AJ191+AJ208+AJ225+AJ242+AJ251</f>
        <v>0</v>
      </c>
      <c r="AK262" s="860">
        <f>AK191+AK208+AK225+AK242+AK251</f>
        <v>0</v>
      </c>
      <c r="AL262" s="860">
        <f>AL191+AL208+AL225+AL242+AL251</f>
        <v>0</v>
      </c>
      <c r="AM262" s="860">
        <f>AM191+AM208+AM225+AM242+AM251</f>
        <v>0</v>
      </c>
      <c r="AN262" s="860">
        <f>AN191+AN208+AN225+AN242+AN251</f>
        <v>0</v>
      </c>
      <c r="AO262" s="860">
        <f>AO191+AO208+AO225+AO242+AO251</f>
        <v>0</v>
      </c>
      <c r="AP262" s="860">
        <f>AP191+AP208+AP225+AP242+AP251</f>
        <v>0</v>
      </c>
      <c r="AQ262" s="860">
        <f>AQ191+AQ208+AQ225+AQ242+AQ251</f>
        <v>0</v>
      </c>
      <c r="AR262" s="860">
        <f>AR191+AR208+AR225+AR242+AR251</f>
        <v>0</v>
      </c>
      <c r="AS262" s="860">
        <f>AS191+AS208+AS225+AS242+AS251</f>
        <v>0</v>
      </c>
      <c r="AT262" s="860">
        <f>AT191+AT208+AT225+AT242+AT251</f>
        <v>0</v>
      </c>
      <c r="AU262" s="860">
        <f>AU191+AU208+AU225+AU242+AU251</f>
        <v>0</v>
      </c>
      <c r="AV262" s="860">
        <f>AV191+AV208+AV225+AV242+AV251</f>
        <v>0</v>
      </c>
      <c r="AW262" s="860">
        <f>AW191+AW208+AW225+AW242+AW251</f>
        <v>0</v>
      </c>
      <c r="AX262" s="860">
        <f>AX191+AX208+AX225+AX242+AX251</f>
        <v>0</v>
      </c>
      <c r="AY262" s="860">
        <f>AY191+AY208+AY225+AY242+AY251</f>
        <v>0</v>
      </c>
      <c r="AZ262" s="860">
        <f>AZ191+AZ208+AZ225+AZ242+AZ251</f>
        <v>0</v>
      </c>
      <c r="BA262" s="860">
        <f>BA191+BA208+BA225+BA242+BA251</f>
        <v>0</v>
      </c>
      <c r="BB262" s="860">
        <f>BB191+BB208+BB225+BB242+BB251</f>
        <v>0</v>
      </c>
      <c r="BC262" s="860">
        <f>BC191+BC208+BC225+BC242+BC251</f>
        <v>0</v>
      </c>
      <c r="BD262" s="860">
        <f>BD191+BD208+BD225+BD242+BD251</f>
        <v>0</v>
      </c>
      <c r="BE262" s="860">
        <f>BE191+BE208+BE225+BE242+BE251</f>
        <v>0</v>
      </c>
      <c r="BF262" s="860">
        <f>BF191+BF208+BF225+BF242+BF251</f>
        <v>0</v>
      </c>
      <c r="BG262" s="860">
        <f>BG191+BG208+BG225+BG242+BG251</f>
        <v>0</v>
      </c>
      <c r="BH262" s="860">
        <f>BH191+BH208+BH225+BH242+BH251</f>
        <v>0</v>
      </c>
      <c r="BI262" s="860">
        <f>BI191+BI208+BI225+BI242+BI251</f>
        <v>0</v>
      </c>
      <c r="BJ262" s="860">
        <f>BJ191+BJ208+BJ225+BJ242+BJ251</f>
        <v>0</v>
      </c>
      <c r="BK262" s="860">
        <f>BK191+BK208+BK225+BK242+BK251</f>
        <v>0</v>
      </c>
      <c r="BL262" s="860">
        <f>BL191+BL208+BL225+BL242+BL251</f>
        <v>0</v>
      </c>
      <c r="BM262" s="860">
        <f>BM191+BM208+BM225+BM242+BM251</f>
        <v>0</v>
      </c>
      <c r="BN262" s="860">
        <f>BN191+BN208+BN225+BN242+BN251</f>
        <v>0</v>
      </c>
      <c r="BO262" s="860">
        <f>BO191+BO208+BO225+BO242+BO251</f>
        <v>0</v>
      </c>
      <c r="BP262" s="860">
        <f>BP191+BP208+BP225+BP242+BP251</f>
        <v>0</v>
      </c>
      <c r="BQ262" s="860">
        <f>BQ191+BQ208+BQ225+BQ242+BQ251</f>
        <v>0</v>
      </c>
      <c r="BR262" s="860">
        <f>BR191+BR208+BR225+BR242+BR251</f>
        <v>0</v>
      </c>
      <c r="BS262" s="860">
        <f>BS191+BS208+BS225+BS242+BS251</f>
        <v>0</v>
      </c>
      <c r="BT262" s="860">
        <f>BT191+BT208+BT225+BT242+BT251</f>
        <v>0</v>
      </c>
      <c r="BU262" s="860">
        <f>BU191+BU208+BU225+BU242+BU251</f>
        <v>0</v>
      </c>
      <c r="BV262" s="860">
        <f>BV191+BV208+BV225+BV242+BV251</f>
        <v>0</v>
      </c>
      <c r="BW262" s="860">
        <f>BW191+BW208+BW225+BW242+BW251</f>
        <v>0</v>
      </c>
      <c r="BX262" s="860">
        <f>BX191+BX208+BX225+BX242+BX251</f>
        <v>0</v>
      </c>
      <c r="BY262" s="860">
        <f>BY191+BY208+BY225+BY242+BY251</f>
        <v>0</v>
      </c>
      <c r="BZ262" s="860">
        <f>BZ191+BZ208+BZ225+BZ242+BZ251</f>
        <v>0</v>
      </c>
      <c r="CA262" s="860">
        <f>CA191+CA208+CA225+CA242+CA251</f>
        <v>0</v>
      </c>
      <c r="CB262" s="860">
        <f>CB191+CB208+CB225+CB242+CB251</f>
        <v>0</v>
      </c>
      <c r="CC262" s="860">
        <f>CC191+CC208+CC225+CC242+CC251</f>
        <v>0</v>
      </c>
      <c r="CD262" s="860">
        <f>CD191+CD208+CD225+CD242+CD251</f>
        <v>0</v>
      </c>
      <c r="CE262" s="860">
        <f>CE191+CE208+CE225+CE242+CE251</f>
        <v>0</v>
      </c>
      <c r="CF262" s="860">
        <f>CF191+CF208+CF225+CF242+CF251</f>
        <v>0</v>
      </c>
      <c r="CG262" s="860">
        <f>CG191+CG208+CG225+CG242+CG251</f>
        <v>0</v>
      </c>
      <c r="CH262" s="860">
        <f>CH191+CH208+CH225+CH242+CH251</f>
        <v>0</v>
      </c>
      <c r="CI262" s="860">
        <f>CI191+CI208+CI225+CI242+CI251</f>
        <v>0</v>
      </c>
      <c r="CJ262" s="860">
        <f>CJ191+CJ208+CJ225+CJ242+CJ251</f>
        <v>0</v>
      </c>
      <c r="CK262" s="860">
        <f>CK191+CK208+CK225+CK242+CK251</f>
        <v>0</v>
      </c>
      <c r="CL262" s="860">
        <f>CL191+CL208+CL225+CL242+CL251</f>
        <v>0</v>
      </c>
      <c r="CM262" s="860">
        <f>CM191+CM208+CM225+CM242+CM251</f>
        <v>0</v>
      </c>
      <c r="CN262" s="860">
        <f>CN191+CN208+CN225+CN242+CN251</f>
        <v>0</v>
      </c>
      <c r="CO262" s="860">
        <f>CO191+CO208+CO225+CO242+CO251</f>
        <v>0</v>
      </c>
      <c r="CP262" s="860">
        <f>CP191+CP208+CP225+CP242+CP251</f>
        <v>0</v>
      </c>
      <c r="CQ262" s="860">
        <f>CQ191+CQ208+CQ225+CQ242+CQ251</f>
        <v>0</v>
      </c>
      <c r="CR262" s="860">
        <f>CR191+CR208+CR225+CR242+CR251</f>
        <v>0</v>
      </c>
      <c r="CS262" s="860">
        <f>CS191+CS208+CS225+CS242+CS251</f>
        <v>0</v>
      </c>
      <c r="CT262" s="73"/>
      <c r="CW262" s="1173" t="s">
        <v>887</v>
      </c>
      <c r="CX262" s="1178" t="s">
        <v>792</v>
      </c>
      <c r="CY262" s="1182" cm="1" t="str">
        <f t="array" ref="CY262:CY262">AE262</f>
        <v>0</v>
      </c>
      <c r="CZ262" s="1182" cm="1" t="str">
        <f t="array" ref="CZ262:CZ262">AF262</f>
        <v>0</v>
      </c>
      <c r="DA262" s="1179"/>
      <c r="DB262" s="1179"/>
    </row>
    <row s="1632" customFormat="1" customHeight="1" ht="16.5">
      <c r="A263" s="1632"/>
      <c r="B263" s="1632"/>
      <c r="C263" s="1632"/>
      <c r="D263" s="1632"/>
      <c r="E263" s="797">
        <v>17.1</v>
      </c>
      <c r="F263" s="922" cm="1" t="str">
        <f t="array" ref="F263:F263">OFFSET(G263,-1,-1)</f>
        <v>1</v>
      </c>
      <c r="G263" s="1632"/>
      <c r="H263" s="1632"/>
      <c r="I263" s="1632"/>
      <c r="J263" s="1632"/>
      <c r="K263" s="1632"/>
      <c r="L263" s="922" cm="1" t="str">
        <f t="array" ref="L263:L263">OFFSET(M263,-1,-1)</f>
        <v>false</v>
      </c>
      <c r="M263" s="1632"/>
      <c r="N263" s="1632"/>
      <c r="O263" s="1632"/>
      <c r="P263" s="1632"/>
      <c r="Q263" s="1632"/>
      <c r="R263" s="1632"/>
      <c r="S263" s="159" cm="1" t="str">
        <f t="array" ref="S263:S263">OFFSET(T263,-1,-1)</f>
        <v>true</v>
      </c>
      <c r="T263" s="159">
        <f>AD263&lt;&gt;"40.0"</f>
        <v>1</v>
      </c>
      <c r="U263" s="819">
        <f>AND(S263,IF(ISBLANK(T263),TRUE,T263))</f>
        <v>1</v>
      </c>
      <c r="V263" s="1632"/>
      <c r="W263" s="1632"/>
      <c r="X263" s="159" t="str">
        <f>'Топливо 4.4'!$AE$256&amp;'Топливо 4.4'!$AF$256</f>
        <v>Уголь длиннопламенный</v>
      </c>
      <c r="Y263" s="1632"/>
      <c r="Z263" s="1632"/>
      <c r="AA263" s="1632"/>
      <c r="AB263" s="1527"/>
      <c r="AC263" s="0"/>
      <c r="AD263" s="160" t="s">
        <v>924</v>
      </c>
      <c r="AE263" s="974" cm="1" t="str">
        <f t="array" ref="AE263:AE263">IF(ISBLANK('Топливо 4.4'!$AE$256),"",'Топливо 4.4'!$AE$256)</f>
        <v>Уголь длиннопламенный</v>
      </c>
      <c r="AF263" s="625" cm="1" t="str">
        <f t="array" ref="AF263:AF263">IF(ISBLANK('Топливо 4.4'!$AF$256),"",'Топливо 4.4'!$AF$256)</f>
        <v/>
      </c>
      <c r="AG263" s="859" t="s">
        <v>810</v>
      </c>
      <c r="AH263" s="860">
        <f>AH192+AH209+AH226+AH243+AH252</f>
        <v>5673.56</v>
      </c>
      <c r="AI263" s="860">
        <f>AI192+AI209+AI226+AI243+AI252</f>
        <v>7937.13</v>
      </c>
      <c r="AJ263" s="860">
        <f>AJ192+AJ209+AJ226+AJ243+AJ252</f>
        <v>5920.92571428572</v>
      </c>
      <c r="AK263" s="860">
        <f>AK192+AK209+AK226+AK243+AK252</f>
        <v>5136.98</v>
      </c>
      <c r="AL263" s="860">
        <f>AL192+AL209+AL226+AL243+AL252</f>
        <v>5528.831685</v>
      </c>
      <c r="AM263" s="860">
        <f>AM192+AM209+AM226+AM243+AM252</f>
        <v>3072.923456</v>
      </c>
      <c r="AN263" s="860">
        <f>AN192+AN209+AN226+AN243+AN252</f>
        <v>2455.908229</v>
      </c>
      <c r="AO263" s="860">
        <f>AO192+AO209+AO226+AO243+AO252</f>
        <v>0</v>
      </c>
      <c r="AP263" s="860">
        <f>AP192+AP209+AP226+AP243+AP252</f>
        <v>0</v>
      </c>
      <c r="AQ263" s="860">
        <f>AQ192+AQ209+AQ226+AQ243+AQ252</f>
        <v>0</v>
      </c>
      <c r="AR263" s="860">
        <f>AR192+AR209+AR226+AR243+AR252</f>
        <v>0</v>
      </c>
      <c r="AS263" s="860">
        <f>AS192+AS209+AS226+AS243+AS252</f>
        <v>0</v>
      </c>
      <c r="AT263" s="860">
        <f>AT192+AT209+AT226+AT243+AT252</f>
        <v>0</v>
      </c>
      <c r="AU263" s="860">
        <f>AU192+AU209+AU226+AU243+AU252</f>
        <v>0</v>
      </c>
      <c r="AV263" s="860">
        <f>AV192+AV209+AV226+AV243+AV252</f>
        <v>0</v>
      </c>
      <c r="AW263" s="860">
        <f>AW192+AW209+AW226+AW243+AW252</f>
        <v>0</v>
      </c>
      <c r="AX263" s="860">
        <f>AX192+AX209+AX226+AX243+AX252</f>
        <v>0</v>
      </c>
      <c r="AY263" s="860">
        <f>AY192+AY209+AY226+AY243+AY252</f>
        <v>0</v>
      </c>
      <c r="AZ263" s="860">
        <f>AZ192+AZ209+AZ226+AZ243+AZ252</f>
        <v>0</v>
      </c>
      <c r="BA263" s="860">
        <f>BA192+BA209+BA226+BA243+BA252</f>
        <v>0</v>
      </c>
      <c r="BB263" s="860">
        <f>BB192+BB209+BB226+BB243+BB252</f>
        <v>0</v>
      </c>
      <c r="BC263" s="860">
        <f>BC192+BC209+BC226+BC243+BC252</f>
        <v>0</v>
      </c>
      <c r="BD263" s="860">
        <f>BD192+BD209+BD226+BD243+BD252</f>
        <v>0</v>
      </c>
      <c r="BE263" s="860">
        <f>BE192+BE209+BE226+BE243+BE252</f>
        <v>0</v>
      </c>
      <c r="BF263" s="860">
        <f>BF192+BF209+BF226+BF243+BF252</f>
        <v>0</v>
      </c>
      <c r="BG263" s="860">
        <f>BG192+BG209+BG226+BG243+BG252</f>
        <v>0</v>
      </c>
      <c r="BH263" s="860">
        <f>BH192+BH209+BH226+BH243+BH252</f>
        <v>0</v>
      </c>
      <c r="BI263" s="860">
        <f>BI192+BI209+BI226+BI243+BI252</f>
        <v>0</v>
      </c>
      <c r="BJ263" s="860">
        <f>BJ192+BJ209+BJ226+BJ243+BJ252</f>
        <v>0</v>
      </c>
      <c r="BK263" s="860">
        <f>BK192+BK209+BK226+BK243+BK252</f>
        <v>0</v>
      </c>
      <c r="BL263" s="860">
        <f>BL192+BL209+BL226+BL243+BL252</f>
        <v>0</v>
      </c>
      <c r="BM263" s="860">
        <f>BM192+BM209+BM226+BM243+BM252</f>
        <v>0</v>
      </c>
      <c r="BN263" s="860">
        <f>BN192+BN209+BN226+BN243+BN252</f>
        <v>0</v>
      </c>
      <c r="BO263" s="860">
        <f>BO192+BO209+BO226+BO243+BO252</f>
        <v>0</v>
      </c>
      <c r="BP263" s="860">
        <f>BP192+BP209+BP226+BP243+BP252</f>
        <v>5385.60454893618</v>
      </c>
      <c r="BQ263" s="860">
        <f>BQ192+BQ209+BQ226+BQ243+BQ252</f>
        <v>2993.31720340427</v>
      </c>
      <c r="BR263" s="860">
        <f>BR192+BR209+BR226+BR243+BR252</f>
        <v>2392.28734553191</v>
      </c>
      <c r="BS263" s="860">
        <f>BS192+BS209+BS226+BS243+BS252</f>
        <v>0</v>
      </c>
      <c r="BT263" s="860">
        <f>BT192+BT209+BT226+BT243+BT252</f>
        <v>0</v>
      </c>
      <c r="BU263" s="860">
        <f>BU192+BU209+BU226+BU243+BU252</f>
        <v>0</v>
      </c>
      <c r="BV263" s="860">
        <f>BV192+BV209+BV226+BV243+BV252</f>
        <v>0</v>
      </c>
      <c r="BW263" s="860">
        <f>BW192+BW209+BW226+BW243+BW252</f>
        <v>0</v>
      </c>
      <c r="BX263" s="860">
        <f>BX192+BX209+BX226+BX243+BX252</f>
        <v>0</v>
      </c>
      <c r="BY263" s="860">
        <f>BY192+BY209+BY226+BY243+BY252</f>
        <v>0</v>
      </c>
      <c r="BZ263" s="860">
        <f>BZ192+BZ209+BZ226+BZ243+BZ252</f>
        <v>0</v>
      </c>
      <c r="CA263" s="860">
        <f>CA192+CA209+CA226+CA243+CA252</f>
        <v>0</v>
      </c>
      <c r="CB263" s="860">
        <f>CB192+CB209+CB226+CB243+CB252</f>
        <v>0</v>
      </c>
      <c r="CC263" s="860">
        <f>CC192+CC209+CC226+CC243+CC252</f>
        <v>0</v>
      </c>
      <c r="CD263" s="860">
        <f>CD192+CD209+CD226+CD243+CD252</f>
        <v>0</v>
      </c>
      <c r="CE263" s="860">
        <f>CE192+CE209+CE226+CE243+CE252</f>
        <v>0</v>
      </c>
      <c r="CF263" s="860">
        <f>CF192+CF209+CF226+CF243+CF252</f>
        <v>0</v>
      </c>
      <c r="CG263" s="860">
        <f>CG192+CG209+CG226+CG243+CG252</f>
        <v>0</v>
      </c>
      <c r="CH263" s="860">
        <f>CH192+CH209+CH226+CH243+CH252</f>
        <v>0</v>
      </c>
      <c r="CI263" s="860">
        <f>CI192+CI209+CI226+CI243+CI252</f>
        <v>0</v>
      </c>
      <c r="CJ263" s="860">
        <f>CJ192+CJ209+CJ226+CJ243+CJ252</f>
        <v>0</v>
      </c>
      <c r="CK263" s="860">
        <f>CK192+CK209+CK226+CK243+CK252</f>
        <v>0</v>
      </c>
      <c r="CL263" s="860">
        <f>CL192+CL209+CL226+CL243+CL252</f>
        <v>0</v>
      </c>
      <c r="CM263" s="860">
        <f>CM192+CM209+CM226+CM243+CM252</f>
        <v>0</v>
      </c>
      <c r="CN263" s="860">
        <f>CN192+CN209+CN226+CN243+CN252</f>
        <v>0</v>
      </c>
      <c r="CO263" s="860">
        <f>CO192+CO209+CO226+CO243+CO252</f>
        <v>0</v>
      </c>
      <c r="CP263" s="860">
        <f>CP192+CP209+CP226+CP243+CP252</f>
        <v>0</v>
      </c>
      <c r="CQ263" s="860">
        <f>CQ192+CQ209+CQ226+CQ243+CQ252</f>
        <v>0</v>
      </c>
      <c r="CR263" s="860">
        <f>CR192+CR209+CR226+CR243+CR252</f>
        <v>0</v>
      </c>
      <c r="CS263" s="860">
        <f>CS192+CS209+CS226+CS243+CS252</f>
        <v>0</v>
      </c>
      <c r="CT263" s="1719"/>
      <c r="CU263" s="0"/>
      <c r="CV263" s="1632"/>
      <c r="CW263" s="1173" t="s">
        <v>887</v>
      </c>
      <c r="CX263" s="1178" t="s">
        <v>792</v>
      </c>
      <c r="CY263" s="1182" cm="1" t="str">
        <f t="array" ref="CY263:CY263">AE263</f>
        <v>Уголь длиннопламенный</v>
      </c>
      <c r="CZ263" s="1182" cm="1" t="str">
        <f t="array" ref="CZ263:CZ263">AF263</f>
        <v/>
      </c>
      <c r="DA263" s="1179"/>
      <c r="DB263" s="1179"/>
    </row>
    <row s="1632" customFormat="1" customHeight="1" ht="15" hidden="1">
      <c r="A264" s="1443"/>
      <c r="B264" s="927"/>
      <c r="C264" s="1443"/>
      <c r="D264" s="1443"/>
      <c r="E264" s="797">
        <v>0</v>
      </c>
      <c r="F264" s="922" cm="1" t="str">
        <f t="array" ref="F264:F264">OFFSET(G264,-1,-1)</f>
        <v>1</v>
      </c>
      <c r="G264" s="965"/>
      <c r="H264" s="965"/>
      <c r="I264" s="965"/>
      <c r="J264" s="965"/>
      <c r="K264" s="965"/>
      <c r="L264" s="922" cm="1" t="str">
        <f t="array" ref="L264:L264">OFFSET(M264,-1,-1)</f>
        <v>false</v>
      </c>
      <c r="M264" s="965"/>
      <c r="N264" s="965"/>
      <c r="O264" s="965"/>
      <c r="P264" s="965"/>
      <c r="Q264" s="965"/>
      <c r="R264" s="1443"/>
      <c r="S264" s="159" cm="1" t="str">
        <f t="array" ref="S264:S264">OFFSET(T264,-1,-1)</f>
        <v>true</v>
      </c>
      <c r="T264" s="1443"/>
      <c r="U264" s="819">
        <f>AND(S264,IF(ISBLANK(T264),TRUE,T264))</f>
        <v>1</v>
      </c>
      <c r="V264" s="1443"/>
      <c r="W264" s="1443"/>
      <c r="X264" s="973" t="str">
        <f>"{                  
         funcDyn: 'msg1',
         blok: 'blok_2',
         wsCross: 'Топливо 4.4',
         linkFormula: 'AE-AE#AF-AF',
         levelDyn: "&amp;Y139&amp;"
}"</f>
        <v>{                  
         funcDyn: 'msg1',
         blok: 'blok_2',
         wsCross: 'Топливо 4.4',
         linkFormula: 'AE-AE#AF-AF',
         levelDyn: 1
}</v>
      </c>
      <c r="Y264" s="1443"/>
      <c r="Z264" s="1443"/>
      <c r="AA264" s="820"/>
      <c r="AB264" s="1527"/>
      <c r="AC264" s="0"/>
      <c r="AD264" s="976"/>
      <c r="AE264" s="975" t="s">
        <v>236</v>
      </c>
      <c r="AF264" s="874"/>
      <c r="AG264" s="859"/>
      <c r="AH264" s="861"/>
      <c r="AI264" s="863"/>
      <c r="AJ264" s="863"/>
      <c r="AK264" s="863"/>
      <c r="AL264" s="863"/>
      <c r="AM264" s="863"/>
      <c r="AN264" s="863"/>
      <c r="AO264" s="863"/>
      <c r="AP264" s="863"/>
      <c r="AQ264" s="863"/>
      <c r="AR264" s="863"/>
      <c r="AS264" s="863"/>
      <c r="AT264" s="863"/>
      <c r="AU264" s="863"/>
      <c r="AV264" s="863"/>
      <c r="AW264" s="863"/>
      <c r="AX264" s="863"/>
      <c r="AY264" s="863"/>
      <c r="AZ264" s="863"/>
      <c r="BA264" s="863"/>
      <c r="BB264" s="863"/>
      <c r="BC264" s="863"/>
      <c r="BD264" s="863"/>
      <c r="BE264" s="863"/>
      <c r="BF264" s="863"/>
      <c r="BG264" s="863"/>
      <c r="BH264" s="863"/>
      <c r="BI264" s="863"/>
      <c r="BJ264" s="863"/>
      <c r="BK264" s="863"/>
      <c r="BL264" s="863"/>
      <c r="BM264" s="863"/>
      <c r="BN264" s="863"/>
      <c r="BO264" s="863"/>
      <c r="BP264" s="863"/>
      <c r="BQ264" s="863"/>
      <c r="BR264" s="863"/>
      <c r="BS264" s="863"/>
      <c r="BT264" s="863"/>
      <c r="BU264" s="863"/>
      <c r="BV264" s="863"/>
      <c r="BW264" s="863"/>
      <c r="BX264" s="863"/>
      <c r="BY264" s="863"/>
      <c r="BZ264" s="863"/>
      <c r="CA264" s="863"/>
      <c r="CB264" s="863"/>
      <c r="CC264" s="863"/>
      <c r="CD264" s="863"/>
      <c r="CE264" s="863"/>
      <c r="CF264" s="863"/>
      <c r="CG264" s="863"/>
      <c r="CH264" s="863"/>
      <c r="CI264" s="863"/>
      <c r="CJ264" s="863"/>
      <c r="CK264" s="863"/>
      <c r="CL264" s="863"/>
      <c r="CM264" s="863"/>
      <c r="CN264" s="863"/>
      <c r="CO264" s="863"/>
      <c r="CP264" s="863"/>
      <c r="CQ264" s="863"/>
      <c r="CR264" s="863"/>
      <c r="CS264" s="863"/>
      <c r="CT264" s="91"/>
      <c r="CU264" s="0"/>
      <c r="CV264" s="1632"/>
      <c r="CW264" s="1173" t="str">
        <f>IF(AND(ISNUMBER(VALUE(TRIM(SUBSTITUTE(AD264,".","")))),TRIM(SUBSTITUTE(AD264,".",""))&lt;&gt;""),"P"&amp;SUBSTITUTE(AD264,".",""),"")</f>
        <v/>
      </c>
      <c r="CX264" s="1178"/>
      <c r="CY264" s="1178"/>
      <c r="CZ264" s="1178"/>
      <c r="DA264" s="1179"/>
      <c r="DB264" s="1179"/>
    </row>
    <row s="1632" customFormat="1" customHeight="1" ht="16.5">
      <c r="A265" s="1443"/>
      <c r="B265" s="927"/>
      <c r="C265" s="1443"/>
      <c r="D265" s="1443"/>
      <c r="E265" s="797">
        <v>17.1</v>
      </c>
      <c r="F265" s="922" cm="1" t="str">
        <f t="array" ref="F265:F265">OFFSET(G265,-1,-1)</f>
        <v>1</v>
      </c>
      <c r="G265" s="965"/>
      <c r="H265" s="965"/>
      <c r="I265" s="965"/>
      <c r="J265" s="965"/>
      <c r="K265" s="965"/>
      <c r="L265" s="922" cm="1" t="str">
        <f t="array" ref="L265:L265">OFFSET(M265,-1,-1)</f>
        <v>false</v>
      </c>
      <c r="M265" s="965"/>
      <c r="N265" s="965"/>
      <c r="O265" s="965"/>
      <c r="P265" s="965"/>
      <c r="Q265" s="965"/>
      <c r="R265" s="1443"/>
      <c r="S265" s="159" cm="1" t="str">
        <f t="array" ref="S265:S265">OFFSET(T265,-1,-1)</f>
        <v>true</v>
      </c>
      <c r="T265" s="1443"/>
      <c r="U265" s="819">
        <f>AND(S265,IF(ISBLANK(T265),TRUE,T265))</f>
        <v>1</v>
      </c>
      <c r="V265" s="1443"/>
      <c r="W265" s="1443"/>
      <c r="X265" s="1443"/>
      <c r="Y265" s="1443"/>
      <c r="Z265" s="1443"/>
      <c r="AA265" s="820"/>
      <c r="AB265" s="1527"/>
      <c r="AC265" s="0"/>
      <c r="AD265" s="173" t="s">
        <v>888</v>
      </c>
      <c r="AE265" s="1497" t="s">
        <v>889</v>
      </c>
      <c r="AF265" s="323"/>
      <c r="AG265" s="859" t="s">
        <v>890</v>
      </c>
      <c r="AH265" s="860">
        <f>_xlfn.IFERROR(AH258/AH164,0)*1000</f>
        <v>3055.29467516802</v>
      </c>
      <c r="AI265" s="860">
        <f>_xlfn.IFERROR(AI258/AI164,0)*1000</f>
        <v>3183.25579529959</v>
      </c>
      <c r="AJ265" s="860">
        <f>_xlfn.IFERROR(AJ258/AJ164,0)*1000</f>
        <v>3183.25916618408</v>
      </c>
      <c r="AK265" s="860">
        <f>_xlfn.IFERROR(AK258/AK164,0)*1000</f>
        <v>3188.09656798858</v>
      </c>
      <c r="AL265" s="860">
        <f>_xlfn.IFERROR(AL258/AL164,0)*1000</f>
        <v>2847.75200142951</v>
      </c>
      <c r="AM265" s="860">
        <f>_xlfn.IFERROR(AM258/AM164,0)*1000</f>
        <v>2847.75172695006</v>
      </c>
      <c r="AN265" s="860">
        <f>_xlfn.IFERROR(AN258/AN164,0)*1000</f>
        <v>2847.75234486846</v>
      </c>
      <c r="AO265" s="860">
        <f>_xlfn.IFERROR(AO258/AO164,0)*1000</f>
        <v>0</v>
      </c>
      <c r="AP265" s="860">
        <f>_xlfn.IFERROR(AP258/AP164,0)*1000</f>
        <v>0</v>
      </c>
      <c r="AQ265" s="860">
        <f>_xlfn.IFERROR(AQ258/AQ164,0)*1000</f>
        <v>0</v>
      </c>
      <c r="AR265" s="860">
        <f>_xlfn.IFERROR(AR258/AR164,0)*1000</f>
        <v>0</v>
      </c>
      <c r="AS265" s="860">
        <f>_xlfn.IFERROR(AS258/AS164,0)*1000</f>
        <v>0</v>
      </c>
      <c r="AT265" s="860">
        <f>_xlfn.IFERROR(AT258/AT164,0)*1000</f>
        <v>0</v>
      </c>
      <c r="AU265" s="860">
        <f>_xlfn.IFERROR(AU258/AU164,0)*1000</f>
        <v>0</v>
      </c>
      <c r="AV265" s="860">
        <f>_xlfn.IFERROR(AV258/AV164,0)*1000</f>
        <v>0</v>
      </c>
      <c r="AW265" s="860">
        <f>_xlfn.IFERROR(AW258/AW164,0)*1000</f>
        <v>0</v>
      </c>
      <c r="AX265" s="860">
        <f>_xlfn.IFERROR(AX258/AX164,0)*1000</f>
        <v>0</v>
      </c>
      <c r="AY265" s="860">
        <f>_xlfn.IFERROR(AY258/AY164,0)*1000</f>
        <v>0</v>
      </c>
      <c r="AZ265" s="860">
        <f>_xlfn.IFERROR(AZ258/AZ164,0)*1000</f>
        <v>0</v>
      </c>
      <c r="BA265" s="860">
        <f>_xlfn.IFERROR(BA258/BA164,0)*1000</f>
        <v>0</v>
      </c>
      <c r="BB265" s="860">
        <f>_xlfn.IFERROR(BB258/BB164,0)*1000</f>
        <v>0</v>
      </c>
      <c r="BC265" s="860">
        <f>_xlfn.IFERROR(BC258/BC164,0)*1000</f>
        <v>0</v>
      </c>
      <c r="BD265" s="860">
        <f>_xlfn.IFERROR(BD258/BD164,0)*1000</f>
        <v>0</v>
      </c>
      <c r="BE265" s="860">
        <f>_xlfn.IFERROR(BE258/BE164,0)*1000</f>
        <v>0</v>
      </c>
      <c r="BF265" s="860">
        <f>_xlfn.IFERROR(BF258/BF164,0)*1000</f>
        <v>0</v>
      </c>
      <c r="BG265" s="860">
        <f>_xlfn.IFERROR(BG258/BG164,0)*1000</f>
        <v>0</v>
      </c>
      <c r="BH265" s="860">
        <f>_xlfn.IFERROR(BH258/BH164,0)*1000</f>
        <v>0</v>
      </c>
      <c r="BI265" s="860">
        <f>_xlfn.IFERROR(BI258/BI164,0)*1000</f>
        <v>0</v>
      </c>
      <c r="BJ265" s="860">
        <f>_xlfn.IFERROR(BJ258/BJ164,0)*1000</f>
        <v>0</v>
      </c>
      <c r="BK265" s="860">
        <f>_xlfn.IFERROR(BK258/BK164,0)*1000</f>
        <v>0</v>
      </c>
      <c r="BL265" s="860">
        <f>_xlfn.IFERROR(BL258/BL164,0)*1000</f>
        <v>0</v>
      </c>
      <c r="BM265" s="860">
        <f>_xlfn.IFERROR(BM258/BM164,0)*1000</f>
        <v>0</v>
      </c>
      <c r="BN265" s="860">
        <f>_xlfn.IFERROR(BN258/BN164,0)*1000</f>
        <v>0</v>
      </c>
      <c r="BO265" s="860">
        <f>_xlfn.IFERROR(BO258/BO164,0)*1000</f>
        <v>0</v>
      </c>
      <c r="BP265" s="860">
        <f>_xlfn.IFERROR(BP258/BP164,0)*1000</f>
        <v>3342.39716312057</v>
      </c>
      <c r="BQ265" s="860">
        <f>_xlfn.IFERROR(BQ258/BQ164,0)*1000</f>
        <v>3342.39716312058</v>
      </c>
      <c r="BR265" s="860">
        <f>_xlfn.IFERROR(BR258/BR164,0)*1000</f>
        <v>3342.39716312056</v>
      </c>
      <c r="BS265" s="860">
        <f>_xlfn.IFERROR(BS258/BS164,0)*1000</f>
        <v>0</v>
      </c>
      <c r="BT265" s="860">
        <f>_xlfn.IFERROR(BT258/BT164,0)*1000</f>
        <v>0</v>
      </c>
      <c r="BU265" s="860">
        <f>_xlfn.IFERROR(BU258/BU164,0)*1000</f>
        <v>0</v>
      </c>
      <c r="BV265" s="860">
        <f>_xlfn.IFERROR(BV258/BV164,0)*1000</f>
        <v>0</v>
      </c>
      <c r="BW265" s="860">
        <f>_xlfn.IFERROR(BW258/BW164,0)*1000</f>
        <v>0</v>
      </c>
      <c r="BX265" s="860">
        <f>_xlfn.IFERROR(BX258/BX164,0)*1000</f>
        <v>0</v>
      </c>
      <c r="BY265" s="860">
        <f>_xlfn.IFERROR(BY258/BY164,0)*1000</f>
        <v>0</v>
      </c>
      <c r="BZ265" s="860">
        <f>_xlfn.IFERROR(BZ258/BZ164,0)*1000</f>
        <v>0</v>
      </c>
      <c r="CA265" s="860">
        <f>_xlfn.IFERROR(CA258/CA164,0)*1000</f>
        <v>0</v>
      </c>
      <c r="CB265" s="860">
        <f>_xlfn.IFERROR(CB258/CB164,0)*1000</f>
        <v>0</v>
      </c>
      <c r="CC265" s="860">
        <f>_xlfn.IFERROR(CC258/CC164,0)*1000</f>
        <v>0</v>
      </c>
      <c r="CD265" s="860">
        <f>_xlfn.IFERROR(CD258/CD164,0)*1000</f>
        <v>0</v>
      </c>
      <c r="CE265" s="860">
        <f>_xlfn.IFERROR(CE258/CE164,0)*1000</f>
        <v>0</v>
      </c>
      <c r="CF265" s="860">
        <f>_xlfn.IFERROR(CF258/CF164,0)*1000</f>
        <v>0</v>
      </c>
      <c r="CG265" s="860">
        <f>_xlfn.IFERROR(CG258/CG164,0)*1000</f>
        <v>0</v>
      </c>
      <c r="CH265" s="860">
        <f>_xlfn.IFERROR(CH258/CH164,0)*1000</f>
        <v>0</v>
      </c>
      <c r="CI265" s="860">
        <f>_xlfn.IFERROR(CI258/CI164,0)*1000</f>
        <v>0</v>
      </c>
      <c r="CJ265" s="860">
        <f>_xlfn.IFERROR(CJ258/CJ164,0)*1000</f>
        <v>0</v>
      </c>
      <c r="CK265" s="860">
        <f>_xlfn.IFERROR(CK258/CK164,0)*1000</f>
        <v>0</v>
      </c>
      <c r="CL265" s="860">
        <f>_xlfn.IFERROR(CL258/CL164,0)*1000</f>
        <v>0</v>
      </c>
      <c r="CM265" s="860">
        <f>_xlfn.IFERROR(CM258/CM164,0)*1000</f>
        <v>0</v>
      </c>
      <c r="CN265" s="860">
        <f>_xlfn.IFERROR(CN258/CN164,0)*1000</f>
        <v>0</v>
      </c>
      <c r="CO265" s="860">
        <f>_xlfn.IFERROR(CO258/CO164,0)*1000</f>
        <v>0</v>
      </c>
      <c r="CP265" s="860">
        <f>_xlfn.IFERROR(CP258/CP164,0)*1000</f>
        <v>0</v>
      </c>
      <c r="CQ265" s="860">
        <f>_xlfn.IFERROR(CQ258/CQ164,0)*1000</f>
        <v>0</v>
      </c>
      <c r="CR265" s="860">
        <f>_xlfn.IFERROR(CR258/CR164,0)*1000</f>
        <v>0</v>
      </c>
      <c r="CS265" s="860">
        <f>_xlfn.IFERROR(CS258/CS164,0)*1000</f>
        <v>0</v>
      </c>
      <c r="CT265" s="1719"/>
      <c r="CU265" s="0"/>
      <c r="CV265" s="1632"/>
      <c r="CW265" s="1173" t="s">
        <v>891</v>
      </c>
      <c r="CX265" s="1178"/>
      <c r="CY265" s="1178"/>
      <c r="CZ265" s="1178"/>
      <c r="DA265" s="1179"/>
      <c r="DB265" s="1179"/>
    </row>
    <row s="1632" customFormat="1" customHeight="1" ht="16.5" hidden="1">
      <c r="A266" s="1443"/>
      <c r="B266" s="927"/>
      <c r="C266" s="1443"/>
      <c r="D266" s="1443"/>
      <c r="E266" s="797">
        <v>17.1</v>
      </c>
      <c r="F266" s="922" cm="1" t="str">
        <f t="array" ref="F266:F266">OFFSET(G266,-1,-1)</f>
        <v>1</v>
      </c>
      <c r="G266" s="965"/>
      <c r="H266" s="965"/>
      <c r="I266" s="965"/>
      <c r="J266" s="965"/>
      <c r="K266" s="965"/>
      <c r="L266" s="922" cm="1" t="str">
        <f t="array" ref="L266:L266">OFFSET(M266,-1,-1)</f>
        <v>false</v>
      </c>
      <c r="M266" s="965"/>
      <c r="N266" s="965"/>
      <c r="O266" s="965"/>
      <c r="P266" s="965"/>
      <c r="Q266" s="965"/>
      <c r="R266" s="922" t="s">
        <v>730</v>
      </c>
      <c r="S266" s="159" cm="1" t="str">
        <f t="array" ref="S266:S266">OFFSET(T266,-1,-1)</f>
        <v>true</v>
      </c>
      <c r="T266" s="159" cm="1" t="str">
        <f t="array" ref="T266:T266">L266</f>
        <v>false</v>
      </c>
      <c r="U266" s="819">
        <f>AND(S266,IF(ISBLANK(T266),TRUE,T266))</f>
        <v>0</v>
      </c>
      <c r="V266" s="1443"/>
      <c r="W266" s="1443"/>
      <c r="X266" s="1443"/>
      <c r="Y266" s="1443"/>
      <c r="Z266" s="1443"/>
      <c r="AA266" s="820"/>
      <c r="AB266" s="1527"/>
      <c r="AC266" s="0"/>
      <c r="AD266" s="160" t="str">
        <f>AD265&amp;".0"</f>
        <v>41.0</v>
      </c>
      <c r="AE266" s="1349" t="s">
        <v>741</v>
      </c>
      <c r="AF266" s="164"/>
      <c r="AG266" s="859" t="s">
        <v>890</v>
      </c>
      <c r="AH266" s="860">
        <f>_xlfn.IFERROR(AH259/AH165,0)*1000</f>
        <v>3055.29467516802</v>
      </c>
      <c r="AI266" s="860">
        <f>_xlfn.IFERROR(AI259/AI165,0)*1000</f>
        <v>3183.25579529959</v>
      </c>
      <c r="AJ266" s="860">
        <f>_xlfn.IFERROR(AJ259/AJ165,0)*1000</f>
        <v>3183.25916618408</v>
      </c>
      <c r="AK266" s="860">
        <f>_xlfn.IFERROR(AK259/AK165,0)*1000</f>
        <v>3188.09656798858</v>
      </c>
      <c r="AL266" s="860">
        <f>_xlfn.IFERROR(AL259/AL165,0)*1000</f>
        <v>2847.75200142951</v>
      </c>
      <c r="AM266" s="860">
        <f>_xlfn.IFERROR(AM259/AM165,0)*1000</f>
        <v>2847.75172695006</v>
      </c>
      <c r="AN266" s="860">
        <f>_xlfn.IFERROR(AN259/AN165,0)*1000</f>
        <v>2847.75234486846</v>
      </c>
      <c r="AO266" s="860">
        <f>_xlfn.IFERROR(AO259/AO165,0)*1000</f>
        <v>0</v>
      </c>
      <c r="AP266" s="860">
        <f>_xlfn.IFERROR(AP259/AP165,0)*1000</f>
        <v>0</v>
      </c>
      <c r="AQ266" s="860">
        <f>_xlfn.IFERROR(AQ259/AQ165,0)*1000</f>
        <v>0</v>
      </c>
      <c r="AR266" s="860">
        <f>_xlfn.IFERROR(AR259/AR165,0)*1000</f>
        <v>0</v>
      </c>
      <c r="AS266" s="860">
        <f>_xlfn.IFERROR(AS259/AS165,0)*1000</f>
        <v>0</v>
      </c>
      <c r="AT266" s="860">
        <f>_xlfn.IFERROR(AT259/AT165,0)*1000</f>
        <v>0</v>
      </c>
      <c r="AU266" s="860">
        <f>_xlfn.IFERROR(AU259/AU165,0)*1000</f>
        <v>0</v>
      </c>
      <c r="AV266" s="860">
        <f>_xlfn.IFERROR(AV259/AV165,0)*1000</f>
        <v>0</v>
      </c>
      <c r="AW266" s="860">
        <f>_xlfn.IFERROR(AW259/AW165,0)*1000</f>
        <v>0</v>
      </c>
      <c r="AX266" s="860">
        <f>_xlfn.IFERROR(AX259/AX165,0)*1000</f>
        <v>0</v>
      </c>
      <c r="AY266" s="860">
        <f>_xlfn.IFERROR(AY259/AY165,0)*1000</f>
        <v>0</v>
      </c>
      <c r="AZ266" s="860">
        <f>_xlfn.IFERROR(AZ259/AZ165,0)*1000</f>
        <v>0</v>
      </c>
      <c r="BA266" s="860">
        <f>_xlfn.IFERROR(BA259/BA165,0)*1000</f>
        <v>0</v>
      </c>
      <c r="BB266" s="860">
        <f>_xlfn.IFERROR(BB259/BB165,0)*1000</f>
        <v>0</v>
      </c>
      <c r="BC266" s="860">
        <f>_xlfn.IFERROR(BC259/BC165,0)*1000</f>
        <v>0</v>
      </c>
      <c r="BD266" s="860">
        <f>_xlfn.IFERROR(BD259/BD165,0)*1000</f>
        <v>0</v>
      </c>
      <c r="BE266" s="860">
        <f>_xlfn.IFERROR(BE259/BE165,0)*1000</f>
        <v>0</v>
      </c>
      <c r="BF266" s="860">
        <f>_xlfn.IFERROR(BF259/BF165,0)*1000</f>
        <v>0</v>
      </c>
      <c r="BG266" s="860">
        <f>_xlfn.IFERROR(BG259/BG165,0)*1000</f>
        <v>0</v>
      </c>
      <c r="BH266" s="860">
        <f>_xlfn.IFERROR(BH259/BH165,0)*1000</f>
        <v>0</v>
      </c>
      <c r="BI266" s="860">
        <f>_xlfn.IFERROR(BI259/BI165,0)*1000</f>
        <v>0</v>
      </c>
      <c r="BJ266" s="860">
        <f>_xlfn.IFERROR(BJ259/BJ165,0)*1000</f>
        <v>0</v>
      </c>
      <c r="BK266" s="860">
        <f>_xlfn.IFERROR(BK259/BK165,0)*1000</f>
        <v>0</v>
      </c>
      <c r="BL266" s="860">
        <f>_xlfn.IFERROR(BL259/BL165,0)*1000</f>
        <v>0</v>
      </c>
      <c r="BM266" s="860">
        <f>_xlfn.IFERROR(BM259/BM165,0)*1000</f>
        <v>0</v>
      </c>
      <c r="BN266" s="860">
        <f>_xlfn.IFERROR(BN259/BN165,0)*1000</f>
        <v>0</v>
      </c>
      <c r="BO266" s="860">
        <f>_xlfn.IFERROR(BO259/BO165,0)*1000</f>
        <v>0</v>
      </c>
      <c r="BP266" s="860">
        <f>_xlfn.IFERROR(BP259/BP165,0)*1000</f>
        <v>3342.39716312057</v>
      </c>
      <c r="BQ266" s="860">
        <f>_xlfn.IFERROR(BQ259/BQ165,0)*1000</f>
        <v>3342.39716312058</v>
      </c>
      <c r="BR266" s="860">
        <f>_xlfn.IFERROR(BR259/BR165,0)*1000</f>
        <v>3342.39716312056</v>
      </c>
      <c r="BS266" s="860">
        <f>_xlfn.IFERROR(BS259/BS165,0)*1000</f>
        <v>0</v>
      </c>
      <c r="BT266" s="860">
        <f>_xlfn.IFERROR(BT259/BT165,0)*1000</f>
        <v>0</v>
      </c>
      <c r="BU266" s="860">
        <f>_xlfn.IFERROR(BU259/BU165,0)*1000</f>
        <v>0</v>
      </c>
      <c r="BV266" s="860">
        <f>_xlfn.IFERROR(BV259/BV165,0)*1000</f>
        <v>0</v>
      </c>
      <c r="BW266" s="860">
        <f>_xlfn.IFERROR(BW259/BW165,0)*1000</f>
        <v>0</v>
      </c>
      <c r="BX266" s="860">
        <f>_xlfn.IFERROR(BX259/BX165,0)*1000</f>
        <v>0</v>
      </c>
      <c r="BY266" s="860">
        <f>_xlfn.IFERROR(BY259/BY165,0)*1000</f>
        <v>0</v>
      </c>
      <c r="BZ266" s="860">
        <f>_xlfn.IFERROR(BZ259/BZ165,0)*1000</f>
        <v>0</v>
      </c>
      <c r="CA266" s="860">
        <f>_xlfn.IFERROR(CA259/CA165,0)*1000</f>
        <v>0</v>
      </c>
      <c r="CB266" s="860">
        <f>_xlfn.IFERROR(CB259/CB165,0)*1000</f>
        <v>0</v>
      </c>
      <c r="CC266" s="860">
        <f>_xlfn.IFERROR(CC259/CC165,0)*1000</f>
        <v>0</v>
      </c>
      <c r="CD266" s="860">
        <f>_xlfn.IFERROR(CD259/CD165,0)*1000</f>
        <v>0</v>
      </c>
      <c r="CE266" s="860">
        <f>_xlfn.IFERROR(CE259/CE165,0)*1000</f>
        <v>0</v>
      </c>
      <c r="CF266" s="860">
        <f>_xlfn.IFERROR(CF259/CF165,0)*1000</f>
        <v>0</v>
      </c>
      <c r="CG266" s="860">
        <f>_xlfn.IFERROR(CG259/CG165,0)*1000</f>
        <v>0</v>
      </c>
      <c r="CH266" s="860">
        <f>_xlfn.IFERROR(CH259/CH165,0)*1000</f>
        <v>0</v>
      </c>
      <c r="CI266" s="860">
        <f>_xlfn.IFERROR(CI259/CI165,0)*1000</f>
        <v>0</v>
      </c>
      <c r="CJ266" s="860">
        <f>_xlfn.IFERROR(CJ259/CJ165,0)*1000</f>
        <v>0</v>
      </c>
      <c r="CK266" s="860">
        <f>_xlfn.IFERROR(CK259/CK165,0)*1000</f>
        <v>0</v>
      </c>
      <c r="CL266" s="860">
        <f>_xlfn.IFERROR(CL259/CL165,0)*1000</f>
        <v>0</v>
      </c>
      <c r="CM266" s="860">
        <f>_xlfn.IFERROR(CM259/CM165,0)*1000</f>
        <v>0</v>
      </c>
      <c r="CN266" s="860">
        <f>_xlfn.IFERROR(CN259/CN165,0)*1000</f>
        <v>0</v>
      </c>
      <c r="CO266" s="860">
        <f>_xlfn.IFERROR(CO259/CO165,0)*1000</f>
        <v>0</v>
      </c>
      <c r="CP266" s="860">
        <f>_xlfn.IFERROR(CP259/CP165,0)*1000</f>
        <v>0</v>
      </c>
      <c r="CQ266" s="860">
        <f>_xlfn.IFERROR(CQ259/CQ165,0)*1000</f>
        <v>0</v>
      </c>
      <c r="CR266" s="860">
        <f>_xlfn.IFERROR(CR259/CR165,0)*1000</f>
        <v>0</v>
      </c>
      <c r="CS266" s="860">
        <f>_xlfn.IFERROR(CS259/CS165,0)*1000</f>
        <v>0</v>
      </c>
      <c r="CT266" s="73"/>
      <c r="CU266" s="0"/>
      <c r="CV266" s="1632"/>
      <c r="CW266" s="1173" t="s">
        <v>892</v>
      </c>
      <c r="CX266" s="1178"/>
      <c r="CY266" s="1178"/>
      <c r="CZ266" s="1178"/>
      <c r="DA266" s="1179"/>
      <c r="DB266" s="1179"/>
    </row>
    <row s="1632" customFormat="1" customHeight="1" ht="16.5" hidden="1">
      <c r="E267" s="797">
        <v>17.1</v>
      </c>
      <c r="F267" s="922" cm="1" t="str">
        <f t="array" ref="F267:F267">OFFSET(G267,-1,-1)</f>
        <v>1</v>
      </c>
      <c r="L267" s="922" cm="1" t="str">
        <f t="array" ref="L267:L267">OFFSET(M267,-1,-1)</f>
        <v>false</v>
      </c>
      <c r="S267" s="159" cm="1" t="str">
        <f t="array" ref="S267:S267">OFFSET(T267,-1,-1)</f>
        <v>true</v>
      </c>
      <c r="T267" s="159">
        <f>AD267&lt;&gt;"41.0"</f>
        <v>0</v>
      </c>
      <c r="U267" s="819">
        <f>AND(S267,IF(ISBLANK(T267),TRUE,T267))</f>
        <v>0</v>
      </c>
      <c r="X267" s="159" t="s">
        <v>234</v>
      </c>
      <c r="AB267" s="1527"/>
      <c r="AD267" s="160" t="s">
        <v>893</v>
      </c>
      <c r="AE267" s="974"/>
      <c r="AF267" s="625"/>
      <c r="AG267" s="859" t="s">
        <v>890</v>
      </c>
      <c r="AH267" s="860">
        <f>_xlfn.IFERROR(AH262/AH166,0)*1000</f>
        <v>0</v>
      </c>
      <c r="AI267" s="860">
        <f>_xlfn.IFERROR(AI262/AI166,0)*1000</f>
        <v>0</v>
      </c>
      <c r="AJ267" s="860">
        <f>_xlfn.IFERROR(AJ262/AJ166,0)*1000</f>
        <v>0</v>
      </c>
      <c r="AK267" s="860">
        <f>_xlfn.IFERROR(AK262/AK166,0)*1000</f>
        <v>0</v>
      </c>
      <c r="AL267" s="860">
        <f>_xlfn.IFERROR(AL262/AL166,0)*1000</f>
        <v>0</v>
      </c>
      <c r="AM267" s="860">
        <f>_xlfn.IFERROR(AM262/AM166,0)*1000</f>
        <v>0</v>
      </c>
      <c r="AN267" s="860">
        <f>_xlfn.IFERROR(AN262/AN166,0)*1000</f>
        <v>0</v>
      </c>
      <c r="AO267" s="860">
        <f>_xlfn.IFERROR(AO262/AO166,0)*1000</f>
        <v>0</v>
      </c>
      <c r="AP267" s="860">
        <f>_xlfn.IFERROR(AP262/AP166,0)*1000</f>
        <v>0</v>
      </c>
      <c r="AQ267" s="860">
        <f>_xlfn.IFERROR(AQ262/AQ166,0)*1000</f>
        <v>0</v>
      </c>
      <c r="AR267" s="860">
        <f>_xlfn.IFERROR(AR262/AR166,0)*1000</f>
        <v>0</v>
      </c>
      <c r="AS267" s="860">
        <f>_xlfn.IFERROR(AS262/AS166,0)*1000</f>
        <v>0</v>
      </c>
      <c r="AT267" s="860">
        <f>_xlfn.IFERROR(AT262/AT166,0)*1000</f>
        <v>0</v>
      </c>
      <c r="AU267" s="860">
        <f>_xlfn.IFERROR(AU262/AU166,0)*1000</f>
        <v>0</v>
      </c>
      <c r="AV267" s="860">
        <f>_xlfn.IFERROR(AV262/AV166,0)*1000</f>
        <v>0</v>
      </c>
      <c r="AW267" s="860">
        <f>_xlfn.IFERROR(AW262/AW166,0)*1000</f>
        <v>0</v>
      </c>
      <c r="AX267" s="860">
        <f>_xlfn.IFERROR(AX262/AX166,0)*1000</f>
        <v>0</v>
      </c>
      <c r="AY267" s="860">
        <f>_xlfn.IFERROR(AY262/AY166,0)*1000</f>
        <v>0</v>
      </c>
      <c r="AZ267" s="860">
        <f>_xlfn.IFERROR(AZ262/AZ166,0)*1000</f>
        <v>0</v>
      </c>
      <c r="BA267" s="860">
        <f>_xlfn.IFERROR(BA262/BA166,0)*1000</f>
        <v>0</v>
      </c>
      <c r="BB267" s="860">
        <f>_xlfn.IFERROR(BB262/BB166,0)*1000</f>
        <v>0</v>
      </c>
      <c r="BC267" s="860">
        <f>_xlfn.IFERROR(BC262/BC166,0)*1000</f>
        <v>0</v>
      </c>
      <c r="BD267" s="860">
        <f>_xlfn.IFERROR(BD262/BD166,0)*1000</f>
        <v>0</v>
      </c>
      <c r="BE267" s="860">
        <f>_xlfn.IFERROR(BE262/BE166,0)*1000</f>
        <v>0</v>
      </c>
      <c r="BF267" s="860">
        <f>_xlfn.IFERROR(BF262/BF166,0)*1000</f>
        <v>0</v>
      </c>
      <c r="BG267" s="860">
        <f>_xlfn.IFERROR(BG262/BG166,0)*1000</f>
        <v>0</v>
      </c>
      <c r="BH267" s="860">
        <f>_xlfn.IFERROR(BH262/BH166,0)*1000</f>
        <v>0</v>
      </c>
      <c r="BI267" s="860">
        <f>_xlfn.IFERROR(BI262/BI166,0)*1000</f>
        <v>0</v>
      </c>
      <c r="BJ267" s="860">
        <f>_xlfn.IFERROR(BJ262/BJ166,0)*1000</f>
        <v>0</v>
      </c>
      <c r="BK267" s="860">
        <f>_xlfn.IFERROR(BK262/BK166,0)*1000</f>
        <v>0</v>
      </c>
      <c r="BL267" s="860">
        <f>_xlfn.IFERROR(BL262/BL166,0)*1000</f>
        <v>0</v>
      </c>
      <c r="BM267" s="860">
        <f>_xlfn.IFERROR(BM262/BM166,0)*1000</f>
        <v>0</v>
      </c>
      <c r="BN267" s="860">
        <f>_xlfn.IFERROR(BN262/BN166,0)*1000</f>
        <v>0</v>
      </c>
      <c r="BO267" s="860">
        <f>_xlfn.IFERROR(BO262/BO166,0)*1000</f>
        <v>0</v>
      </c>
      <c r="BP267" s="860">
        <f>_xlfn.IFERROR(BP262/BP166,0)*1000</f>
        <v>0</v>
      </c>
      <c r="BQ267" s="860">
        <f>_xlfn.IFERROR(BQ262/BQ166,0)*1000</f>
        <v>0</v>
      </c>
      <c r="BR267" s="860">
        <f>_xlfn.IFERROR(BR262/BR166,0)*1000</f>
        <v>0</v>
      </c>
      <c r="BS267" s="860">
        <f>_xlfn.IFERROR(BS262/BS166,0)*1000</f>
        <v>0</v>
      </c>
      <c r="BT267" s="860">
        <f>_xlfn.IFERROR(BT262/BT166,0)*1000</f>
        <v>0</v>
      </c>
      <c r="BU267" s="860">
        <f>_xlfn.IFERROR(BU262/BU166,0)*1000</f>
        <v>0</v>
      </c>
      <c r="BV267" s="860">
        <f>_xlfn.IFERROR(BV262/BV166,0)*1000</f>
        <v>0</v>
      </c>
      <c r="BW267" s="860">
        <f>_xlfn.IFERROR(BW262/BW166,0)*1000</f>
        <v>0</v>
      </c>
      <c r="BX267" s="860">
        <f>_xlfn.IFERROR(BX262/BX166,0)*1000</f>
        <v>0</v>
      </c>
      <c r="BY267" s="860">
        <f>_xlfn.IFERROR(BY262/BY166,0)*1000</f>
        <v>0</v>
      </c>
      <c r="BZ267" s="860">
        <f>_xlfn.IFERROR(BZ262/BZ166,0)*1000</f>
        <v>0</v>
      </c>
      <c r="CA267" s="860">
        <f>_xlfn.IFERROR(CA262/CA166,0)*1000</f>
        <v>0</v>
      </c>
      <c r="CB267" s="860">
        <f>_xlfn.IFERROR(CB262/CB166,0)*1000</f>
        <v>0</v>
      </c>
      <c r="CC267" s="860">
        <f>_xlfn.IFERROR(CC262/CC166,0)*1000</f>
        <v>0</v>
      </c>
      <c r="CD267" s="860">
        <f>_xlfn.IFERROR(CD262/CD166,0)*1000</f>
        <v>0</v>
      </c>
      <c r="CE267" s="860">
        <f>_xlfn.IFERROR(CE262/CE166,0)*1000</f>
        <v>0</v>
      </c>
      <c r="CF267" s="860">
        <f>_xlfn.IFERROR(CF262/CF166,0)*1000</f>
        <v>0</v>
      </c>
      <c r="CG267" s="860">
        <f>_xlfn.IFERROR(CG262/CG166,0)*1000</f>
        <v>0</v>
      </c>
      <c r="CH267" s="860">
        <f>_xlfn.IFERROR(CH262/CH166,0)*1000</f>
        <v>0</v>
      </c>
      <c r="CI267" s="860">
        <f>_xlfn.IFERROR(CI262/CI166,0)*1000</f>
        <v>0</v>
      </c>
      <c r="CJ267" s="860">
        <f>_xlfn.IFERROR(CJ262/CJ166,0)*1000</f>
        <v>0</v>
      </c>
      <c r="CK267" s="860">
        <f>_xlfn.IFERROR(CK262/CK166,0)*1000</f>
        <v>0</v>
      </c>
      <c r="CL267" s="860">
        <f>_xlfn.IFERROR(CL262/CL166,0)*1000</f>
        <v>0</v>
      </c>
      <c r="CM267" s="860">
        <f>_xlfn.IFERROR(CM262/CM166,0)*1000</f>
        <v>0</v>
      </c>
      <c r="CN267" s="860">
        <f>_xlfn.IFERROR(CN262/CN166,0)*1000</f>
        <v>0</v>
      </c>
      <c r="CO267" s="860">
        <f>_xlfn.IFERROR(CO262/CO166,0)*1000</f>
        <v>0</v>
      </c>
      <c r="CP267" s="860">
        <f>_xlfn.IFERROR(CP262/CP166,0)*1000</f>
        <v>0</v>
      </c>
      <c r="CQ267" s="860">
        <f>_xlfn.IFERROR(CQ262/CQ166,0)*1000</f>
        <v>0</v>
      </c>
      <c r="CR267" s="860">
        <f>_xlfn.IFERROR(CR262/CR166,0)*1000</f>
        <v>0</v>
      </c>
      <c r="CS267" s="860">
        <f>_xlfn.IFERROR(CS262/CS166,0)*1000</f>
        <v>0</v>
      </c>
      <c r="CT267" s="73"/>
      <c r="CW267" s="1173" t="s">
        <v>892</v>
      </c>
      <c r="CX267" s="1178" t="s">
        <v>792</v>
      </c>
      <c r="CY267" s="1182" cm="1" t="str">
        <f t="array" ref="CY267:CY267">AE267</f>
        <v>0</v>
      </c>
      <c r="CZ267" s="1182" cm="1" t="str">
        <f t="array" ref="CZ267:CZ267">AF267</f>
        <v>0</v>
      </c>
      <c r="DA267" s="1179"/>
      <c r="DB267" s="1179"/>
    </row>
    <row s="1632" customFormat="1" customHeight="1" ht="16.5">
      <c r="A268" s="1632"/>
      <c r="B268" s="1632"/>
      <c r="C268" s="1632"/>
      <c r="D268" s="1632"/>
      <c r="E268" s="797">
        <v>17.1</v>
      </c>
      <c r="F268" s="922" cm="1" t="str">
        <f t="array" ref="F268:F268">OFFSET(G268,-1,-1)</f>
        <v>1</v>
      </c>
      <c r="G268" s="1632"/>
      <c r="H268" s="1632"/>
      <c r="I268" s="1632"/>
      <c r="J268" s="1632"/>
      <c r="K268" s="1632"/>
      <c r="L268" s="922" cm="1" t="str">
        <f t="array" ref="L268:L268">OFFSET(M268,-1,-1)</f>
        <v>false</v>
      </c>
      <c r="M268" s="1632"/>
      <c r="N268" s="1632"/>
      <c r="O268" s="1632"/>
      <c r="P268" s="1632"/>
      <c r="Q268" s="1632"/>
      <c r="R268" s="1632"/>
      <c r="S268" s="159" cm="1" t="str">
        <f t="array" ref="S268:S268">OFFSET(T268,-1,-1)</f>
        <v>true</v>
      </c>
      <c r="T268" s="159">
        <f>AD268&lt;&gt;"41.0"</f>
        <v>1</v>
      </c>
      <c r="U268" s="819">
        <f>AND(S268,IF(ISBLANK(T268),TRUE,T268))</f>
        <v>1</v>
      </c>
      <c r="V268" s="1632"/>
      <c r="W268" s="1632"/>
      <c r="X268" s="159" t="str">
        <f>'Топливо 4.4'!$AE$263&amp;'Топливо 4.4'!$AF$263</f>
        <v>Уголь длиннопламенный</v>
      </c>
      <c r="Y268" s="1632"/>
      <c r="Z268" s="1632"/>
      <c r="AA268" s="1632"/>
      <c r="AB268" s="1527"/>
      <c r="AC268" s="0"/>
      <c r="AD268" s="160" t="s">
        <v>925</v>
      </c>
      <c r="AE268" s="974" cm="1" t="str">
        <f t="array" ref="AE268:AE268">IF(ISBLANK('Топливо 4.4'!$AE$263),"",'Топливо 4.4'!$AE$263)</f>
        <v>Уголь длиннопламенный</v>
      </c>
      <c r="AF268" s="625" cm="1" t="str">
        <f t="array" ref="AF268:AF268">IF(ISBLANK('Топливо 4.4'!$AF$263),"",'Топливо 4.4'!$AF$263)</f>
        <v/>
      </c>
      <c r="AG268" s="859" t="s">
        <v>890</v>
      </c>
      <c r="AH268" s="860">
        <f>_xlfn.IFERROR(AH263/AH167,0)*1000</f>
        <v>3055.29467516802</v>
      </c>
      <c r="AI268" s="860">
        <f>_xlfn.IFERROR(AI263/AI167,0)*1000</f>
        <v>3183.25579529959</v>
      </c>
      <c r="AJ268" s="860">
        <f>_xlfn.IFERROR(AJ263/AJ167,0)*1000</f>
        <v>3183.25916618408</v>
      </c>
      <c r="AK268" s="860">
        <f>_xlfn.IFERROR(AK263/AK167,0)*1000</f>
        <v>3188.09656798858</v>
      </c>
      <c r="AL268" s="860">
        <f>_xlfn.IFERROR(AL263/AL167,0)*1000</f>
        <v>2847.75200142951</v>
      </c>
      <c r="AM268" s="860">
        <f>_xlfn.IFERROR(AM263/AM167,0)*1000</f>
        <v>2847.75172695006</v>
      </c>
      <c r="AN268" s="860">
        <f>_xlfn.IFERROR(AN263/AN167,0)*1000</f>
        <v>2847.75234486846</v>
      </c>
      <c r="AO268" s="860">
        <f>_xlfn.IFERROR(AO263/AO167,0)*1000</f>
        <v>0</v>
      </c>
      <c r="AP268" s="860">
        <f>_xlfn.IFERROR(AP263/AP167,0)*1000</f>
        <v>0</v>
      </c>
      <c r="AQ268" s="860">
        <f>_xlfn.IFERROR(AQ263/AQ167,0)*1000</f>
        <v>0</v>
      </c>
      <c r="AR268" s="860">
        <f>_xlfn.IFERROR(AR263/AR167,0)*1000</f>
        <v>0</v>
      </c>
      <c r="AS268" s="860">
        <f>_xlfn.IFERROR(AS263/AS167,0)*1000</f>
        <v>0</v>
      </c>
      <c r="AT268" s="860">
        <f>_xlfn.IFERROR(AT263/AT167,0)*1000</f>
        <v>0</v>
      </c>
      <c r="AU268" s="860">
        <f>_xlfn.IFERROR(AU263/AU167,0)*1000</f>
        <v>0</v>
      </c>
      <c r="AV268" s="860">
        <f>_xlfn.IFERROR(AV263/AV167,0)*1000</f>
        <v>0</v>
      </c>
      <c r="AW268" s="860">
        <f>_xlfn.IFERROR(AW263/AW167,0)*1000</f>
        <v>0</v>
      </c>
      <c r="AX268" s="860">
        <f>_xlfn.IFERROR(AX263/AX167,0)*1000</f>
        <v>0</v>
      </c>
      <c r="AY268" s="860">
        <f>_xlfn.IFERROR(AY263/AY167,0)*1000</f>
        <v>0</v>
      </c>
      <c r="AZ268" s="860">
        <f>_xlfn.IFERROR(AZ263/AZ167,0)*1000</f>
        <v>0</v>
      </c>
      <c r="BA268" s="860">
        <f>_xlfn.IFERROR(BA263/BA167,0)*1000</f>
        <v>0</v>
      </c>
      <c r="BB268" s="860">
        <f>_xlfn.IFERROR(BB263/BB167,0)*1000</f>
        <v>0</v>
      </c>
      <c r="BC268" s="860">
        <f>_xlfn.IFERROR(BC263/BC167,0)*1000</f>
        <v>0</v>
      </c>
      <c r="BD268" s="860">
        <f>_xlfn.IFERROR(BD263/BD167,0)*1000</f>
        <v>0</v>
      </c>
      <c r="BE268" s="860">
        <f>_xlfn.IFERROR(BE263/BE167,0)*1000</f>
        <v>0</v>
      </c>
      <c r="BF268" s="860">
        <f>_xlfn.IFERROR(BF263/BF167,0)*1000</f>
        <v>0</v>
      </c>
      <c r="BG268" s="860">
        <f>_xlfn.IFERROR(BG263/BG167,0)*1000</f>
        <v>0</v>
      </c>
      <c r="BH268" s="860">
        <f>_xlfn.IFERROR(BH263/BH167,0)*1000</f>
        <v>0</v>
      </c>
      <c r="BI268" s="860">
        <f>_xlfn.IFERROR(BI263/BI167,0)*1000</f>
        <v>0</v>
      </c>
      <c r="BJ268" s="860">
        <f>_xlfn.IFERROR(BJ263/BJ167,0)*1000</f>
        <v>0</v>
      </c>
      <c r="BK268" s="860">
        <f>_xlfn.IFERROR(BK263/BK167,0)*1000</f>
        <v>0</v>
      </c>
      <c r="BL268" s="860">
        <f>_xlfn.IFERROR(BL263/BL167,0)*1000</f>
        <v>0</v>
      </c>
      <c r="BM268" s="860">
        <f>_xlfn.IFERROR(BM263/BM167,0)*1000</f>
        <v>0</v>
      </c>
      <c r="BN268" s="860">
        <f>_xlfn.IFERROR(BN263/BN167,0)*1000</f>
        <v>0</v>
      </c>
      <c r="BO268" s="860">
        <f>_xlfn.IFERROR(BO263/BO167,0)*1000</f>
        <v>0</v>
      </c>
      <c r="BP268" s="860">
        <f>_xlfn.IFERROR(BP263/BP167,0)*1000</f>
        <v>3342.39716312057</v>
      </c>
      <c r="BQ268" s="860">
        <f>_xlfn.IFERROR(BQ263/BQ167,0)*1000</f>
        <v>3342.39716312058</v>
      </c>
      <c r="BR268" s="860">
        <f>_xlfn.IFERROR(BR263/BR167,0)*1000</f>
        <v>3342.39716312056</v>
      </c>
      <c r="BS268" s="860">
        <f>_xlfn.IFERROR(BS263/BS167,0)*1000</f>
        <v>0</v>
      </c>
      <c r="BT268" s="860">
        <f>_xlfn.IFERROR(BT263/BT167,0)*1000</f>
        <v>0</v>
      </c>
      <c r="BU268" s="860">
        <f>_xlfn.IFERROR(BU263/BU167,0)*1000</f>
        <v>0</v>
      </c>
      <c r="BV268" s="860">
        <f>_xlfn.IFERROR(BV263/BV167,0)*1000</f>
        <v>0</v>
      </c>
      <c r="BW268" s="860">
        <f>_xlfn.IFERROR(BW263/BW167,0)*1000</f>
        <v>0</v>
      </c>
      <c r="BX268" s="860">
        <f>_xlfn.IFERROR(BX263/BX167,0)*1000</f>
        <v>0</v>
      </c>
      <c r="BY268" s="860">
        <f>_xlfn.IFERROR(BY263/BY167,0)*1000</f>
        <v>0</v>
      </c>
      <c r="BZ268" s="860">
        <f>_xlfn.IFERROR(BZ263/BZ167,0)*1000</f>
        <v>0</v>
      </c>
      <c r="CA268" s="860">
        <f>_xlfn.IFERROR(CA263/CA167,0)*1000</f>
        <v>0</v>
      </c>
      <c r="CB268" s="860">
        <f>_xlfn.IFERROR(CB263/CB167,0)*1000</f>
        <v>0</v>
      </c>
      <c r="CC268" s="860">
        <f>_xlfn.IFERROR(CC263/CC167,0)*1000</f>
        <v>0</v>
      </c>
      <c r="CD268" s="860">
        <f>_xlfn.IFERROR(CD263/CD167,0)*1000</f>
        <v>0</v>
      </c>
      <c r="CE268" s="860">
        <f>_xlfn.IFERROR(CE263/CE167,0)*1000</f>
        <v>0</v>
      </c>
      <c r="CF268" s="860">
        <f>_xlfn.IFERROR(CF263/CF167,0)*1000</f>
        <v>0</v>
      </c>
      <c r="CG268" s="860">
        <f>_xlfn.IFERROR(CG263/CG167,0)*1000</f>
        <v>0</v>
      </c>
      <c r="CH268" s="860">
        <f>_xlfn.IFERROR(CH263/CH167,0)*1000</f>
        <v>0</v>
      </c>
      <c r="CI268" s="860">
        <f>_xlfn.IFERROR(CI263/CI167,0)*1000</f>
        <v>0</v>
      </c>
      <c r="CJ268" s="860">
        <f>_xlfn.IFERROR(CJ263/CJ167,0)*1000</f>
        <v>0</v>
      </c>
      <c r="CK268" s="860">
        <f>_xlfn.IFERROR(CK263/CK167,0)*1000</f>
        <v>0</v>
      </c>
      <c r="CL268" s="860">
        <f>_xlfn.IFERROR(CL263/CL167,0)*1000</f>
        <v>0</v>
      </c>
      <c r="CM268" s="860">
        <f>_xlfn.IFERROR(CM263/CM167,0)*1000</f>
        <v>0</v>
      </c>
      <c r="CN268" s="860">
        <f>_xlfn.IFERROR(CN263/CN167,0)*1000</f>
        <v>0</v>
      </c>
      <c r="CO268" s="860">
        <f>_xlfn.IFERROR(CO263/CO167,0)*1000</f>
        <v>0</v>
      </c>
      <c r="CP268" s="860">
        <f>_xlfn.IFERROR(CP263/CP167,0)*1000</f>
        <v>0</v>
      </c>
      <c r="CQ268" s="860">
        <f>_xlfn.IFERROR(CQ263/CQ167,0)*1000</f>
        <v>0</v>
      </c>
      <c r="CR268" s="860">
        <f>_xlfn.IFERROR(CR263/CR167,0)*1000</f>
        <v>0</v>
      </c>
      <c r="CS268" s="860">
        <f>_xlfn.IFERROR(CS263/CS167,0)*1000</f>
        <v>0</v>
      </c>
      <c r="CT268" s="1719"/>
      <c r="CU268" s="0"/>
      <c r="CV268" s="1632"/>
      <c r="CW268" s="1173" t="s">
        <v>892</v>
      </c>
      <c r="CX268" s="1178" t="s">
        <v>792</v>
      </c>
      <c r="CY268" s="1182" cm="1" t="str">
        <f t="array" ref="CY268:CY268">AE268</f>
        <v>Уголь длиннопламенный</v>
      </c>
      <c r="CZ268" s="1182" cm="1" t="str">
        <f t="array" ref="CZ268:CZ268">AF268</f>
        <v/>
      </c>
      <c r="DA268" s="1179"/>
      <c r="DB268" s="1179"/>
    </row>
    <row s="1632" customFormat="1" customHeight="1" ht="15" hidden="1">
      <c r="A269" s="1443"/>
      <c r="B269" s="927"/>
      <c r="C269" s="1443"/>
      <c r="D269" s="1443"/>
      <c r="E269" s="797">
        <v>0</v>
      </c>
      <c r="F269" s="922" cm="1" t="str">
        <f t="array" ref="F269:F269">OFFSET(G269,-1,-1)</f>
        <v>1</v>
      </c>
      <c r="G269" s="965"/>
      <c r="H269" s="965"/>
      <c r="I269" s="965"/>
      <c r="J269" s="965"/>
      <c r="K269" s="965"/>
      <c r="L269" s="922" cm="1" t="str">
        <f t="array" ref="L269:L269">OFFSET(M269,-1,-1)</f>
        <v>false</v>
      </c>
      <c r="M269" s="965"/>
      <c r="N269" s="965"/>
      <c r="O269" s="965"/>
      <c r="P269" s="965"/>
      <c r="Q269" s="965"/>
      <c r="R269" s="1443"/>
      <c r="S269" s="159" cm="1" t="str">
        <f t="array" ref="S269:S269">OFFSET(T269,-1,-1)</f>
        <v>true</v>
      </c>
      <c r="T269" s="1443"/>
      <c r="U269" s="819">
        <f>AND(S269,IF(ISBLANK(T269),TRUE,T269))</f>
        <v>1</v>
      </c>
      <c r="V269" s="1443"/>
      <c r="W269" s="1443"/>
      <c r="X269" s="973" t="str">
        <f>"{                  
         funcDyn: 'msg1',
         blok: 'blok_2',
         wsCross: 'Топливо 4.4',
         linkFormula: 'AE-AE#AF-AF',
         levelDyn: "&amp;Y139&amp;"
}"</f>
        <v>{                  
         funcDyn: 'msg1',
         blok: 'blok_2',
         wsCross: 'Топливо 4.4',
         linkFormula: 'AE-AE#AF-AF',
         levelDyn: 1
}</v>
      </c>
      <c r="Y269" s="1443"/>
      <c r="Z269" s="1443"/>
      <c r="AA269" s="820"/>
      <c r="AB269" s="1527"/>
      <c r="AC269" s="0"/>
      <c r="AD269" s="976"/>
      <c r="AE269" s="975" t="s">
        <v>236</v>
      </c>
      <c r="AF269" s="874"/>
      <c r="AG269" s="859"/>
      <c r="AH269" s="861"/>
      <c r="AI269" s="863"/>
      <c r="AJ269" s="863"/>
      <c r="AK269" s="863"/>
      <c r="AL269" s="863"/>
      <c r="AM269" s="863"/>
      <c r="AN269" s="863"/>
      <c r="AO269" s="863"/>
      <c r="AP269" s="863"/>
      <c r="AQ269" s="863"/>
      <c r="AR269" s="863"/>
      <c r="AS269" s="863"/>
      <c r="AT269" s="863"/>
      <c r="AU269" s="863"/>
      <c r="AV269" s="863"/>
      <c r="AW269" s="863"/>
      <c r="AX269" s="863"/>
      <c r="AY269" s="863"/>
      <c r="AZ269" s="863"/>
      <c r="BA269" s="863"/>
      <c r="BB269" s="863"/>
      <c r="BC269" s="863"/>
      <c r="BD269" s="863"/>
      <c r="BE269" s="863"/>
      <c r="BF269" s="863"/>
      <c r="BG269" s="863"/>
      <c r="BH269" s="863"/>
      <c r="BI269" s="863"/>
      <c r="BJ269" s="863"/>
      <c r="BK269" s="863"/>
      <c r="BL269" s="863"/>
      <c r="BM269" s="863"/>
      <c r="BN269" s="863"/>
      <c r="BO269" s="863"/>
      <c r="BP269" s="863"/>
      <c r="BQ269" s="863"/>
      <c r="BR269" s="863"/>
      <c r="BS269" s="863"/>
      <c r="BT269" s="863"/>
      <c r="BU269" s="863"/>
      <c r="BV269" s="863"/>
      <c r="BW269" s="863"/>
      <c r="BX269" s="863"/>
      <c r="BY269" s="863"/>
      <c r="BZ269" s="863"/>
      <c r="CA269" s="863"/>
      <c r="CB269" s="863"/>
      <c r="CC269" s="863"/>
      <c r="CD269" s="863"/>
      <c r="CE269" s="863"/>
      <c r="CF269" s="863"/>
      <c r="CG269" s="863"/>
      <c r="CH269" s="863"/>
      <c r="CI269" s="863"/>
      <c r="CJ269" s="863"/>
      <c r="CK269" s="863"/>
      <c r="CL269" s="863"/>
      <c r="CM269" s="863"/>
      <c r="CN269" s="863"/>
      <c r="CO269" s="863"/>
      <c r="CP269" s="863"/>
      <c r="CQ269" s="863"/>
      <c r="CR269" s="863"/>
      <c r="CS269" s="863"/>
      <c r="CT269" s="91"/>
      <c r="CU269" s="0"/>
      <c r="CV269" s="1632"/>
      <c r="CW269" s="1173" t="str">
        <f>IF(AND(ISNUMBER(VALUE(TRIM(SUBSTITUTE(AD269,".","")))),TRIM(SUBSTITUTE(AD269,".",""))&lt;&gt;""),"P"&amp;SUBSTITUTE(AD269,".",""),"")</f>
        <v/>
      </c>
      <c r="CX269" s="1178"/>
      <c r="CY269" s="1178"/>
      <c r="CZ269" s="1178"/>
      <c r="DA269" s="1179"/>
      <c r="DB269" s="1179"/>
    </row>
    <row s="1632" customFormat="1" customHeight="1" ht="16.5">
      <c r="A270" s="1443"/>
      <c r="B270" s="927"/>
      <c r="C270" s="1443"/>
      <c r="D270" s="1443"/>
      <c r="E270" s="797">
        <v>17.1</v>
      </c>
      <c r="F270" s="922" cm="1" t="str">
        <f t="array" ref="F270:F270">OFFSET(G270,-1,-1)</f>
        <v>1</v>
      </c>
      <c r="G270" s="965"/>
      <c r="H270" s="965"/>
      <c r="I270" s="965"/>
      <c r="J270" s="965"/>
      <c r="K270" s="965"/>
      <c r="L270" s="922" cm="1" t="str">
        <f t="array" ref="L270:L270">OFFSET(M270,-1,-1)</f>
        <v>false</v>
      </c>
      <c r="M270" s="965"/>
      <c r="N270" s="965"/>
      <c r="O270" s="965"/>
      <c r="P270" s="965"/>
      <c r="Q270" s="965"/>
      <c r="R270" s="1443"/>
      <c r="S270" s="159" cm="1" t="str">
        <f t="array" ref="S270:S270">OFFSET(T270,-1,-1)</f>
        <v>true</v>
      </c>
      <c r="T270" s="1443"/>
      <c r="U270" s="819">
        <f>AND(S270,IF(ISBLANK(T270),TRUE,T270))</f>
        <v>1</v>
      </c>
      <c r="V270" s="1443"/>
      <c r="W270" s="1443"/>
      <c r="X270" s="1443"/>
      <c r="Y270" s="1443"/>
      <c r="Z270" s="1443"/>
      <c r="AA270" s="820"/>
      <c r="AB270" s="1527"/>
      <c r="AC270" s="0"/>
      <c r="AD270" s="173" t="s">
        <v>894</v>
      </c>
      <c r="AE270" s="1497" t="s">
        <v>895</v>
      </c>
      <c r="AF270" s="323"/>
      <c r="AG270" s="1010"/>
      <c r="AH270" s="861"/>
      <c r="AI270" s="863"/>
      <c r="AJ270" s="863"/>
      <c r="AK270" s="863"/>
      <c r="AL270" s="863"/>
      <c r="AM270" s="863"/>
      <c r="AN270" s="863"/>
      <c r="AO270" s="863"/>
      <c r="AP270" s="863"/>
      <c r="AQ270" s="863"/>
      <c r="AR270" s="863"/>
      <c r="AS270" s="863"/>
      <c r="AT270" s="863"/>
      <c r="AU270" s="863"/>
      <c r="AV270" s="863"/>
      <c r="AW270" s="863"/>
      <c r="AX270" s="863"/>
      <c r="AY270" s="863"/>
      <c r="AZ270" s="863"/>
      <c r="BA270" s="863"/>
      <c r="BB270" s="863"/>
      <c r="BC270" s="863"/>
      <c r="BD270" s="863"/>
      <c r="BE270" s="863"/>
      <c r="BF270" s="863"/>
      <c r="BG270" s="863"/>
      <c r="BH270" s="863"/>
      <c r="BI270" s="863"/>
      <c r="BJ270" s="863"/>
      <c r="BK270" s="863"/>
      <c r="BL270" s="863"/>
      <c r="BM270" s="863"/>
      <c r="BN270" s="863"/>
      <c r="BO270" s="863"/>
      <c r="BP270" s="863"/>
      <c r="BQ270" s="863"/>
      <c r="BR270" s="863"/>
      <c r="BS270" s="863"/>
      <c r="BT270" s="863"/>
      <c r="BU270" s="863"/>
      <c r="BV270" s="863"/>
      <c r="BW270" s="863"/>
      <c r="BX270" s="863"/>
      <c r="BY270" s="863"/>
      <c r="BZ270" s="863"/>
      <c r="CA270" s="863"/>
      <c r="CB270" s="863"/>
      <c r="CC270" s="863"/>
      <c r="CD270" s="863"/>
      <c r="CE270" s="863"/>
      <c r="CF270" s="863"/>
      <c r="CG270" s="863"/>
      <c r="CH270" s="863"/>
      <c r="CI270" s="863"/>
      <c r="CJ270" s="863"/>
      <c r="CK270" s="863"/>
      <c r="CL270" s="863"/>
      <c r="CM270" s="863"/>
      <c r="CN270" s="863"/>
      <c r="CO270" s="863"/>
      <c r="CP270" s="863"/>
      <c r="CQ270" s="863"/>
      <c r="CR270" s="863"/>
      <c r="CS270" s="863"/>
      <c r="CT270" s="1719"/>
      <c r="CU270" s="0"/>
      <c r="CV270" s="1632"/>
      <c r="CW270" s="1173" t="s">
        <v>896</v>
      </c>
      <c r="CX270" s="1178"/>
      <c r="CY270" s="1178"/>
      <c r="CZ270" s="1178"/>
      <c r="DA270" s="1179"/>
      <c r="DB270" s="1179"/>
    </row>
    <row s="1632" customFormat="1" customHeight="1" ht="16.5" hidden="1">
      <c r="E271" s="797">
        <v>17.1</v>
      </c>
      <c r="F271" s="922" cm="1" t="str">
        <f t="array" ref="F271:F271">OFFSET(G271,-1,-1)</f>
        <v>1</v>
      </c>
      <c r="L271" s="922" cm="1" t="str">
        <f t="array" ref="L271:L271">OFFSET(M271,-1,-1)</f>
        <v>false</v>
      </c>
      <c r="S271" s="159" cm="1" t="str">
        <f t="array" ref="S271:S271">OFFSET(T271,-1,-1)</f>
        <v>true</v>
      </c>
      <c r="T271" s="159">
        <f>AD271&lt;&gt;"42.0"</f>
        <v>0</v>
      </c>
      <c r="U271" s="819">
        <f>AND(S271,IF(ISBLANK(T271),TRUE,T271))</f>
        <v>0</v>
      </c>
      <c r="X271" s="159" t="s">
        <v>234</v>
      </c>
      <c r="AB271" s="1527"/>
      <c r="AD271" s="160" t="s">
        <v>897</v>
      </c>
      <c r="AE271" s="974"/>
      <c r="AF271" s="625"/>
      <c r="AG271" s="1815" t="str">
        <f>"руб./"&amp;_xlfn.IFERROR(INDEX(fuel_ed_izm_list,MATCH(AE271,fuel_list,0)),"")</f>
        <v>руб./</v>
      </c>
      <c r="AH271" s="1144">
        <f>_xlfn.IFERROR(AH262/AH178,0)*1000</f>
        <v>0</v>
      </c>
      <c r="AI271" s="1144">
        <f>_xlfn.IFERROR(AI262/AI178,0)*1000</f>
        <v>0</v>
      </c>
      <c r="AJ271" s="1144">
        <f>_xlfn.IFERROR(AJ262/AJ178,0)*1000</f>
        <v>0</v>
      </c>
      <c r="AK271" s="1144">
        <f>_xlfn.IFERROR(AK262/AK178,0)*1000</f>
        <v>0</v>
      </c>
      <c r="AL271" s="1144">
        <f>_xlfn.IFERROR(AL262/AL178,0)*1000</f>
        <v>0</v>
      </c>
      <c r="AM271" s="1144">
        <f>_xlfn.IFERROR(AM262/AM178,0)*1000</f>
        <v>0</v>
      </c>
      <c r="AN271" s="1144">
        <f>_xlfn.IFERROR(AN262/AN178,0)*1000</f>
        <v>0</v>
      </c>
      <c r="AO271" s="1144">
        <f>_xlfn.IFERROR(AO262/AO178,0)*1000</f>
        <v>0</v>
      </c>
      <c r="AP271" s="1144">
        <f>_xlfn.IFERROR(AP262/AP178,0)*1000</f>
        <v>0</v>
      </c>
      <c r="AQ271" s="1144">
        <f>_xlfn.IFERROR(AQ262/AQ178,0)*1000</f>
        <v>0</v>
      </c>
      <c r="AR271" s="1144">
        <f>_xlfn.IFERROR(AR262/AR178,0)*1000</f>
        <v>0</v>
      </c>
      <c r="AS271" s="1144">
        <f>_xlfn.IFERROR(AS262/AS178,0)*1000</f>
        <v>0</v>
      </c>
      <c r="AT271" s="1144">
        <f>_xlfn.IFERROR(AT262/AT178,0)*1000</f>
        <v>0</v>
      </c>
      <c r="AU271" s="1144">
        <f>_xlfn.IFERROR(AU262/AU178,0)*1000</f>
        <v>0</v>
      </c>
      <c r="AV271" s="1144">
        <f>_xlfn.IFERROR(AV262/AV178,0)*1000</f>
        <v>0</v>
      </c>
      <c r="AW271" s="1144">
        <f>_xlfn.IFERROR(AW262/AW178,0)*1000</f>
        <v>0</v>
      </c>
      <c r="AX271" s="1144">
        <f>_xlfn.IFERROR(AX262/AX178,0)*1000</f>
        <v>0</v>
      </c>
      <c r="AY271" s="1144">
        <f>_xlfn.IFERROR(AY262/AY178,0)*1000</f>
        <v>0</v>
      </c>
      <c r="AZ271" s="1144">
        <f>_xlfn.IFERROR(AZ262/AZ178,0)*1000</f>
        <v>0</v>
      </c>
      <c r="BA271" s="1144">
        <f>_xlfn.IFERROR(BA262/BA178,0)*1000</f>
        <v>0</v>
      </c>
      <c r="BB271" s="1144">
        <f>_xlfn.IFERROR(BB262/BB178,0)*1000</f>
        <v>0</v>
      </c>
      <c r="BC271" s="1144">
        <f>_xlfn.IFERROR(BC262/BC178,0)*1000</f>
        <v>0</v>
      </c>
      <c r="BD271" s="1144">
        <f>_xlfn.IFERROR(BD262/BD178,0)*1000</f>
        <v>0</v>
      </c>
      <c r="BE271" s="1144">
        <f>_xlfn.IFERROR(BE262/BE178,0)*1000</f>
        <v>0</v>
      </c>
      <c r="BF271" s="1144">
        <f>_xlfn.IFERROR(BF262/BF178,0)*1000</f>
        <v>0</v>
      </c>
      <c r="BG271" s="1144">
        <f>_xlfn.IFERROR(BG262/BG178,0)*1000</f>
        <v>0</v>
      </c>
      <c r="BH271" s="1144">
        <f>_xlfn.IFERROR(BH262/BH178,0)*1000</f>
        <v>0</v>
      </c>
      <c r="BI271" s="1144">
        <f>_xlfn.IFERROR(BI262/BI178,0)*1000</f>
        <v>0</v>
      </c>
      <c r="BJ271" s="1144">
        <f>_xlfn.IFERROR(BJ262/BJ178,0)*1000</f>
        <v>0</v>
      </c>
      <c r="BK271" s="1144">
        <f>_xlfn.IFERROR(BK262/BK178,0)*1000</f>
        <v>0</v>
      </c>
      <c r="BL271" s="1144">
        <f>_xlfn.IFERROR(BL262/BL178,0)*1000</f>
        <v>0</v>
      </c>
      <c r="BM271" s="1144">
        <f>_xlfn.IFERROR(BM262/BM178,0)*1000</f>
        <v>0</v>
      </c>
      <c r="BN271" s="1144">
        <f>_xlfn.IFERROR(BN262/BN178,0)*1000</f>
        <v>0</v>
      </c>
      <c r="BO271" s="1144">
        <f>_xlfn.IFERROR(BO262/BO178,0)*1000</f>
        <v>0</v>
      </c>
      <c r="BP271" s="1144">
        <f>_xlfn.IFERROR(BP262/BP178,0)*1000</f>
        <v>0</v>
      </c>
      <c r="BQ271" s="1144">
        <f>_xlfn.IFERROR(BQ262/BQ178,0)*1000</f>
        <v>0</v>
      </c>
      <c r="BR271" s="1144">
        <f>_xlfn.IFERROR(BR262/BR178,0)*1000</f>
        <v>0</v>
      </c>
      <c r="BS271" s="1144">
        <f>_xlfn.IFERROR(BS262/BS178,0)*1000</f>
        <v>0</v>
      </c>
      <c r="BT271" s="1144">
        <f>_xlfn.IFERROR(BT262/BT178,0)*1000</f>
        <v>0</v>
      </c>
      <c r="BU271" s="1144">
        <f>_xlfn.IFERROR(BU262/BU178,0)*1000</f>
        <v>0</v>
      </c>
      <c r="BV271" s="1144">
        <f>_xlfn.IFERROR(BV262/BV178,0)*1000</f>
        <v>0</v>
      </c>
      <c r="BW271" s="1144">
        <f>_xlfn.IFERROR(BW262/BW178,0)*1000</f>
        <v>0</v>
      </c>
      <c r="BX271" s="1144">
        <f>_xlfn.IFERROR(BX262/BX178,0)*1000</f>
        <v>0</v>
      </c>
      <c r="BY271" s="1144">
        <f>_xlfn.IFERROR(BY262/BY178,0)*1000</f>
        <v>0</v>
      </c>
      <c r="BZ271" s="1144">
        <f>_xlfn.IFERROR(BZ262/BZ178,0)*1000</f>
        <v>0</v>
      </c>
      <c r="CA271" s="1144">
        <f>_xlfn.IFERROR(CA262/CA178,0)*1000</f>
        <v>0</v>
      </c>
      <c r="CB271" s="1144">
        <f>_xlfn.IFERROR(CB262/CB178,0)*1000</f>
        <v>0</v>
      </c>
      <c r="CC271" s="1144">
        <f>_xlfn.IFERROR(CC262/CC178,0)*1000</f>
        <v>0</v>
      </c>
      <c r="CD271" s="1144">
        <f>_xlfn.IFERROR(CD262/CD178,0)*1000</f>
        <v>0</v>
      </c>
      <c r="CE271" s="1144">
        <f>_xlfn.IFERROR(CE262/CE178,0)*1000</f>
        <v>0</v>
      </c>
      <c r="CF271" s="1144">
        <f>_xlfn.IFERROR(CF262/CF178,0)*1000</f>
        <v>0</v>
      </c>
      <c r="CG271" s="1144">
        <f>_xlfn.IFERROR(CG262/CG178,0)*1000</f>
        <v>0</v>
      </c>
      <c r="CH271" s="1144">
        <f>_xlfn.IFERROR(CH262/CH178,0)*1000</f>
        <v>0</v>
      </c>
      <c r="CI271" s="1144">
        <f>_xlfn.IFERROR(CI262/CI178,0)*1000</f>
        <v>0</v>
      </c>
      <c r="CJ271" s="1144">
        <f>_xlfn.IFERROR(CJ262/CJ178,0)*1000</f>
        <v>0</v>
      </c>
      <c r="CK271" s="1144">
        <f>_xlfn.IFERROR(CK262/CK178,0)*1000</f>
        <v>0</v>
      </c>
      <c r="CL271" s="1144">
        <f>_xlfn.IFERROR(CL262/CL178,0)*1000</f>
        <v>0</v>
      </c>
      <c r="CM271" s="1144">
        <f>_xlfn.IFERROR(CM262/CM178,0)*1000</f>
        <v>0</v>
      </c>
      <c r="CN271" s="1144">
        <f>_xlfn.IFERROR(CN262/CN178,0)*1000</f>
        <v>0</v>
      </c>
      <c r="CO271" s="1144">
        <f>_xlfn.IFERROR(CO262/CO178,0)*1000</f>
        <v>0</v>
      </c>
      <c r="CP271" s="1144">
        <f>_xlfn.IFERROR(CP262/CP178,0)*1000</f>
        <v>0</v>
      </c>
      <c r="CQ271" s="1144">
        <f>_xlfn.IFERROR(CQ262/CQ178,0)*1000</f>
        <v>0</v>
      </c>
      <c r="CR271" s="1144">
        <f>_xlfn.IFERROR(CR262/CR178,0)*1000</f>
        <v>0</v>
      </c>
      <c r="CS271" s="1144">
        <f>_xlfn.IFERROR(CS262/CS178,0)*1000</f>
        <v>0</v>
      </c>
      <c r="CT271" s="73"/>
      <c r="CW271" s="1173" t="s">
        <v>896</v>
      </c>
      <c r="CX271" s="1178" t="s">
        <v>792</v>
      </c>
      <c r="CY271" s="1182" cm="1" t="str">
        <f t="array" ref="CY271:CY271">AE271</f>
        <v>0</v>
      </c>
      <c r="CZ271" s="1182" cm="1" t="str">
        <f t="array" ref="CZ271:CZ271">AF271</f>
        <v>0</v>
      </c>
      <c r="DA271" s="1179"/>
      <c r="DB271" s="1179"/>
    </row>
    <row s="1632" customFormat="1" customHeight="1" ht="16.5">
      <c r="A272" s="1632"/>
      <c r="B272" s="1632"/>
      <c r="C272" s="1632"/>
      <c r="D272" s="1632"/>
      <c r="E272" s="797">
        <v>17.1</v>
      </c>
      <c r="F272" s="922" cm="1" t="str">
        <f t="array" ref="F272:F272">OFFSET(G272,-1,-1)</f>
        <v>1</v>
      </c>
      <c r="G272" s="1632"/>
      <c r="H272" s="1632"/>
      <c r="I272" s="1632"/>
      <c r="J272" s="1632"/>
      <c r="K272" s="1632"/>
      <c r="L272" s="922" cm="1" t="str">
        <f t="array" ref="L272:L272">OFFSET(M272,-1,-1)</f>
        <v>false</v>
      </c>
      <c r="M272" s="1632"/>
      <c r="N272" s="1632"/>
      <c r="O272" s="1632"/>
      <c r="P272" s="1632"/>
      <c r="Q272" s="1632"/>
      <c r="R272" s="1632"/>
      <c r="S272" s="159" cm="1" t="str">
        <f t="array" ref="S272:S272">OFFSET(T272,-1,-1)</f>
        <v>true</v>
      </c>
      <c r="T272" s="159">
        <f>AD272&lt;&gt;"42.0"</f>
        <v>1</v>
      </c>
      <c r="U272" s="819">
        <f>AND(S272,IF(ISBLANK(T272),TRUE,T272))</f>
        <v>1</v>
      </c>
      <c r="V272" s="1632"/>
      <c r="W272" s="1632"/>
      <c r="X272" s="159" t="str">
        <f>'Топливо 4.4'!$AE$268&amp;'Топливо 4.4'!$AF$268</f>
        <v>Уголь длиннопламенный</v>
      </c>
      <c r="Y272" s="1632"/>
      <c r="Z272" s="1632"/>
      <c r="AA272" s="1632"/>
      <c r="AB272" s="1527"/>
      <c r="AC272" s="0"/>
      <c r="AD272" s="160" t="s">
        <v>926</v>
      </c>
      <c r="AE272" s="974" cm="1" t="str">
        <f t="array" ref="AE272:AE272">IF(ISBLANK('Топливо 4.4'!$AE$268),"",'Топливо 4.4'!$AE$268)</f>
        <v>Уголь длиннопламенный</v>
      </c>
      <c r="AF272" s="625" cm="1" t="str">
        <f t="array" ref="AF272:AF272">IF(ISBLANK('Топливо 4.4'!$AF$268),"",'Топливо 4.4'!$AF$268)</f>
        <v/>
      </c>
      <c r="AG272" s="1815" t="str">
        <f>"руб./"&amp;_xlfn.IFERROR(INDEX(fuel_ed_izm_list,MATCH(AE272,fuel_list,0)),"")</f>
        <v>руб./тнт</v>
      </c>
      <c r="AH272" s="1144">
        <f>_xlfn.IFERROR(AH263/AH179,0)*1000</f>
        <v>2239.53099689816</v>
      </c>
      <c r="AI272" s="1144">
        <f>_xlfn.IFERROR(AI263/AI179,0)*1000</f>
        <v>2228.27905670971</v>
      </c>
      <c r="AJ272" s="1144">
        <f>_xlfn.IFERROR(AJ263/AJ179,0)*1000</f>
        <v>2228.28141632886</v>
      </c>
      <c r="AK272" s="1144">
        <f>_xlfn.IFERROR(AK263/AK179,0)*1000</f>
        <v>2231.66759759201</v>
      </c>
      <c r="AL272" s="1144">
        <f>_xlfn.IFERROR(AL263/AL179,0)*1000</f>
        <v>2735.08208711568</v>
      </c>
      <c r="AM272" s="1144">
        <f>_xlfn.IFERROR(AM263/AM179,0)*1000</f>
        <v>2735.08567359727</v>
      </c>
      <c r="AN272" s="1144">
        <f>_xlfn.IFERROR(AN263/AN179,0)*1000</f>
        <v>2735.07759959017</v>
      </c>
      <c r="AO272" s="1144">
        <f>_xlfn.IFERROR(AO263/AO179,0)*1000</f>
        <v>0</v>
      </c>
      <c r="AP272" s="1144">
        <f>_xlfn.IFERROR(AP263/AP179,0)*1000</f>
        <v>0</v>
      </c>
      <c r="AQ272" s="1144">
        <f>_xlfn.IFERROR(AQ263/AQ179,0)*1000</f>
        <v>0</v>
      </c>
      <c r="AR272" s="1144">
        <f>_xlfn.IFERROR(AR263/AR179,0)*1000</f>
        <v>0</v>
      </c>
      <c r="AS272" s="1144">
        <f>_xlfn.IFERROR(AS263/AS179,0)*1000</f>
        <v>0</v>
      </c>
      <c r="AT272" s="1144">
        <f>_xlfn.IFERROR(AT263/AT179,0)*1000</f>
        <v>0</v>
      </c>
      <c r="AU272" s="1144">
        <f>_xlfn.IFERROR(AU263/AU179,0)*1000</f>
        <v>0</v>
      </c>
      <c r="AV272" s="1144">
        <f>_xlfn.IFERROR(AV263/AV179,0)*1000</f>
        <v>0</v>
      </c>
      <c r="AW272" s="1144">
        <f>_xlfn.IFERROR(AW263/AW179,0)*1000</f>
        <v>0</v>
      </c>
      <c r="AX272" s="1144">
        <f>_xlfn.IFERROR(AX263/AX179,0)*1000</f>
        <v>0</v>
      </c>
      <c r="AY272" s="1144">
        <f>_xlfn.IFERROR(AY263/AY179,0)*1000</f>
        <v>0</v>
      </c>
      <c r="AZ272" s="1144">
        <f>_xlfn.IFERROR(AZ263/AZ179,0)*1000</f>
        <v>0</v>
      </c>
      <c r="BA272" s="1144">
        <f>_xlfn.IFERROR(BA263/BA179,0)*1000</f>
        <v>0</v>
      </c>
      <c r="BB272" s="1144">
        <f>_xlfn.IFERROR(BB263/BB179,0)*1000</f>
        <v>0</v>
      </c>
      <c r="BC272" s="1144">
        <f>_xlfn.IFERROR(BC263/BC179,0)*1000</f>
        <v>0</v>
      </c>
      <c r="BD272" s="1144">
        <f>_xlfn.IFERROR(BD263/BD179,0)*1000</f>
        <v>0</v>
      </c>
      <c r="BE272" s="1144">
        <f>_xlfn.IFERROR(BE263/BE179,0)*1000</f>
        <v>0</v>
      </c>
      <c r="BF272" s="1144">
        <f>_xlfn.IFERROR(BF263/BF179,0)*1000</f>
        <v>0</v>
      </c>
      <c r="BG272" s="1144">
        <f>_xlfn.IFERROR(BG263/BG179,0)*1000</f>
        <v>0</v>
      </c>
      <c r="BH272" s="1144">
        <f>_xlfn.IFERROR(BH263/BH179,0)*1000</f>
        <v>0</v>
      </c>
      <c r="BI272" s="1144">
        <f>_xlfn.IFERROR(BI263/BI179,0)*1000</f>
        <v>0</v>
      </c>
      <c r="BJ272" s="1144">
        <f>_xlfn.IFERROR(BJ263/BJ179,0)*1000</f>
        <v>0</v>
      </c>
      <c r="BK272" s="1144">
        <f>_xlfn.IFERROR(BK263/BK179,0)*1000</f>
        <v>0</v>
      </c>
      <c r="BL272" s="1144">
        <f>_xlfn.IFERROR(BL263/BL179,0)*1000</f>
        <v>0</v>
      </c>
      <c r="BM272" s="1144">
        <f>_xlfn.IFERROR(BM263/BM179,0)*1000</f>
        <v>0</v>
      </c>
      <c r="BN272" s="1144">
        <f>_xlfn.IFERROR(BN263/BN179,0)*1000</f>
        <v>0</v>
      </c>
      <c r="BO272" s="1144">
        <f>_xlfn.IFERROR(BO263/BO179,0)*1000</f>
        <v>0</v>
      </c>
      <c r="BP272" s="1144">
        <f>_xlfn.IFERROR(BP263/BP179,0)*1000</f>
        <v>2356.39</v>
      </c>
      <c r="BQ272" s="1144">
        <f>_xlfn.IFERROR(BQ263/BQ179,0)*1000</f>
        <v>2356.39</v>
      </c>
      <c r="BR272" s="1144">
        <f>_xlfn.IFERROR(BR263/BR179,0)*1000</f>
        <v>2356.39</v>
      </c>
      <c r="BS272" s="1144">
        <f>_xlfn.IFERROR(BS263/BS179,0)*1000</f>
        <v>0</v>
      </c>
      <c r="BT272" s="1144">
        <f>_xlfn.IFERROR(BT263/BT179,0)*1000</f>
        <v>0</v>
      </c>
      <c r="BU272" s="1144">
        <f>_xlfn.IFERROR(BU263/BU179,0)*1000</f>
        <v>0</v>
      </c>
      <c r="BV272" s="1144">
        <f>_xlfn.IFERROR(BV263/BV179,0)*1000</f>
        <v>0</v>
      </c>
      <c r="BW272" s="1144">
        <f>_xlfn.IFERROR(BW263/BW179,0)*1000</f>
        <v>0</v>
      </c>
      <c r="BX272" s="1144">
        <f>_xlfn.IFERROR(BX263/BX179,0)*1000</f>
        <v>0</v>
      </c>
      <c r="BY272" s="1144">
        <f>_xlfn.IFERROR(BY263/BY179,0)*1000</f>
        <v>0</v>
      </c>
      <c r="BZ272" s="1144">
        <f>_xlfn.IFERROR(BZ263/BZ179,0)*1000</f>
        <v>0</v>
      </c>
      <c r="CA272" s="1144">
        <f>_xlfn.IFERROR(CA263/CA179,0)*1000</f>
        <v>0</v>
      </c>
      <c r="CB272" s="1144">
        <f>_xlfn.IFERROR(CB263/CB179,0)*1000</f>
        <v>0</v>
      </c>
      <c r="CC272" s="1144">
        <f>_xlfn.IFERROR(CC263/CC179,0)*1000</f>
        <v>0</v>
      </c>
      <c r="CD272" s="1144">
        <f>_xlfn.IFERROR(CD263/CD179,0)*1000</f>
        <v>0</v>
      </c>
      <c r="CE272" s="1144">
        <f>_xlfn.IFERROR(CE263/CE179,0)*1000</f>
        <v>0</v>
      </c>
      <c r="CF272" s="1144">
        <f>_xlfn.IFERROR(CF263/CF179,0)*1000</f>
        <v>0</v>
      </c>
      <c r="CG272" s="1144">
        <f>_xlfn.IFERROR(CG263/CG179,0)*1000</f>
        <v>0</v>
      </c>
      <c r="CH272" s="1144">
        <f>_xlfn.IFERROR(CH263/CH179,0)*1000</f>
        <v>0</v>
      </c>
      <c r="CI272" s="1144">
        <f>_xlfn.IFERROR(CI263/CI179,0)*1000</f>
        <v>0</v>
      </c>
      <c r="CJ272" s="1144">
        <f>_xlfn.IFERROR(CJ263/CJ179,0)*1000</f>
        <v>0</v>
      </c>
      <c r="CK272" s="1144">
        <f>_xlfn.IFERROR(CK263/CK179,0)*1000</f>
        <v>0</v>
      </c>
      <c r="CL272" s="1144">
        <f>_xlfn.IFERROR(CL263/CL179,0)*1000</f>
        <v>0</v>
      </c>
      <c r="CM272" s="1144">
        <f>_xlfn.IFERROR(CM263/CM179,0)*1000</f>
        <v>0</v>
      </c>
      <c r="CN272" s="1144">
        <f>_xlfn.IFERROR(CN263/CN179,0)*1000</f>
        <v>0</v>
      </c>
      <c r="CO272" s="1144">
        <f>_xlfn.IFERROR(CO263/CO179,0)*1000</f>
        <v>0</v>
      </c>
      <c r="CP272" s="1144">
        <f>_xlfn.IFERROR(CP263/CP179,0)*1000</f>
        <v>0</v>
      </c>
      <c r="CQ272" s="1144">
        <f>_xlfn.IFERROR(CQ263/CQ179,0)*1000</f>
        <v>0</v>
      </c>
      <c r="CR272" s="1144">
        <f>_xlfn.IFERROR(CR263/CR179,0)*1000</f>
        <v>0</v>
      </c>
      <c r="CS272" s="1144">
        <f>_xlfn.IFERROR(CS263/CS179,0)*1000</f>
        <v>0</v>
      </c>
      <c r="CT272" s="1719"/>
      <c r="CU272" s="0"/>
      <c r="CV272" s="1632"/>
      <c r="CW272" s="1173" t="s">
        <v>896</v>
      </c>
      <c r="CX272" s="1178" t="s">
        <v>792</v>
      </c>
      <c r="CY272" s="1182" cm="1" t="str">
        <f t="array" ref="CY272:CY272">AE272</f>
        <v>Уголь длиннопламенный</v>
      </c>
      <c r="CZ272" s="1182" cm="1" t="str">
        <f t="array" ref="CZ272:CZ272">AF272</f>
        <v/>
      </c>
      <c r="DA272" s="1179"/>
      <c r="DB272" s="1179"/>
    </row>
    <row s="1632" customFormat="1" customHeight="1" ht="15" hidden="1">
      <c r="A273" s="1443"/>
      <c r="B273" s="927"/>
      <c r="C273" s="1443"/>
      <c r="D273" s="1443"/>
      <c r="E273" s="797">
        <v>0</v>
      </c>
      <c r="F273" s="922" cm="1" t="str">
        <f t="array" ref="F273:F273">OFFSET(G273,-1,-1)</f>
        <v>1</v>
      </c>
      <c r="G273" s="965"/>
      <c r="H273" s="965"/>
      <c r="I273" s="965"/>
      <c r="J273" s="965"/>
      <c r="K273" s="965"/>
      <c r="L273" s="922" cm="1" t="str">
        <f t="array" ref="L273:L273">OFFSET(M273,-1,-1)</f>
        <v>false</v>
      </c>
      <c r="M273" s="965"/>
      <c r="N273" s="965"/>
      <c r="O273" s="965"/>
      <c r="P273" s="965"/>
      <c r="Q273" s="965"/>
      <c r="R273" s="1443"/>
      <c r="S273" s="159" cm="1" t="str">
        <f t="array" ref="S273:S273">OFFSET(T273,-1,-1)</f>
        <v>true</v>
      </c>
      <c r="T273" s="1443"/>
      <c r="U273" s="819">
        <f>AND(S273,IF(ISBLANK(T273),TRUE,T273))</f>
        <v>1</v>
      </c>
      <c r="V273" s="1443"/>
      <c r="W273" s="1443"/>
      <c r="X273" s="973" t="str">
        <f>"{                  
         funcDyn: 'msg1',
         blok: '',
         wsCross: '',
         linkFormula: '',
         levelDyn: "&amp;Y139&amp;"
}"</f>
        <v>{                  
         funcDyn: 'msg1',
         blok: '',
         wsCross: '',
         linkFormula: '',
         levelDyn: 1
}</v>
      </c>
      <c r="Y273" s="1443"/>
      <c r="Z273" s="1443"/>
      <c r="AA273" s="820"/>
      <c r="AB273" s="1527"/>
      <c r="AC273" s="0"/>
      <c r="AD273" s="976"/>
      <c r="AE273" s="975" t="s">
        <v>236</v>
      </c>
      <c r="AF273" s="874"/>
      <c r="AG273" s="859"/>
      <c r="AH273" s="879"/>
      <c r="AI273" s="880"/>
      <c r="AJ273" s="880"/>
      <c r="AK273" s="880"/>
      <c r="AL273" s="880"/>
      <c r="AM273" s="880"/>
      <c r="AN273" s="880"/>
      <c r="AO273" s="880"/>
      <c r="AP273" s="880"/>
      <c r="AQ273" s="880"/>
      <c r="AR273" s="880"/>
      <c r="AS273" s="880"/>
      <c r="AT273" s="880"/>
      <c r="AU273" s="880"/>
      <c r="AV273" s="880"/>
      <c r="AW273" s="880"/>
      <c r="AX273" s="880"/>
      <c r="AY273" s="880"/>
      <c r="AZ273" s="880"/>
      <c r="BA273" s="880"/>
      <c r="BB273" s="880"/>
      <c r="BC273" s="880"/>
      <c r="BD273" s="880"/>
      <c r="BE273" s="880"/>
      <c r="BF273" s="880"/>
      <c r="BG273" s="880"/>
      <c r="BH273" s="880"/>
      <c r="BI273" s="880"/>
      <c r="BJ273" s="880"/>
      <c r="BK273" s="880"/>
      <c r="BL273" s="880"/>
      <c r="BM273" s="880"/>
      <c r="BN273" s="880"/>
      <c r="BO273" s="880"/>
      <c r="BP273" s="880"/>
      <c r="BQ273" s="880"/>
      <c r="BR273" s="880"/>
      <c r="BS273" s="880"/>
      <c r="BT273" s="880"/>
      <c r="BU273" s="880"/>
      <c r="BV273" s="880"/>
      <c r="BW273" s="880"/>
      <c r="BX273" s="880"/>
      <c r="BY273" s="880"/>
      <c r="BZ273" s="880"/>
      <c r="CA273" s="880"/>
      <c r="CB273" s="880"/>
      <c r="CC273" s="880"/>
      <c r="CD273" s="880"/>
      <c r="CE273" s="880"/>
      <c r="CF273" s="880"/>
      <c r="CG273" s="880"/>
      <c r="CH273" s="880"/>
      <c r="CI273" s="880"/>
      <c r="CJ273" s="880"/>
      <c r="CK273" s="880"/>
      <c r="CL273" s="880"/>
      <c r="CM273" s="880"/>
      <c r="CN273" s="880"/>
      <c r="CO273" s="880"/>
      <c r="CP273" s="880"/>
      <c r="CQ273" s="880"/>
      <c r="CR273" s="880"/>
      <c r="CS273" s="880"/>
      <c r="CT273" s="91"/>
      <c r="CU273" s="0"/>
      <c r="CV273" s="1632"/>
      <c r="CW273" s="1173" t="str">
        <f>IF(AND(ISNUMBER(VALUE(TRIM(SUBSTITUTE(AD273,".","")))),TRIM(SUBSTITUTE(AD273,".",""))&lt;&gt;""),"P"&amp;SUBSTITUTE(AD273,".",""),"")</f>
        <v/>
      </c>
      <c r="CX273" s="1178"/>
      <c r="CY273" s="1178"/>
      <c r="CZ273" s="1178"/>
      <c r="DA273" s="1179"/>
      <c r="DB273" s="1179"/>
    </row>
    <row s="1632" customFormat="1" customHeight="1" ht="16.5">
      <c r="A274" s="1443"/>
      <c r="B274" s="927"/>
      <c r="C274" s="1443"/>
      <c r="D274" s="1443"/>
      <c r="E274" s="797">
        <v>17.1</v>
      </c>
      <c r="F274" s="922" cm="1" t="str">
        <f t="array" ref="F274:F274">OFFSET(G274,-1,-1)</f>
        <v>1</v>
      </c>
      <c r="G274" s="965"/>
      <c r="H274" s="965"/>
      <c r="I274" s="965"/>
      <c r="J274" s="965"/>
      <c r="K274" s="965"/>
      <c r="L274" s="922" cm="1" t="str">
        <f t="array" ref="L274:L274">OFFSET(M274,-1,-1)</f>
        <v>false</v>
      </c>
      <c r="M274" s="965"/>
      <c r="N274" s="965"/>
      <c r="O274" s="965"/>
      <c r="P274" s="965"/>
      <c r="Q274" s="965"/>
      <c r="R274" s="1443"/>
      <c r="S274" s="159" cm="1" t="str">
        <f t="array" ref="S274:S274">OFFSET(T274,-1,-1)</f>
        <v>true</v>
      </c>
      <c r="T274" s="1443"/>
      <c r="U274" s="819">
        <f>AND(S274,IF(ISBLANK(T274),TRUE,T274))</f>
        <v>1</v>
      </c>
      <c r="V274" s="1443"/>
      <c r="W274" s="1443"/>
      <c r="X274" s="1443"/>
      <c r="Y274" s="1443"/>
      <c r="Z274" s="1443"/>
      <c r="AA274" s="820"/>
      <c r="AB274" s="1528"/>
      <c r="AC274" s="978"/>
      <c r="AD274" s="173" t="s">
        <v>898</v>
      </c>
      <c r="AE274" s="1497" t="s">
        <v>899</v>
      </c>
      <c r="AF274" s="323"/>
      <c r="AG274" s="859" t="s">
        <v>900</v>
      </c>
      <c r="AH274" s="860">
        <f>_xlfn.IFERROR(AH259/AH155*1000,0)</f>
        <v>702.931876976143</v>
      </c>
      <c r="AI274" s="860">
        <f>_xlfn.IFERROR(AI259/AI155*1000,0)</f>
        <v>981.76036137887</v>
      </c>
      <c r="AJ274" s="860">
        <f>_xlfn.IFERROR(AJ259/AJ155*1000,0)</f>
        <v>732.427967234628</v>
      </c>
      <c r="AK274" s="860">
        <f>_xlfn.IFERROR(AK259/AK155*1000,0)</f>
        <v>733.483352704489</v>
      </c>
      <c r="AL274" s="860">
        <f>_xlfn.IFERROR(AL259/AL155*1000,0)</f>
        <v>712.102070426707</v>
      </c>
      <c r="AM274" s="860">
        <f>_xlfn.IFERROR(AM259/AM155*1000,0)</f>
        <v>0</v>
      </c>
      <c r="AN274" s="860">
        <f>_xlfn.IFERROR(AN259/AN155*1000,0)</f>
        <v>316.315893535632</v>
      </c>
      <c r="AO274" s="860">
        <f>_xlfn.IFERROR(AO259/AO155*1000,0)</f>
        <v>0</v>
      </c>
      <c r="AP274" s="860">
        <f>_xlfn.IFERROR(AP259/AP155*1000,0)</f>
        <v>0</v>
      </c>
      <c r="AQ274" s="860">
        <f>_xlfn.IFERROR(AQ259/AQ155*1000,0)</f>
        <v>0</v>
      </c>
      <c r="AR274" s="860">
        <f>_xlfn.IFERROR(AR259/AR155*1000,0)</f>
        <v>0</v>
      </c>
      <c r="AS274" s="860">
        <f>_xlfn.IFERROR(AS259/AS155*1000,0)</f>
        <v>0</v>
      </c>
      <c r="AT274" s="860">
        <f>_xlfn.IFERROR(AT259/AT155*1000,0)</f>
        <v>0</v>
      </c>
      <c r="AU274" s="860">
        <f>_xlfn.IFERROR(AU259/AU155*1000,0)</f>
        <v>0</v>
      </c>
      <c r="AV274" s="860">
        <f>_xlfn.IFERROR(AV259/AV155*1000,0)</f>
        <v>0</v>
      </c>
      <c r="AW274" s="860">
        <f>_xlfn.IFERROR(AW259/AW155*1000,0)</f>
        <v>0</v>
      </c>
      <c r="AX274" s="860">
        <f>_xlfn.IFERROR(AX259/AX155*1000,0)</f>
        <v>0</v>
      </c>
      <c r="AY274" s="860">
        <f>_xlfn.IFERROR(AY259/AY155*1000,0)</f>
        <v>0</v>
      </c>
      <c r="AZ274" s="860">
        <f>_xlfn.IFERROR(AZ259/AZ155*1000,0)</f>
        <v>0</v>
      </c>
      <c r="BA274" s="860">
        <f>_xlfn.IFERROR(BA259/BA155*1000,0)</f>
        <v>0</v>
      </c>
      <c r="BB274" s="860">
        <f>_xlfn.IFERROR(BB259/BB155*1000,0)</f>
        <v>0</v>
      </c>
      <c r="BC274" s="860">
        <f>_xlfn.IFERROR(BC259/BC155*1000,0)</f>
        <v>0</v>
      </c>
      <c r="BD274" s="860">
        <f>_xlfn.IFERROR(BD259/BD155*1000,0)</f>
        <v>0</v>
      </c>
      <c r="BE274" s="860">
        <f>_xlfn.IFERROR(BE259/BE155*1000,0)</f>
        <v>0</v>
      </c>
      <c r="BF274" s="860">
        <f>_xlfn.IFERROR(BF259/BF155*1000,0)</f>
        <v>0</v>
      </c>
      <c r="BG274" s="860">
        <f>_xlfn.IFERROR(BG259/BG155*1000,0)</f>
        <v>0</v>
      </c>
      <c r="BH274" s="860">
        <f>_xlfn.IFERROR(BH259/BH155*1000,0)</f>
        <v>0</v>
      </c>
      <c r="BI274" s="860">
        <f>_xlfn.IFERROR(BI259/BI155*1000,0)</f>
        <v>0</v>
      </c>
      <c r="BJ274" s="860">
        <f>_xlfn.IFERROR(BJ259/BJ155*1000,0)</f>
        <v>0</v>
      </c>
      <c r="BK274" s="860">
        <f>_xlfn.IFERROR(BK259/BK155*1000,0)</f>
        <v>0</v>
      </c>
      <c r="BL274" s="860">
        <f>_xlfn.IFERROR(BL259/BL155*1000,0)</f>
        <v>0</v>
      </c>
      <c r="BM274" s="860">
        <f>_xlfn.IFERROR(BM259/BM155*1000,0)</f>
        <v>0</v>
      </c>
      <c r="BN274" s="860">
        <f>_xlfn.IFERROR(BN259/BN155*1000,0)</f>
        <v>0</v>
      </c>
      <c r="BO274" s="860">
        <f>_xlfn.IFERROR(BO259/BO155*1000,0)</f>
        <v>0</v>
      </c>
      <c r="BP274" s="860">
        <f>_xlfn.IFERROR(BP259/BP155*1000,0)</f>
        <v>768.983192633465</v>
      </c>
      <c r="BQ274" s="860">
        <f>_xlfn.IFERROR(BQ259/BQ155*1000,0)</f>
        <v>0</v>
      </c>
      <c r="BR274" s="860">
        <f>_xlfn.IFERROR(BR259/BR155*1000,0)</f>
        <v>341.582591879522</v>
      </c>
      <c r="BS274" s="860">
        <f>_xlfn.IFERROR(BS259/BS155*1000,0)</f>
        <v>0</v>
      </c>
      <c r="BT274" s="860">
        <f>_xlfn.IFERROR(BT259/BT155*1000,0)</f>
        <v>0</v>
      </c>
      <c r="BU274" s="860">
        <f>_xlfn.IFERROR(BU259/BU155*1000,0)</f>
        <v>0</v>
      </c>
      <c r="BV274" s="860">
        <f>_xlfn.IFERROR(BV259/BV155*1000,0)</f>
        <v>0</v>
      </c>
      <c r="BW274" s="860">
        <f>_xlfn.IFERROR(BW259/BW155*1000,0)</f>
        <v>0</v>
      </c>
      <c r="BX274" s="860">
        <f>_xlfn.IFERROR(BX259/BX155*1000,0)</f>
        <v>0</v>
      </c>
      <c r="BY274" s="860">
        <f>_xlfn.IFERROR(BY259/BY155*1000,0)</f>
        <v>0</v>
      </c>
      <c r="BZ274" s="860">
        <f>_xlfn.IFERROR(BZ259/BZ155*1000,0)</f>
        <v>0</v>
      </c>
      <c r="CA274" s="860">
        <f>_xlfn.IFERROR(CA259/CA155*1000,0)</f>
        <v>0</v>
      </c>
      <c r="CB274" s="860">
        <f>_xlfn.IFERROR(CB259/CB155*1000,0)</f>
        <v>0</v>
      </c>
      <c r="CC274" s="860">
        <f>_xlfn.IFERROR(CC259/CC155*1000,0)</f>
        <v>0</v>
      </c>
      <c r="CD274" s="860">
        <f>_xlfn.IFERROR(CD259/CD155*1000,0)</f>
        <v>0</v>
      </c>
      <c r="CE274" s="860">
        <f>_xlfn.IFERROR(CE259/CE155*1000,0)</f>
        <v>0</v>
      </c>
      <c r="CF274" s="860">
        <f>_xlfn.IFERROR(CF259/CF155*1000,0)</f>
        <v>0</v>
      </c>
      <c r="CG274" s="860">
        <f>_xlfn.IFERROR(CG259/CG155*1000,0)</f>
        <v>0</v>
      </c>
      <c r="CH274" s="860">
        <f>_xlfn.IFERROR(CH259/CH155*1000,0)</f>
        <v>0</v>
      </c>
      <c r="CI274" s="860">
        <f>_xlfn.IFERROR(CI259/CI155*1000,0)</f>
        <v>0</v>
      </c>
      <c r="CJ274" s="860">
        <f>_xlfn.IFERROR(CJ259/CJ155*1000,0)</f>
        <v>0</v>
      </c>
      <c r="CK274" s="860">
        <f>_xlfn.IFERROR(CK259/CK155*1000,0)</f>
        <v>0</v>
      </c>
      <c r="CL274" s="860">
        <f>_xlfn.IFERROR(CL259/CL155*1000,0)</f>
        <v>0</v>
      </c>
      <c r="CM274" s="860">
        <f>_xlfn.IFERROR(CM259/CM155*1000,0)</f>
        <v>0</v>
      </c>
      <c r="CN274" s="860">
        <f>_xlfn.IFERROR(CN259/CN155*1000,0)</f>
        <v>0</v>
      </c>
      <c r="CO274" s="860">
        <f>_xlfn.IFERROR(CO259/CO155*1000,0)</f>
        <v>0</v>
      </c>
      <c r="CP274" s="860">
        <f>_xlfn.IFERROR(CP259/CP155*1000,0)</f>
        <v>0</v>
      </c>
      <c r="CQ274" s="860">
        <f>_xlfn.IFERROR(CQ259/CQ155*1000,0)</f>
        <v>0</v>
      </c>
      <c r="CR274" s="860">
        <f>_xlfn.IFERROR(CR259/CR155*1000,0)</f>
        <v>0</v>
      </c>
      <c r="CS274" s="860">
        <f>_xlfn.IFERROR(CS259/CS155*1000,0)</f>
        <v>0</v>
      </c>
      <c r="CT274" s="1719"/>
      <c r="CU274" s="0"/>
      <c r="CV274" s="1632"/>
      <c r="CW274" s="1173" t="s">
        <v>901</v>
      </c>
      <c r="CX274" s="1178"/>
      <c r="CY274" s="1178"/>
      <c r="CZ274" s="1178"/>
      <c r="DA274" s="1179"/>
      <c r="DB274" s="1179"/>
    </row>
    <row customHeight="1" ht="11.115">
      <c r="E275" s="797">
        <v>11.4</v>
      </c>
      <c r="F275" s="922" cm="1" t="str">
        <f t="array" ref="F275:F275">OFFSET(G275,-1,-1)</f>
        <v>1</v>
      </c>
      <c r="G275" s="736"/>
      <c r="H275" s="736"/>
      <c r="I275" s="736"/>
      <c r="J275" s="736"/>
      <c r="K275" s="736"/>
      <c r="L275" s="736"/>
      <c r="M275" s="736"/>
      <c r="N275" s="736"/>
      <c r="O275" s="736"/>
      <c r="P275" s="736"/>
      <c r="Q275" s="736"/>
      <c r="R275" s="159"/>
      <c r="T275" s="159"/>
      <c r="U275" s="159"/>
      <c r="V275" s="159" t="s">
        <v>236</v>
      </c>
      <c r="W275" s="171" t="s">
        <v>927</v>
      </c>
      <c r="X275" s="159"/>
      <c r="Y275" s="159"/>
      <c r="Z275" s="159"/>
      <c r="AA275" s="813"/>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3"/>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8DD78-6467-70A6-7B88-7A3CA188D637}"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BC79" sqref="BC79"/>
    </sheetView>
  </sheetViews>
  <sheetFormatPr defaultColWidth="9.140625" customHeight="1" defaultRowHeight="11.25"/>
  <cols>
    <col min="1" max="1" style="1186"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7" style="500" width="3.57421875" hidden="1" customWidth="1"/>
    <col min="8" max="8" style="500" width="8.421875" hidden="1" customWidth="1"/>
    <col min="9" max="11" style="500" width="3.57421875" hidden="1" customWidth="1"/>
    <col min="12" max="12" style="500" width="12.140625" hidden="1" customWidth="1"/>
    <col min="13" max="16" style="500" width="3.57421875" hidden="1" customWidth="1"/>
    <col min="17" max="17" style="928" width="3.57421875" hidden="1" customWidth="1"/>
    <col min="18" max="18" style="928" width="12.7109375" hidden="1" customWidth="1"/>
    <col min="19" max="19" style="50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500" width="11.75390625" customWidth="1"/>
    <col min="29" max="29" style="500" width="54.00390625" customWidth="1"/>
    <col min="30" max="35" style="500" width="12.6328125" customWidth="1"/>
    <col min="36" max="44" style="500" width="12.6328125" hidden="1" customWidth="1"/>
    <col min="45" max="45" style="500" width="12.6328125" customWidth="1"/>
    <col min="46" max="54" style="500" width="12.6328125" hidden="1" customWidth="1"/>
    <col min="55" max="55" style="500" width="20.1328125" customWidth="1"/>
    <col min="56" max="56" style="500" width="3.00390625" customWidth="1"/>
    <col min="57" max="57" style="500" width="9.140625" hidden="1"/>
    <col min="58" max="58" style="1219" width="17.421875" hidden="1" customWidth="1"/>
    <col min="59" max="59" style="1219" width="14.421875" hidden="1" customWidth="1"/>
    <col min="60" max="60" style="1219" width="9.140625" hidden="1"/>
    <col min="61" max="62" style="1230" width="9.140625" hidden="1"/>
  </cols>
  <sheetData>
    <row s="1582" customFormat="1" customHeight="1" ht="12" hidden="1">
      <c r="A1" s="1186"/>
      <c r="B1" s="788"/>
      <c r="E1" s="788"/>
      <c r="F1" s="819" t="s">
        <v>83</v>
      </c>
      <c r="G1" s="213"/>
      <c r="H1" s="213"/>
      <c r="I1" s="213"/>
      <c r="J1" s="213"/>
      <c r="K1" s="213"/>
      <c r="L1" s="213"/>
      <c r="M1" s="213"/>
      <c r="N1" s="213"/>
      <c r="O1" s="213"/>
      <c r="P1" s="213"/>
      <c r="Q1" s="739"/>
      <c r="R1" s="739"/>
      <c r="S1" s="213"/>
      <c r="T1" s="808" t="s">
        <v>86</v>
      </c>
      <c r="U1" s="808" t="s">
        <v>91</v>
      </c>
      <c r="V1" s="808" t="s">
        <v>87</v>
      </c>
      <c r="W1" s="808" t="s">
        <v>88</v>
      </c>
      <c r="X1" s="808" t="s">
        <v>89</v>
      </c>
      <c r="Y1" s="819" t="s">
        <v>372</v>
      </c>
      <c r="Z1" s="808" t="s">
        <v>93</v>
      </c>
      <c r="AA1" s="819" t="s">
        <v>90</v>
      </c>
      <c r="AB1" s="819" t="s">
        <v>92</v>
      </c>
      <c r="AC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184" t="s">
        <v>373</v>
      </c>
      <c r="BG1" s="1184" t="s">
        <v>374</v>
      </c>
      <c r="BH1" s="1184" t="s">
        <v>375</v>
      </c>
      <c r="BI1" s="1187" t="s">
        <v>378</v>
      </c>
      <c r="BJ1" s="1187" t="s">
        <v>379</v>
      </c>
    </row>
    <row s="927" customFormat="1" customHeight="1" ht="12" hidden="1">
      <c r="A2" s="1194"/>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c r="BG2" s="1176"/>
      <c r="BH2" s="1176"/>
      <c r="BI2" s="1188"/>
      <c r="BJ2" s="1188"/>
    </row>
    <row s="1582" customFormat="1" customHeight="1" ht="12" hidden="1">
      <c r="A3" s="1186"/>
      <c r="B3" s="788"/>
      <c r="E3" s="788"/>
      <c r="G3" s="213"/>
      <c r="H3" s="213"/>
      <c r="I3" s="213"/>
      <c r="J3" s="213"/>
      <c r="K3" s="213"/>
      <c r="L3" s="213"/>
      <c r="M3" s="213"/>
      <c r="N3" s="213"/>
      <c r="O3" s="213"/>
      <c r="P3" s="213"/>
      <c r="Q3" s="739"/>
      <c r="R3" s="739"/>
      <c r="S3" s="213"/>
      <c r="AI3" s="1582"/>
      <c r="AJ3" s="1582"/>
      <c r="AK3" s="1582"/>
      <c r="AL3" s="1582"/>
      <c r="AM3" s="1582"/>
      <c r="AN3" s="1582"/>
      <c r="AO3" s="1582"/>
      <c r="AP3" s="1582"/>
      <c r="AQ3" s="1582"/>
      <c r="AR3" s="1582"/>
      <c r="AS3" s="1582"/>
      <c r="AT3" s="1582"/>
      <c r="AU3" s="1582"/>
      <c r="AV3" s="1582"/>
      <c r="AW3" s="1582"/>
      <c r="AX3" s="1582"/>
      <c r="AY3" s="1582"/>
      <c r="AZ3" s="1582"/>
      <c r="BA3" s="1582"/>
      <c r="BB3" s="1582"/>
      <c r="BF3" s="1184"/>
      <c r="BG3" s="1184"/>
      <c r="BH3" s="1184"/>
      <c r="BI3" s="1187"/>
      <c r="BJ3" s="1187"/>
    </row>
    <row s="1582" customFormat="1" customHeight="1" ht="12" hidden="1">
      <c r="A4" s="1186"/>
      <c r="B4" s="788"/>
      <c r="E4" s="788"/>
      <c r="G4" s="213"/>
      <c r="H4" s="213"/>
      <c r="I4" s="213"/>
      <c r="J4" s="213"/>
      <c r="K4" s="213"/>
      <c r="L4" s="213"/>
      <c r="M4" s="213"/>
      <c r="N4" s="213"/>
      <c r="O4" s="213"/>
      <c r="P4" s="213"/>
      <c r="Q4" s="739"/>
      <c r="R4" s="739"/>
      <c r="S4" s="213"/>
      <c r="AI4" s="1582"/>
      <c r="AJ4" s="1582"/>
      <c r="AK4" s="1582"/>
      <c r="AL4" s="1582"/>
      <c r="AM4" s="1582"/>
      <c r="AN4" s="1582"/>
      <c r="AO4" s="1582"/>
      <c r="AP4" s="1582"/>
      <c r="AQ4" s="1582"/>
      <c r="AR4" s="1582"/>
      <c r="AS4" s="1582"/>
      <c r="AT4" s="1582"/>
      <c r="AU4" s="1582"/>
      <c r="AV4" s="1582"/>
      <c r="AW4" s="1582"/>
      <c r="AX4" s="1582"/>
      <c r="AY4" s="1582"/>
      <c r="AZ4" s="1582"/>
      <c r="BA4" s="1582"/>
      <c r="BB4" s="1582"/>
      <c r="BF4" s="1184"/>
      <c r="BG4" s="1184"/>
      <c r="BH4" s="1184"/>
      <c r="BI4" s="1187"/>
      <c r="BJ4" s="1187"/>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797">
        <v>11.75</v>
      </c>
      <c r="AC5" s="797">
        <v>54</v>
      </c>
      <c r="AD5" s="797">
        <v>12.63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176"/>
      <c r="BG5" s="1176"/>
      <c r="BH5" s="1176"/>
      <c r="BI5" s="1188"/>
      <c r="BJ5" s="1188"/>
    </row>
    <row s="1582" customFormat="1" customHeight="1" ht="12" hidden="1">
      <c r="A6" s="1186"/>
      <c r="B6" s="788"/>
      <c r="E6" s="797"/>
      <c r="G6" s="213"/>
      <c r="H6" s="213"/>
      <c r="I6" s="213"/>
      <c r="J6" s="213"/>
      <c r="K6" s="213"/>
      <c r="L6" s="213"/>
      <c r="M6" s="213"/>
      <c r="N6" s="213"/>
      <c r="O6" s="213"/>
      <c r="P6" s="213"/>
      <c r="Q6" s="739"/>
      <c r="R6" s="739"/>
      <c r="S6" s="213"/>
      <c r="AE6" s="175">
        <f>god-2</f>
        <v>2024</v>
      </c>
      <c r="AF6" s="175">
        <f>god-2</f>
        <v>2024</v>
      </c>
      <c r="AG6" s="175">
        <f>god-2</f>
        <v>2024</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84"/>
      <c r="BG6" s="1184"/>
      <c r="BH6" s="1184"/>
      <c r="BI6" s="1187"/>
      <c r="BJ6" s="1187"/>
    </row>
    <row customHeight="1" ht="12" hidden="1">
      <c r="F7" s="213"/>
      <c r="T7" s="213"/>
      <c r="U7" s="213"/>
      <c r="V7" s="213"/>
      <c r="W7" s="213"/>
      <c r="X7" s="213"/>
      <c r="Y7" s="213"/>
      <c r="Z7" s="213"/>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Принято органом регулирования</v>
      </c>
      <c r="AI7" s="213" cm="1" t="str">
        <f t="array" ref="AI7:AI7">$AI$25</f>
        <v>Предложение организации</v>
      </c>
      <c r="AJ7" s="213" cm="1" t="str">
        <f t="array" ref="AJ7:AJ7">$AI$25</f>
        <v>Предложение организации</v>
      </c>
      <c r="AK7" s="213" cm="1" t="str">
        <f t="array" ref="AK7:AK7">$AI$25</f>
        <v>Предложение организации</v>
      </c>
      <c r="AL7" s="213" cm="1" t="str">
        <f t="array" ref="AL7:AL7">$AI$25</f>
        <v>Предложение организации</v>
      </c>
      <c r="AM7" s="213" cm="1" t="str">
        <f t="array" ref="AM7:AM7">$AI$25</f>
        <v>Предложение организации</v>
      </c>
      <c r="AN7" s="213" cm="1" t="str">
        <f t="array" ref="AN7:AN7">$AI$25</f>
        <v>Предложение организации</v>
      </c>
      <c r="AO7" s="213" cm="1" t="str">
        <f t="array" ref="AO7:AO7">$AI$25</f>
        <v>Предложение организации</v>
      </c>
      <c r="AP7" s="213" cm="1" t="str">
        <f t="array" ref="AP7:AP7">$AI$25</f>
        <v>Предложение организации</v>
      </c>
      <c r="AQ7" s="213" cm="1" t="str">
        <f t="array" ref="AQ7:AQ7">$AI$25</f>
        <v>Предложение организации</v>
      </c>
      <c r="AR7" s="213" cm="1" t="str">
        <f t="array" ref="AR7:AR7">$AI$25</f>
        <v>Предложение организации</v>
      </c>
      <c r="AS7" s="213" cm="1" t="str">
        <f t="array" ref="AS7:AS7">$AS$25</f>
        <v>Принято органом регулирования</v>
      </c>
      <c r="AT7" s="213" cm="1" t="str">
        <f t="array" ref="AT7:AT7">$AS$25</f>
        <v>Принято органом регулирования</v>
      </c>
      <c r="AU7" s="213" cm="1" t="str">
        <f t="array" ref="AU7:AU7">$AS$25</f>
        <v>Принято органом регулирования</v>
      </c>
      <c r="AV7" s="213" cm="1" t="str">
        <f t="array" ref="AV7:AV7">$AS$25</f>
        <v>Принято органом регулирования</v>
      </c>
      <c r="AW7" s="213" cm="1" t="str">
        <f t="array" ref="AW7:AW7">$AS$25</f>
        <v>Принято органом регулирования</v>
      </c>
      <c r="AX7" s="213" cm="1" t="str">
        <f t="array" ref="AX7:AX7">$AS$25</f>
        <v>Принято органом регулирования</v>
      </c>
      <c r="AY7" s="213" cm="1" t="str">
        <f t="array" ref="AY7:AY7">$AS$25</f>
        <v>Принято органом регулирования</v>
      </c>
      <c r="AZ7" s="213" cm="1" t="str">
        <f t="array" ref="AZ7:AZ7">$AS$25</f>
        <v>Принято органом регулирования</v>
      </c>
      <c r="BA7" s="213" cm="1" t="str">
        <f t="array" ref="BA7:BA7">$AS$25</f>
        <v>Принято органом регулирования</v>
      </c>
      <c r="BB7" s="213" cm="1" t="str">
        <f t="array" ref="BB7:BB7">$AS$25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217" customFormat="1" customHeight="1" ht="12" hidden="1">
      <c r="A9" s="1183" t="s">
        <v>437</v>
      </c>
      <c r="B9" s="1154"/>
      <c r="E9" s="1154"/>
      <c r="Q9" s="1163"/>
      <c r="R9" s="1163"/>
      <c r="AE9" s="1162">
        <f>god-2</f>
        <v>2024</v>
      </c>
      <c r="AF9" s="1162">
        <f>god-2</f>
        <v>2024</v>
      </c>
      <c r="AG9" s="1162">
        <f>god-2</f>
        <v>2024</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84"/>
      <c r="BG9" s="1184"/>
      <c r="BH9" s="1184"/>
      <c r="BI9" s="1184"/>
      <c r="BJ9" s="1184"/>
    </row>
    <row s="1217" customFormat="1" customHeight="1" ht="12" hidden="1">
      <c r="A10" s="1183" t="s">
        <v>438</v>
      </c>
      <c r="B10" s="1154"/>
      <c r="E10" s="1154"/>
      <c r="Q10" s="1163"/>
      <c r="R10" s="1163"/>
      <c r="AE10" s="1162" cm="1" t="str">
        <f t="array" ref="AE10:AE10">AE25</f>
        <v>Принято органом регулирования</v>
      </c>
      <c r="AF10" s="1162" cm="1" t="str">
        <f t="array" ref="AF10:AF10">AF25</f>
        <v>Факт по данным организации</v>
      </c>
      <c r="AG10" s="1162" cm="1" t="str">
        <f t="array" ref="AG10:AG10">AG25</f>
        <v>Факт, принятый органом регулирования</v>
      </c>
      <c r="AH10" s="1162" cm="1" t="str">
        <f t="array" ref="AH10:AH10">AH25</f>
        <v>Принято органом регулирования</v>
      </c>
      <c r="AI10" s="1162" cm="1" t="str">
        <f t="array" ref="AI10:AI10">AI25</f>
        <v>Предложение организации</v>
      </c>
      <c r="AJ10" s="1162" cm="1" t="str">
        <f t="array" ref="AJ10:AJ10">AJ25</f>
        <v>Предложение организации</v>
      </c>
      <c r="AK10" s="1162" cm="1" t="str">
        <f t="array" ref="AK10:AK10">AK25</f>
        <v>Предложение организации</v>
      </c>
      <c r="AL10" s="1162" cm="1" t="str">
        <f t="array" ref="AL10:AL10">AL25</f>
        <v>Предложение организации</v>
      </c>
      <c r="AM10" s="1162" cm="1" t="str">
        <f t="array" ref="AM10:AM10">AM25</f>
        <v>Предложение организации</v>
      </c>
      <c r="AN10" s="1162" cm="1" t="str">
        <f t="array" ref="AN10:AN10">AN25</f>
        <v>Предложение организации</v>
      </c>
      <c r="AO10" s="1162" cm="1" t="str">
        <f t="array" ref="AO10:AO10">AO25</f>
        <v>Предложение организации</v>
      </c>
      <c r="AP10" s="1162" cm="1" t="str">
        <f t="array" ref="AP10:AP10">AP25</f>
        <v>Предложение организации</v>
      </c>
      <c r="AQ10" s="1162" cm="1" t="str">
        <f t="array" ref="AQ10:AQ10">AQ25</f>
        <v>Предложение организации</v>
      </c>
      <c r="AR10" s="1162" cm="1" t="str">
        <f t="array" ref="AR10:AR10">AR25</f>
        <v>Предложение организации</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AY10" s="1162" cm="1" t="str">
        <f t="array" ref="AY10:AY10">AY25</f>
        <v>Принято органом регулирования</v>
      </c>
      <c r="AZ10" s="1162" cm="1" t="str">
        <f t="array" ref="AZ10:AZ10">AZ25</f>
        <v>Принято органом регулирования</v>
      </c>
      <c r="BA10" s="1162" cm="1" t="str">
        <f t="array" ref="BA10:BA10">BA25</f>
        <v>Принято органом регулирования</v>
      </c>
      <c r="BB10" s="1162" cm="1" t="str">
        <f t="array" ref="BB10:BB10">BB25</f>
        <v>Принято органом регулирования</v>
      </c>
      <c r="BF10" s="1184"/>
      <c r="BG10" s="1184"/>
      <c r="BH10" s="1184"/>
      <c r="BI10" s="1184"/>
      <c r="BJ10" s="1184"/>
    </row>
    <row s="1217" customFormat="1" customHeight="1" ht="12" hidden="1">
      <c r="A11" s="1161" t="s">
        <v>439</v>
      </c>
      <c r="B11" s="1154"/>
      <c r="E11" s="1154"/>
      <c r="G11" s="1170"/>
      <c r="H11" s="1170"/>
      <c r="I11" s="1170"/>
      <c r="J11" s="1170"/>
      <c r="K11" s="1170"/>
      <c r="L11" s="1170"/>
      <c r="M11" s="1170"/>
      <c r="N11" s="1170"/>
      <c r="O11" s="1170"/>
      <c r="P11" s="1170"/>
      <c r="Q11" s="1185"/>
      <c r="R11" s="1185"/>
      <c r="S11" s="117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2" cm="1" t="str">
        <f t="array" ref="BC11:BC11">BC24</f>
        <v>Ссылка на правовую норму (основание для принятия показателя в расчет тарифа)</v>
      </c>
      <c r="BF11" s="1184"/>
      <c r="BG11" s="1184"/>
      <c r="BH11" s="1184"/>
      <c r="BI11" s="1184"/>
      <c r="BJ11" s="1184"/>
    </row>
    <row s="1217" customFormat="1" customHeight="1" ht="12" hidden="1">
      <c r="A12" s="1161" t="s">
        <v>384</v>
      </c>
      <c r="B12" s="1154"/>
      <c r="E12" s="1154"/>
      <c r="G12" s="1170"/>
      <c r="H12" s="1170"/>
      <c r="I12" s="1170"/>
      <c r="J12" s="1170"/>
      <c r="K12" s="1170"/>
      <c r="L12" s="1170"/>
      <c r="M12" s="1170"/>
      <c r="N12" s="1170"/>
      <c r="O12" s="1170"/>
      <c r="P12" s="1170"/>
      <c r="Q12" s="1185"/>
      <c r="R12" s="1185"/>
      <c r="S12" s="1170"/>
      <c r="AC12" s="1162" t="s">
        <v>375</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84"/>
      <c r="BG12" s="1184"/>
      <c r="BH12" s="1184"/>
      <c r="BI12" s="1187"/>
      <c r="BJ12" s="1187"/>
    </row>
    <row s="1582" customFormat="1" customHeight="1" ht="12" hidden="1">
      <c r="A13" s="1186"/>
      <c r="B13" s="788"/>
      <c r="E13" s="797"/>
      <c r="G13" s="213"/>
      <c r="H13" s="213"/>
      <c r="I13" s="213"/>
      <c r="J13" s="213"/>
      <c r="K13" s="213"/>
      <c r="L13" s="213"/>
      <c r="M13" s="213"/>
      <c r="N13" s="213"/>
      <c r="O13" s="213"/>
      <c r="P13" s="213"/>
      <c r="Q13" s="739"/>
      <c r="R13" s="739"/>
      <c r="S13" s="213"/>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F13" s="1184"/>
      <c r="BG13" s="1184"/>
      <c r="BH13" s="1184"/>
      <c r="BI13" s="1187"/>
      <c r="BJ13" s="1187"/>
    </row>
    <row s="1582" customFormat="1" customHeight="1" ht="12" hidden="1">
      <c r="A14" s="1186"/>
      <c r="B14" s="788"/>
      <c r="E14" s="797"/>
      <c r="G14" s="213"/>
      <c r="H14" s="213"/>
      <c r="I14" s="213"/>
      <c r="J14" s="213"/>
      <c r="K14" s="213"/>
      <c r="L14" s="213"/>
      <c r="M14" s="213"/>
      <c r="N14" s="213"/>
      <c r="O14" s="213"/>
      <c r="P14" s="213"/>
      <c r="Q14" s="739"/>
      <c r="R14" s="739"/>
      <c r="S14" s="213"/>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F14" s="1184"/>
      <c r="BG14" s="1184"/>
      <c r="BH14" s="1184"/>
      <c r="BI14" s="1187"/>
      <c r="BJ14" s="1187"/>
    </row>
    <row s="1582" customFormat="1" customHeight="1" ht="12" hidden="1">
      <c r="A15" s="1186"/>
      <c r="B15" s="788"/>
      <c r="E15" s="797"/>
      <c r="G15" s="213"/>
      <c r="H15" s="213"/>
      <c r="I15" s="213"/>
      <c r="J15" s="213"/>
      <c r="K15" s="213"/>
      <c r="L15" s="213"/>
      <c r="M15" s="213"/>
      <c r="N15" s="213"/>
      <c r="O15" s="213"/>
      <c r="P15" s="213"/>
      <c r="Q15" s="739"/>
      <c r="R15" s="739"/>
      <c r="S15" s="213"/>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F15" s="1184"/>
      <c r="BG15" s="1184"/>
      <c r="BH15" s="1184"/>
      <c r="BI15" s="1187"/>
      <c r="BJ15" s="1187"/>
    </row>
    <row s="1582" customFormat="1" customHeight="1" ht="12" hidden="1">
      <c r="A16" s="1186"/>
      <c r="B16" s="788"/>
      <c r="E16" s="797"/>
      <c r="G16" s="213"/>
      <c r="H16" s="213"/>
      <c r="I16" s="213"/>
      <c r="J16" s="213"/>
      <c r="K16" s="213"/>
      <c r="L16" s="213"/>
      <c r="M16" s="213"/>
      <c r="N16" s="213"/>
      <c r="O16" s="213"/>
      <c r="P16" s="213"/>
      <c r="Q16" s="739"/>
      <c r="R16" s="739"/>
      <c r="S16" s="213"/>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F16" s="1184"/>
      <c r="BG16" s="1184"/>
      <c r="BH16" s="1184"/>
      <c r="BI16" s="1187"/>
      <c r="BJ16" s="1187"/>
    </row>
    <row s="1582" customFormat="1" customHeight="1" ht="12" hidden="1">
      <c r="A17" s="1186"/>
      <c r="B17" s="788"/>
      <c r="E17" s="797"/>
      <c r="G17" s="213"/>
      <c r="H17" s="213"/>
      <c r="I17" s="213"/>
      <c r="J17" s="213"/>
      <c r="K17" s="213"/>
      <c r="L17" s="213"/>
      <c r="M17" s="213"/>
      <c r="N17" s="213"/>
      <c r="O17" s="213"/>
      <c r="P17" s="213"/>
      <c r="Q17" s="739"/>
      <c r="R17" s="739"/>
      <c r="S17" s="213"/>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F17" s="1184"/>
      <c r="BG17" s="1184"/>
      <c r="BH17" s="1184"/>
      <c r="BI17" s="1187"/>
      <c r="BJ17" s="1187"/>
    </row>
    <row s="1582" customFormat="1" customHeight="1" ht="12" hidden="1">
      <c r="A18" s="1020" t="s">
        <v>495</v>
      </c>
      <c r="B18" s="788"/>
      <c r="E18" s="797"/>
      <c r="G18" s="213"/>
      <c r="H18" s="213"/>
      <c r="I18" s="213"/>
      <c r="J18" s="213"/>
      <c r="K18" s="213"/>
      <c r="L18" s="213"/>
      <c r="M18" s="213"/>
      <c r="N18" s="213"/>
      <c r="O18" s="213"/>
      <c r="P18" s="213"/>
      <c r="Q18" s="739"/>
      <c r="R18" s="739"/>
      <c r="S18" s="213"/>
      <c r="AC18" s="175" t="s">
        <v>440</v>
      </c>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184"/>
      <c r="BG18" s="1184"/>
      <c r="BH18" s="1184"/>
      <c r="BI18" s="1187"/>
      <c r="BJ18" s="1187"/>
    </row>
    <row s="1582" customFormat="1" customHeight="1" ht="12" hidden="1">
      <c r="A19" s="1186"/>
      <c r="B19" s="788"/>
      <c r="E19" s="797"/>
      <c r="G19" s="213"/>
      <c r="H19" s="213"/>
      <c r="I19" s="213"/>
      <c r="J19" s="213"/>
      <c r="K19" s="213"/>
      <c r="L19" s="213"/>
      <c r="M19" s="213"/>
      <c r="N19" s="213"/>
      <c r="O19" s="213"/>
      <c r="P19" s="213"/>
      <c r="Q19" s="739"/>
      <c r="R19" s="739"/>
      <c r="S19" s="213"/>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184"/>
      <c r="BG19" s="1184"/>
      <c r="BH19" s="1184"/>
      <c r="BI19" s="1187"/>
      <c r="BJ19" s="1187"/>
    </row>
    <row s="1582" customFormat="1" customHeight="1" ht="12" hidden="1">
      <c r="A20" s="1186"/>
      <c r="B20" s="788"/>
      <c r="E20" s="797"/>
      <c r="G20" s="213"/>
      <c r="H20" s="213"/>
      <c r="I20" s="213"/>
      <c r="J20" s="213"/>
      <c r="K20" s="213"/>
      <c r="L20" s="213"/>
      <c r="M20" s="213"/>
      <c r="N20" s="213"/>
      <c r="O20" s="213"/>
      <c r="P20" s="213"/>
      <c r="Q20" s="739"/>
      <c r="R20" s="739"/>
      <c r="S20" s="213"/>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184"/>
      <c r="BG20" s="1184"/>
      <c r="BH20" s="1184"/>
      <c r="BI20" s="1187"/>
      <c r="BJ20" s="1187"/>
    </row>
    <row customHeight="1" ht="14.625">
      <c r="E21" s="797">
        <v>15</v>
      </c>
      <c r="AA21" s="820"/>
      <c r="AC21" s="403" cm="1" t="str">
        <f t="array" ref="AC21:AC21">tpl_title</f>
        <v>Кемеровская область / 2026 / ООО "ВЕЛЕС" (ИНН:4212036655, КПП:421201001) / ДПР: 2016-2025</v>
      </c>
      <c r="AI21" s="500"/>
      <c r="AJ21" s="500"/>
      <c r="AK21" s="500"/>
      <c r="AL21" s="500"/>
      <c r="AM21" s="500"/>
      <c r="AN21" s="500"/>
      <c r="AO21" s="500"/>
      <c r="AP21" s="500"/>
      <c r="AQ21" s="500"/>
      <c r="AR21" s="500"/>
      <c r="AS21" s="500"/>
      <c r="AT21" s="500"/>
      <c r="AU21" s="500"/>
      <c r="AV21" s="500"/>
      <c r="AW21" s="500"/>
      <c r="AX21" s="500"/>
      <c r="AY21" s="500"/>
      <c r="AZ21" s="500"/>
      <c r="BA21" s="500"/>
      <c r="BB21" s="500"/>
    </row>
    <row s="965" customFormat="1" customHeight="1" ht="19.5975">
      <c r="A22" s="403"/>
      <c r="B22" s="788"/>
      <c r="C22" s="179"/>
      <c r="D22" s="179"/>
      <c r="E22" s="797">
        <v>20.1</v>
      </c>
      <c r="F22" s="179"/>
      <c r="Q22" s="739"/>
      <c r="R22" s="739"/>
      <c r="T22" s="179"/>
      <c r="U22" s="179"/>
      <c r="V22" s="179"/>
      <c r="W22" s="179"/>
      <c r="X22" s="179"/>
      <c r="Y22" s="179"/>
      <c r="Z22" s="179"/>
      <c r="AB22" s="392" t="s">
        <v>928</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80"/>
      <c r="BG22" s="1180"/>
      <c r="BH22" s="1180"/>
      <c r="BI22" s="1189"/>
      <c r="BJ22" s="1189"/>
    </row>
    <row s="965" customFormat="1" customHeight="1" ht="11.115">
      <c r="A23" s="403"/>
      <c r="B23" s="788"/>
      <c r="C23" s="179"/>
      <c r="D23" s="179"/>
      <c r="E23" s="797">
        <v>11.4</v>
      </c>
      <c r="F23" s="179"/>
      <c r="Q23" s="739"/>
      <c r="R23" s="739"/>
      <c r="T23" s="179"/>
      <c r="U23" s="179"/>
      <c r="V23" s="179"/>
      <c r="W23" s="179"/>
      <c r="X23" s="179"/>
      <c r="Y23" s="179"/>
      <c r="Z23" s="179"/>
      <c r="AB23" s="273"/>
      <c r="AC23" s="273"/>
      <c r="AD23" s="273"/>
      <c r="AE23" s="274"/>
      <c r="AF23" s="274"/>
      <c r="AG23" s="274"/>
      <c r="AH23" s="274"/>
      <c r="AI23" s="273"/>
      <c r="AJ23" s="273"/>
      <c r="AK23" s="273"/>
      <c r="AL23" s="273"/>
      <c r="AM23" s="273"/>
      <c r="AN23" s="273"/>
      <c r="AO23" s="273"/>
      <c r="AP23" s="273"/>
      <c r="AQ23" s="273"/>
      <c r="AR23" s="273"/>
      <c r="AS23" s="273"/>
      <c r="AT23" s="273"/>
      <c r="AU23" s="273"/>
      <c r="AV23" s="273"/>
      <c r="AW23" s="273"/>
      <c r="AX23" s="273"/>
      <c r="AY23" s="273"/>
      <c r="AZ23" s="273"/>
      <c r="BA23" s="273"/>
      <c r="BB23" s="273"/>
      <c r="BC23" s="273"/>
      <c r="BF23" s="1180"/>
      <c r="BG23" s="1180"/>
      <c r="BH23" s="1180"/>
      <c r="BI23" s="1189"/>
      <c r="BJ23" s="1189"/>
    </row>
    <row s="215" customFormat="1" customHeight="1" ht="14.625">
      <c r="A24" s="332"/>
      <c r="B24" s="792"/>
      <c r="C24" s="171"/>
      <c r="D24" s="171"/>
      <c r="E24" s="803">
        <v>15</v>
      </c>
      <c r="F24" s="171"/>
      <c r="Q24" s="920"/>
      <c r="R24" s="920"/>
      <c r="T24" s="171"/>
      <c r="U24" s="171"/>
      <c r="V24" s="171"/>
      <c r="W24" s="171"/>
      <c r="X24" s="171"/>
      <c r="Y24" s="171"/>
      <c r="Z24" s="171"/>
      <c r="AB24" s="1534" t="s">
        <v>386</v>
      </c>
      <c r="AC24" s="1534" t="s">
        <v>440</v>
      </c>
      <c r="AD24" s="1534" t="s">
        <v>441</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4" t="s">
        <v>595</v>
      </c>
      <c r="BF24" s="1184"/>
      <c r="BG24" s="1190"/>
      <c r="BH24" s="1190"/>
      <c r="BI24" s="1191"/>
      <c r="BJ24" s="1191"/>
    </row>
    <row s="215" customFormat="1" customHeight="1" ht="48.847500000000004">
      <c r="A25" s="332"/>
      <c r="B25" s="792"/>
      <c r="C25" s="171"/>
      <c r="D25" s="171"/>
      <c r="E25" s="803">
        <v>50.1</v>
      </c>
      <c r="F25" s="171"/>
      <c r="Q25" s="920"/>
      <c r="R25" s="920"/>
      <c r="T25" s="171"/>
      <c r="U25" s="171"/>
      <c r="V25" s="171"/>
      <c r="W25" s="171"/>
      <c r="X25" s="171"/>
      <c r="Y25" s="171"/>
      <c r="Z25" s="171"/>
      <c r="AB25" s="1534"/>
      <c r="AC25" s="1534"/>
      <c r="AD25" s="1534"/>
      <c r="AE25" s="170" t="s">
        <v>402</v>
      </c>
      <c r="AF25" s="1356" t="s">
        <v>596</v>
      </c>
      <c r="AG25" s="170" t="s">
        <v>597</v>
      </c>
      <c r="AH25" s="170" t="s">
        <v>402</v>
      </c>
      <c r="AI25" s="1357" t="s">
        <v>403</v>
      </c>
      <c r="AJ25" s="1357" t="s">
        <v>403</v>
      </c>
      <c r="AK25" s="1357" t="s">
        <v>403</v>
      </c>
      <c r="AL25" s="1357" t="s">
        <v>403</v>
      </c>
      <c r="AM25" s="1357" t="s">
        <v>403</v>
      </c>
      <c r="AN25" s="1357" t="s">
        <v>403</v>
      </c>
      <c r="AO25" s="1357" t="s">
        <v>403</v>
      </c>
      <c r="AP25" s="1357" t="s">
        <v>403</v>
      </c>
      <c r="AQ25" s="1357" t="s">
        <v>403</v>
      </c>
      <c r="AR25" s="1357" t="s">
        <v>403</v>
      </c>
      <c r="AS25" s="413" t="s">
        <v>402</v>
      </c>
      <c r="AT25" s="413" t="s">
        <v>402</v>
      </c>
      <c r="AU25" s="413" t="s">
        <v>402</v>
      </c>
      <c r="AV25" s="413" t="s">
        <v>402</v>
      </c>
      <c r="AW25" s="413" t="s">
        <v>402</v>
      </c>
      <c r="AX25" s="413" t="s">
        <v>402</v>
      </c>
      <c r="AY25" s="413" t="s">
        <v>402</v>
      </c>
      <c r="AZ25" s="413" t="s">
        <v>402</v>
      </c>
      <c r="BA25" s="413" t="s">
        <v>402</v>
      </c>
      <c r="BB25" s="413" t="s">
        <v>402</v>
      </c>
      <c r="BC25" s="1474"/>
      <c r="BF25" s="1184"/>
      <c r="BG25" s="1190"/>
      <c r="BH25" s="1190"/>
      <c r="BI25" s="1191"/>
      <c r="BJ25" s="1191"/>
    </row>
    <row s="215" customFormat="1" customHeight="1" ht="50.25" hidden="1">
      <c r="A26" s="332"/>
      <c r="B26" s="792"/>
      <c r="C26" s="171"/>
      <c r="D26" s="171"/>
      <c r="E26" s="803">
        <v>0</v>
      </c>
      <c r="F26" s="171"/>
      <c r="Q26" s="920"/>
      <c r="R26" s="920"/>
      <c r="T26" s="171"/>
      <c r="U26" s="171"/>
      <c r="V26" s="171"/>
      <c r="W26" s="171"/>
      <c r="X26" s="171"/>
      <c r="Y26" s="171"/>
      <c r="Z26" s="171"/>
      <c r="AB26" s="523"/>
      <c r="AC26" s="523"/>
      <c r="AD26" s="523"/>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F26" s="1184"/>
      <c r="BG26" s="1190"/>
      <c r="BH26" s="1190"/>
      <c r="BI26" s="1191"/>
      <c r="BJ26" s="1191"/>
    </row>
    <row s="215" customFormat="1" customHeight="1" ht="18.330000000000002" hidden="1">
      <c r="E27" s="803">
        <v>18.8</v>
      </c>
      <c r="F27" s="922" cm="1" t="str">
        <f t="array" ref="F27:F27">X27</f>
        <v>0</v>
      </c>
      <c r="K27" s="213" cm="1" t="str">
        <f t="array" ref="K27:K27">INDEX('Общие сведения'!$AL$169:$AL$202,MATCH($F27,'Общие сведения'!$Z$169:$Z$202,0))</f>
        <v>0</v>
      </c>
      <c r="L27" s="213" cm="1" t="str">
        <f t="array" ref="L27:L27">INDEX('Общие сведения'!$AK$169:$AK$202,MATCH($F27,'Общие сведения'!$Z$169:$Z$202,0))</f>
        <v>0</v>
      </c>
      <c r="T27" s="808">
        <f>X27&gt;0</f>
        <v>0</v>
      </c>
      <c r="V27" s="171" t="s">
        <v>310</v>
      </c>
      <c r="X27" s="171">
        <v>0</v>
      </c>
      <c r="AB27" s="263" cm="1" t="str">
        <f t="array" ref="AB27:AB27">INDEX('Общие сведения'!$AG$169:$AG$202,MATCH($F27,'Общие сведения'!$Z$169:$Z$202,0))</f>
        <v>Тариф 0 (Теплоснабжение) - </v>
      </c>
      <c r="AC27" s="260"/>
      <c r="AD27" s="254"/>
      <c r="AE27" s="380">
        <f>AE28+AE47</f>
        <v>0</v>
      </c>
      <c r="AF27" s="380">
        <f>AF28+AF47</f>
        <v>0</v>
      </c>
      <c r="AG27" s="380">
        <f>AG28+AG47</f>
        <v>0</v>
      </c>
      <c r="AH27" s="380">
        <f>AH28+AH47</f>
        <v>0</v>
      </c>
      <c r="AI27" s="380">
        <f>AI28+AI47</f>
        <v>0</v>
      </c>
      <c r="AJ27" s="380">
        <f>AJ28+AJ47</f>
        <v>0</v>
      </c>
      <c r="AK27" s="380">
        <f>AK28+AK47</f>
        <v>0</v>
      </c>
      <c r="AL27" s="380">
        <f>AL28+AL47</f>
        <v>0</v>
      </c>
      <c r="AM27" s="380">
        <f>AM28+AM47</f>
        <v>0</v>
      </c>
      <c r="AN27" s="380">
        <f>AN28+AN47</f>
        <v>0</v>
      </c>
      <c r="AO27" s="380">
        <f>AO28+AO47</f>
        <v>0</v>
      </c>
      <c r="AP27" s="380">
        <f>AP28+AP47</f>
        <v>0</v>
      </c>
      <c r="AQ27" s="380">
        <f>AQ28+AQ47</f>
        <v>0</v>
      </c>
      <c r="AR27" s="380">
        <f>AR28+AR47</f>
        <v>0</v>
      </c>
      <c r="AS27" s="380">
        <f>AS28+AS47</f>
        <v>0</v>
      </c>
      <c r="AT27" s="380">
        <f>AT28+AT47</f>
        <v>0</v>
      </c>
      <c r="AU27" s="380">
        <f>AU28+AU47</f>
        <v>0</v>
      </c>
      <c r="AV27" s="380">
        <f>AV28+AV47</f>
        <v>0</v>
      </c>
      <c r="AW27" s="380">
        <f>AW28+AW47</f>
        <v>0</v>
      </c>
      <c r="AX27" s="380">
        <f>AX28+AX47</f>
        <v>0</v>
      </c>
      <c r="AY27" s="380">
        <f>AY28+AY47</f>
        <v>0</v>
      </c>
      <c r="AZ27" s="380">
        <f>AZ28+AZ47</f>
        <v>0</v>
      </c>
      <c r="BA27" s="380">
        <f>BA28+BA47</f>
        <v>0</v>
      </c>
      <c r="BB27" s="380">
        <f>BB28+BB47</f>
        <v>0</v>
      </c>
      <c r="BC27" s="608"/>
      <c r="BF27" s="1184"/>
      <c r="BG27" s="1190"/>
      <c r="BH27" s="1190"/>
      <c r="BI27" s="1191"/>
      <c r="BJ27" s="1191"/>
    </row>
    <row s="1462" customFormat="1" customHeight="1" ht="16.672500000000003" hidden="1">
      <c r="E28" s="803">
        <v>17.1</v>
      </c>
      <c r="F28" s="922" cm="1" t="str">
        <f t="array" ref="F28:F28">OFFSET(G28,-1,-1)</f>
        <v>0</v>
      </c>
      <c r="G28" s="739" t="s">
        <v>929</v>
      </c>
      <c r="I28" s="215" t="s">
        <v>930</v>
      </c>
      <c r="T28" s="923" cm="1" t="str">
        <f t="array" ref="T28:T28">T27</f>
        <v>false</v>
      </c>
      <c r="AB28" s="286">
        <v>1</v>
      </c>
      <c r="AC28" s="281" t="s">
        <v>931</v>
      </c>
      <c r="AD28" s="280" t="s">
        <v>810</v>
      </c>
      <c r="AE28" s="612">
        <f>SUMIF($I33:$I45,$I28,AE33:AE45)</f>
        <v>0</v>
      </c>
      <c r="AF28" s="612">
        <f>SUMIF($I33:$I45,$I28,AF33:AF45)</f>
        <v>0</v>
      </c>
      <c r="AG28" s="612">
        <f>SUMIF($I33:$I45,$I28,AG33:AG45)</f>
        <v>0</v>
      </c>
      <c r="AH28" s="612">
        <f>SUMIF($I33:$I45,$I28,AH33:AH45)</f>
        <v>0</v>
      </c>
      <c r="AI28" s="612">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2">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3" t="s">
        <v>932</v>
      </c>
      <c r="BG28" s="1190"/>
      <c r="BH28" s="1190"/>
      <c r="BI28" s="1191"/>
      <c r="BJ28" s="1191"/>
    </row>
    <row s="1462" customFormat="1" customHeight="1" ht="16.672500000000003" hidden="1">
      <c r="E29" s="803">
        <v>17.1</v>
      </c>
      <c r="F29" s="922" cm="1" t="str">
        <f t="array" ref="F29:F29">OFFSET(G29,-1,-1)</f>
        <v>0</v>
      </c>
      <c r="T29" s="923" cm="1" t="str">
        <f t="array" ref="T29:T29">T28</f>
        <v>false</v>
      </c>
      <c r="AB29" s="216" t="s">
        <v>449</v>
      </c>
      <c r="AC29" s="276" t="s">
        <v>933</v>
      </c>
      <c r="AD29" s="170" t="s">
        <v>733</v>
      </c>
      <c r="AE29" s="267">
        <f>SUMIF($AD33:$AD45,$AD29,AE33:AE45)</f>
        <v>0</v>
      </c>
      <c r="AF29" s="267">
        <f>SUMIF($AD33:$AD45,$AD29,AF33:AF45)</f>
        <v>0</v>
      </c>
      <c r="AG29" s="267">
        <f>SUMIF($AD33:$AD45,$AD29,AG33:AG45)</f>
        <v>0</v>
      </c>
      <c r="AH29" s="267">
        <f>SUMIF($AD33:$AD45,$AD29,AH33:AH45)</f>
        <v>0</v>
      </c>
      <c r="AI29" s="267">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7">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4" t="s">
        <v>934</v>
      </c>
      <c r="BG29" s="1190"/>
      <c r="BH29" s="1190"/>
      <c r="BI29" s="1191"/>
      <c r="BJ29" s="1191"/>
    </row>
    <row s="1462" customFormat="1" customHeight="1" ht="16.672500000000003" hidden="1">
      <c r="E30" s="803">
        <v>17.1</v>
      </c>
      <c r="F30" s="922" cm="1" t="str">
        <f t="array" ref="F30:F30">OFFSET(G30,-1,-1)</f>
        <v>0</v>
      </c>
      <c r="T30" s="923" cm="1" t="str">
        <f t="array" ref="T30:T30">T29</f>
        <v>false</v>
      </c>
      <c r="AB30" s="216" t="s">
        <v>935</v>
      </c>
      <c r="AC30" s="276" t="s">
        <v>936</v>
      </c>
      <c r="AD30" s="170" t="s">
        <v>599</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1868">
        <f>IF($K27="передача тепловой энергии",_xlfn.SUMIFS('Баланс Тр'!AI$27:AI$43,'Баланс Тр'!$F$27:$F$43,$F30,'Баланс Тр'!$AB$27:$AB$43,"3"),_xlfn.SUMIFS('Баланс Пр'!AI$27:AI$165,'Баланс Пр'!$F$27:$F$165,$F30,'Баланс Пр'!$AB$27:$AB$165,"9.1"))</f>
        <v>0</v>
      </c>
      <c r="AJ30" s="9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1868">
        <f>IF($K27="передача тепловой энергии",_xlfn.SUMIFS('Баланс Тр'!AS$27:AS$43,'Баланс Тр'!$F$27:$F$43,$F30,'Баланс Тр'!$AB$27:$AB$43,"3"),_xlfn.SUMIFS('Баланс Пр'!AS$27:AS$165,'Баланс Пр'!$F$27:$F$165,$F30,'Баланс Пр'!$AB$27:$AB$165,"9.1"))</f>
        <v>0</v>
      </c>
      <c r="AT30" s="9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4" t="s">
        <v>759</v>
      </c>
      <c r="BG30" s="1190"/>
      <c r="BH30" s="1190"/>
      <c r="BI30" s="1191"/>
      <c r="BJ30" s="1191"/>
    </row>
    <row s="1462" customFormat="1" customHeight="1" ht="16.672500000000003" hidden="1">
      <c r="E31" s="803">
        <v>17.1</v>
      </c>
      <c r="F31" s="922" cm="1" t="str">
        <f t="array" ref="F31:F31">OFFSET(G31,-1,-1)</f>
        <v>0</v>
      </c>
      <c r="T31" s="923" cm="1" t="str">
        <f t="array" ref="T31:T31">T30</f>
        <v>false</v>
      </c>
      <c r="AB31" s="216" t="s">
        <v>937</v>
      </c>
      <c r="AC31" s="276" t="s">
        <v>938</v>
      </c>
      <c r="AD31" s="170" t="s">
        <v>939</v>
      </c>
      <c r="AE31" s="267">
        <f>IF(AE29=0,0,AE28/AE29)</f>
        <v>0</v>
      </c>
      <c r="AF31" s="267">
        <f>IF(AF29=0,0,AF28/AF29)</f>
        <v>0</v>
      </c>
      <c r="AG31" s="267">
        <f>IF(AG29=0,0,AG28/AG29)</f>
        <v>0</v>
      </c>
      <c r="AH31" s="267">
        <f>IF(AH29=0,0,AH28/AH29)</f>
        <v>0</v>
      </c>
      <c r="AI31" s="267">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7">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4" t="s">
        <v>940</v>
      </c>
      <c r="BG31" s="1190"/>
      <c r="BH31" s="1190"/>
      <c r="BI31" s="1191"/>
      <c r="BJ31" s="1191"/>
    </row>
    <row s="1462" customFormat="1" customHeight="1" ht="16.672500000000003" hidden="1">
      <c r="E32" s="803">
        <v>17.1</v>
      </c>
      <c r="F32" s="922" cm="1" t="str">
        <f t="array" ref="F32:F32">OFFSET(G32,-1,-1)</f>
        <v>0</v>
      </c>
      <c r="T32" s="923" cm="1" t="str">
        <f t="array" ref="T32:T32">T31</f>
        <v>false</v>
      </c>
      <c r="AB32" s="216" t="s">
        <v>941</v>
      </c>
      <c r="AC32" s="276" t="s">
        <v>942</v>
      </c>
      <c r="AD32" s="170" t="s">
        <v>745</v>
      </c>
      <c r="AE32" s="387">
        <f>IF(AE30=0,0,AE29/AE30)*1000</f>
        <v>0</v>
      </c>
      <c r="AF32" s="387">
        <f>IF(AF30=0,0,AF29/AF30)*1000</f>
        <v>0</v>
      </c>
      <c r="AG32" s="387">
        <f>IF(AG30=0,0,AG29/AG30)*1000</f>
        <v>0</v>
      </c>
      <c r="AH32" s="387">
        <f>IF(AH30=0,0,AH29/AH30)*1000</f>
        <v>0</v>
      </c>
      <c r="AI32" s="387">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7">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4" t="s">
        <v>736</v>
      </c>
      <c r="BG32" s="1190"/>
      <c r="BH32" s="1190"/>
      <c r="BI32" s="1191"/>
      <c r="BJ32" s="1191"/>
    </row>
    <row s="1462" customFormat="1" customHeight="1" ht="16.672500000000003" hidden="1">
      <c r="E33" s="803">
        <v>17.1</v>
      </c>
      <c r="F33" s="922" cm="1" t="str">
        <f t="array" ref="F33:F33">OFFSET(G33,-1,-1)</f>
        <v>0</v>
      </c>
      <c r="S33" s="158"/>
      <c r="T33" s="923" cm="1" t="str">
        <f t="array" ref="T33:T33">T32</f>
        <v>false</v>
      </c>
      <c r="AB33" s="346"/>
      <c r="AC33" s="343" t="s">
        <v>943</v>
      </c>
      <c r="AD33" s="344"/>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1094"/>
      <c r="BF33" s="1184"/>
      <c r="BG33" s="1190"/>
      <c r="BH33" s="1190"/>
      <c r="BI33" s="1191"/>
      <c r="BJ33" s="1191"/>
    </row>
    <row s="1462" customFormat="1" customHeight="1" ht="16.672500000000003" hidden="1">
      <c r="A34" s="1125" t="str">
        <f>"checkCosts_1."&amp;F34&amp;"."&amp;Y34</f>
        <v>checkCosts_1.0.0</v>
      </c>
      <c r="E34" s="803">
        <v>17.1</v>
      </c>
      <c r="F34" s="922" cm="1" t="str">
        <f t="array" ref="F34:F34">OFFSET(G34,-1,-1)</f>
        <v>0</v>
      </c>
      <c r="H34" s="213" cm="1" t="str">
        <f t="array" ref="H34:H34">AC34</f>
        <v>0</v>
      </c>
      <c r="I34" s="215" t="s">
        <v>930</v>
      </c>
      <c r="S34" s="158"/>
      <c r="T34" s="923">
        <f>AND(F34&gt;0,Y34&gt;0)</f>
        <v>0</v>
      </c>
      <c r="W34" s="171" t="s">
        <v>234</v>
      </c>
      <c r="Y34" s="171">
        <v>0</v>
      </c>
      <c r="AA34" s="1415" t="s">
        <v>218</v>
      </c>
      <c r="AB34" s="216" t="str">
        <f>"1.5."&amp;Y34</f>
        <v>1.5.0</v>
      </c>
      <c r="AC34" s="100"/>
      <c r="AD34" s="156" t="s">
        <v>810</v>
      </c>
      <c r="AE34" s="1869">
        <f>AE35*AE36</f>
        <v>0</v>
      </c>
      <c r="AF34" s="1663"/>
      <c r="AG34" s="1663"/>
      <c r="AH34" s="1869">
        <f>AH35*AH36</f>
        <v>0</v>
      </c>
      <c r="AI34" s="1663"/>
      <c r="AJ34" s="1663"/>
      <c r="AK34" s="1663"/>
      <c r="AL34" s="1663"/>
      <c r="AM34" s="1663"/>
      <c r="AN34" s="1663"/>
      <c r="AO34" s="1663"/>
      <c r="AP34" s="1663"/>
      <c r="AQ34" s="1663"/>
      <c r="AR34" s="1663"/>
      <c r="AS34" s="1869">
        <f>AS35*AS36</f>
        <v>0</v>
      </c>
      <c r="AT34" s="1869">
        <f>AT35*AT36</f>
        <v>0</v>
      </c>
      <c r="AU34" s="1869">
        <f>AU35*AU36</f>
        <v>0</v>
      </c>
      <c r="AV34" s="1869">
        <f>AV35*AV36</f>
        <v>0</v>
      </c>
      <c r="AW34" s="1869">
        <f>AW35*AW36</f>
        <v>0</v>
      </c>
      <c r="AX34" s="1869">
        <f>AX35*AX36</f>
        <v>0</v>
      </c>
      <c r="AY34" s="1869">
        <f>AY35*AY36</f>
        <v>0</v>
      </c>
      <c r="AZ34" s="1869">
        <f>AZ35*AZ36</f>
        <v>0</v>
      </c>
      <c r="BA34" s="1869">
        <f>BA35*BA36</f>
        <v>0</v>
      </c>
      <c r="BB34" s="1869">
        <f>BB35*BB36</f>
        <v>0</v>
      </c>
      <c r="BC34" s="1719"/>
      <c r="BF34" s="1184" t="s">
        <v>944</v>
      </c>
      <c r="BG34" s="1190" t="s">
        <v>945</v>
      </c>
      <c r="BH34" s="1190" cm="1" t="str">
        <f t="array" ref="BH34:BH34">AC34</f>
        <v>0</v>
      </c>
      <c r="BI34" s="1191"/>
      <c r="BJ34" s="1191" t="b">
        <v>1</v>
      </c>
    </row>
    <row s="792" customFormat="1" customHeight="1" ht="16.672500000000003" hidden="1">
      <c r="E35" s="803">
        <v>17.1</v>
      </c>
      <c r="F35" s="922" cm="1" t="str">
        <f t="array" ref="F35:F35">OFFSET(G35,-1,-1)</f>
        <v>0</v>
      </c>
      <c r="H35" s="213" cm="1" t="str">
        <f t="array" ref="H35:H35">H34</f>
        <v>0</v>
      </c>
      <c r="S35" s="158"/>
      <c r="T35" s="923" cm="1" t="str">
        <f t="array" ref="T35:T35">T34</f>
        <v>false</v>
      </c>
      <c r="AA35" s="1415"/>
      <c r="AB35" s="815" t="str">
        <f>AB34&amp;".1"</f>
        <v>1.5.0.1</v>
      </c>
      <c r="AC35" s="784" t="s">
        <v>946</v>
      </c>
      <c r="AD35" s="174" t="s">
        <v>947</v>
      </c>
      <c r="AE35" s="101"/>
      <c r="AF35" s="1379">
        <f>IF(AF36=0,0,AF34/AF36)</f>
        <v>0</v>
      </c>
      <c r="AG35" s="1379">
        <f>IF(AG36=0,0,AG34/AG36)</f>
        <v>0</v>
      </c>
      <c r="AH35" s="101"/>
      <c r="AI35" s="1379">
        <f>IF(AI36=0,0,AI34/AI36)</f>
        <v>0</v>
      </c>
      <c r="AJ35" s="1379">
        <f>IF(AJ36=0,0,AJ34/AJ36)</f>
        <v>0</v>
      </c>
      <c r="AK35" s="1379">
        <f>IF(AK36=0,0,AK34/AK36)</f>
        <v>0</v>
      </c>
      <c r="AL35" s="1379">
        <f>IF(AL36=0,0,AL34/AL36)</f>
        <v>0</v>
      </c>
      <c r="AM35" s="1379">
        <f>IF(AM36=0,0,AM34/AM36)</f>
        <v>0</v>
      </c>
      <c r="AN35" s="1379">
        <f>IF(AN36=0,0,AN34/AN36)</f>
        <v>0</v>
      </c>
      <c r="AO35" s="1379">
        <f>IF(AO36=0,0,AO34/AO36)</f>
        <v>0</v>
      </c>
      <c r="AP35" s="1379">
        <f>IF(AP36=0,0,AP34/AP36)</f>
        <v>0</v>
      </c>
      <c r="AQ35" s="1379">
        <f>IF(AQ36=0,0,AQ34/AQ36)</f>
        <v>0</v>
      </c>
      <c r="AR35" s="1379">
        <f>IF(AR36=0,0,AR34/AR36)</f>
        <v>0</v>
      </c>
      <c r="AS35" s="1870"/>
      <c r="AT35" s="101"/>
      <c r="AU35" s="101"/>
      <c r="AV35" s="101"/>
      <c r="AW35" s="101"/>
      <c r="AX35" s="101"/>
      <c r="AY35" s="101"/>
      <c r="AZ35" s="101"/>
      <c r="BA35" s="101"/>
      <c r="BB35" s="101"/>
      <c r="BC35" s="69"/>
      <c r="BF35" s="1184" t="s">
        <v>948</v>
      </c>
      <c r="BG35" s="1190" t="s">
        <v>945</v>
      </c>
      <c r="BH35" s="1190" cm="1" t="str">
        <f t="array" ref="BH35:BH35">BH34</f>
        <v>0</v>
      </c>
      <c r="BI35" s="1191"/>
      <c r="BJ35" s="1191"/>
    </row>
    <row s="1462" customFormat="1" customHeight="1" ht="16.672500000000003" hidden="1">
      <c r="A36" s="1125" t="str">
        <f>"checkVolume_1."&amp;F36&amp;"."&amp;Y34</f>
        <v>checkVolume_1.0.0</v>
      </c>
      <c r="E36" s="803">
        <v>17.1</v>
      </c>
      <c r="F36" s="922" cm="1" t="str">
        <f t="array" ref="F36:F36">OFFSET(G36,-1,-1)</f>
        <v>0</v>
      </c>
      <c r="H36" s="213" cm="1" t="str">
        <f t="array" ref="H36:H36">H34</f>
        <v>0</v>
      </c>
      <c r="S36" s="158"/>
      <c r="T36" s="923" cm="1" t="str">
        <f t="array" ref="T36:T36">T34</f>
        <v>false</v>
      </c>
      <c r="AA36" s="1415"/>
      <c r="AB36" s="815" t="str">
        <f>AB34&amp;".2"</f>
        <v>1.5.0.2</v>
      </c>
      <c r="AC36" s="784" t="s">
        <v>949</v>
      </c>
      <c r="AD36" s="174" t="s">
        <v>733</v>
      </c>
      <c r="AE36" s="101"/>
      <c r="AF36" s="101"/>
      <c r="AG36" s="101"/>
      <c r="AH36" s="101"/>
      <c r="AI36" s="1870"/>
      <c r="AJ36" s="101"/>
      <c r="AK36" s="101"/>
      <c r="AL36" s="101"/>
      <c r="AM36" s="101"/>
      <c r="AN36" s="101"/>
      <c r="AO36" s="101"/>
      <c r="AP36" s="101"/>
      <c r="AQ36" s="101"/>
      <c r="AR36" s="101"/>
      <c r="AS36" s="1870"/>
      <c r="AT36" s="101"/>
      <c r="AU36" s="101"/>
      <c r="AV36" s="101"/>
      <c r="AW36" s="101"/>
      <c r="AX36" s="101"/>
      <c r="AY36" s="101"/>
      <c r="AZ36" s="101"/>
      <c r="BA36" s="101"/>
      <c r="BB36" s="101"/>
      <c r="BC36" s="69"/>
      <c r="BF36" s="1184" t="s">
        <v>950</v>
      </c>
      <c r="BG36" s="1190" t="s">
        <v>945</v>
      </c>
      <c r="BH36" s="1190" cm="1" t="str">
        <f t="array" ref="BH36:BH36">BH34</f>
        <v>0</v>
      </c>
      <c r="BI36" s="1191"/>
      <c r="BJ36" s="1191"/>
    </row>
    <row s="965" customFormat="1" customHeight="1" ht="16.672500000000003" hidden="1">
      <c r="E37" s="797">
        <v>17.1</v>
      </c>
      <c r="F37" s="922" cm="1" t="str">
        <f t="array" ref="F37:F37">OFFSET(G37,-1,-1)</f>
        <v>0</v>
      </c>
      <c r="T37" s="923">
        <f>F37&gt;0</f>
        <v>0</v>
      </c>
      <c r="W37" s="374" t="s">
        <v>951</v>
      </c>
      <c r="AB37" s="816"/>
      <c r="AC37" s="783" t="s">
        <v>236</v>
      </c>
      <c r="AD37" s="783"/>
      <c r="AE37" s="783"/>
      <c r="AF37" s="783"/>
      <c r="AG37" s="783"/>
      <c r="AH37" s="783"/>
      <c r="AI37" s="783"/>
      <c r="AJ37" s="783"/>
      <c r="AK37" s="783"/>
      <c r="AL37" s="783"/>
      <c r="AM37" s="783"/>
      <c r="AN37" s="783"/>
      <c r="AO37" s="783"/>
      <c r="AP37" s="783"/>
      <c r="AQ37" s="783"/>
      <c r="AR37" s="783"/>
      <c r="AS37" s="783"/>
      <c r="AT37" s="783"/>
      <c r="AU37" s="783"/>
      <c r="AV37" s="783"/>
      <c r="AW37" s="783"/>
      <c r="AX37" s="783"/>
      <c r="AY37" s="783"/>
      <c r="AZ37" s="783"/>
      <c r="BA37" s="783"/>
      <c r="BB37" s="783"/>
      <c r="BC37" s="1095"/>
      <c r="BF37" s="1173"/>
      <c r="BG37" s="1173"/>
      <c r="BH37" s="1173"/>
      <c r="BI37" s="1189" t="s">
        <v>945</v>
      </c>
      <c r="BJ37" s="1189"/>
    </row>
    <row s="1462" customFormat="1" customHeight="1" ht="16.672500000000003" hidden="1">
      <c r="E38" s="803">
        <v>17.1</v>
      </c>
      <c r="F38" s="922" cm="1" t="str">
        <f t="array" ref="F38:F38">OFFSET(G38,-1,-1)</f>
        <v>0</v>
      </c>
      <c r="S38" s="158"/>
      <c r="T38" s="923">
        <f>F38&gt;0</f>
        <v>0</v>
      </c>
      <c r="AB38" s="785"/>
      <c r="AC38" s="343" t="s">
        <v>952</v>
      </c>
      <c r="AD38" s="344"/>
      <c r="AE38" s="345"/>
      <c r="AF38" s="345"/>
      <c r="AG38" s="345"/>
      <c r="AH38" s="345"/>
      <c r="AI38" s="345"/>
      <c r="AJ38" s="345"/>
      <c r="AK38" s="345"/>
      <c r="AL38" s="345"/>
      <c r="AM38" s="345"/>
      <c r="AN38" s="345"/>
      <c r="AO38" s="345"/>
      <c r="AP38" s="345"/>
      <c r="AQ38" s="345"/>
      <c r="AR38" s="345"/>
      <c r="AS38" s="345"/>
      <c r="AT38" s="345"/>
      <c r="AU38" s="345"/>
      <c r="AV38" s="345"/>
      <c r="AW38" s="345"/>
      <c r="AX38" s="345"/>
      <c r="AY38" s="345"/>
      <c r="AZ38" s="345"/>
      <c r="BA38" s="345"/>
      <c r="BB38" s="345"/>
      <c r="BC38" s="1096"/>
      <c r="BF38" s="1184"/>
      <c r="BG38" s="1190"/>
      <c r="BH38" s="1190"/>
      <c r="BI38" s="1191"/>
      <c r="BJ38" s="1191"/>
    </row>
    <row s="1462" customFormat="1" customHeight="1" ht="16.672500000000003" hidden="1">
      <c r="E39" s="803">
        <v>17.1</v>
      </c>
      <c r="F39" s="922" cm="1" t="str">
        <f t="array" ref="F39:F39">OFFSET(G39,-1,-1)</f>
        <v>0</v>
      </c>
      <c r="H39" s="213" cm="1" t="str">
        <f t="array" ref="H39:H39">AC39</f>
        <v>0</v>
      </c>
      <c r="I39" s="215" t="s">
        <v>930</v>
      </c>
      <c r="S39" s="158"/>
      <c r="T39" s="923">
        <f>AND(F39&gt;0,Y39&gt;0)</f>
        <v>0</v>
      </c>
      <c r="W39" s="171" t="s">
        <v>234</v>
      </c>
      <c r="Y39" s="171">
        <v>0</v>
      </c>
      <c r="AA39" s="1415" t="s">
        <v>218</v>
      </c>
      <c r="AB39" s="216" t="str">
        <f>"1.6."&amp;Y39</f>
        <v>1.6.0</v>
      </c>
      <c r="AC39" s="100"/>
      <c r="AD39" s="156" t="s">
        <v>810</v>
      </c>
      <c r="AE39" s="1869">
        <f>AE41+AE43</f>
        <v>0</v>
      </c>
      <c r="AF39" s="1869">
        <f>AF41+AF43</f>
        <v>0</v>
      </c>
      <c r="AG39" s="1869">
        <f>AG41+AG43</f>
        <v>0</v>
      </c>
      <c r="AH39" s="1869">
        <f>AH41+AH43</f>
        <v>0</v>
      </c>
      <c r="AI39" s="1869">
        <f>AI41+AI43</f>
        <v>0</v>
      </c>
      <c r="AJ39" s="1663">
        <f>AJ41+AJ43</f>
        <v>0</v>
      </c>
      <c r="AK39" s="1663">
        <f>AK41+AK43</f>
        <v>0</v>
      </c>
      <c r="AL39" s="1663">
        <f>AL41+AL43</f>
        <v>0</v>
      </c>
      <c r="AM39" s="1663">
        <f>AM41+AM43</f>
        <v>0</v>
      </c>
      <c r="AN39" s="1663">
        <f>AN41+AN43</f>
        <v>0</v>
      </c>
      <c r="AO39" s="1663">
        <f>AO41+AO43</f>
        <v>0</v>
      </c>
      <c r="AP39" s="1663">
        <f>AP41+AP43</f>
        <v>0</v>
      </c>
      <c r="AQ39" s="1663">
        <f>AQ41+AQ43</f>
        <v>0</v>
      </c>
      <c r="AR39" s="1663">
        <f>AR41+AR43</f>
        <v>0</v>
      </c>
      <c r="AS39" s="1869">
        <f>AS41+AS43</f>
        <v>0</v>
      </c>
      <c r="AT39" s="1663">
        <f>AT41+AT43</f>
        <v>0</v>
      </c>
      <c r="AU39" s="1663">
        <f>AU41+AU43</f>
        <v>0</v>
      </c>
      <c r="AV39" s="1663">
        <f>AV41+AV43</f>
        <v>0</v>
      </c>
      <c r="AW39" s="1663">
        <f>AW41+AW43</f>
        <v>0</v>
      </c>
      <c r="AX39" s="1663">
        <f>AX41+AX43</f>
        <v>0</v>
      </c>
      <c r="AY39" s="1663">
        <f>AY41+AY43</f>
        <v>0</v>
      </c>
      <c r="AZ39" s="1663">
        <f>AZ41+AZ43</f>
        <v>0</v>
      </c>
      <c r="BA39" s="1663">
        <f>BA41+BA43</f>
        <v>0</v>
      </c>
      <c r="BB39" s="1663">
        <f>BB41+BB43</f>
        <v>0</v>
      </c>
      <c r="BC39" s="1719"/>
      <c r="BF39" s="1184" t="s">
        <v>953</v>
      </c>
      <c r="BG39" s="1190" t="s">
        <v>954</v>
      </c>
      <c r="BH39" s="1190" cm="1" t="str">
        <f t="array" ref="BH39:BH39">AC39</f>
        <v>0</v>
      </c>
      <c r="BI39" s="1191"/>
      <c r="BJ39" s="1191" t="b">
        <v>1</v>
      </c>
    </row>
    <row s="792" customFormat="1" customHeight="1" ht="16.672500000000003" hidden="1">
      <c r="E40" s="803">
        <v>17.1</v>
      </c>
      <c r="F40" s="922" cm="1" t="str">
        <f t="array" ref="F40:F40">OFFSET(G40,-1,-1)</f>
        <v>0</v>
      </c>
      <c r="H40" s="213" cm="1" t="str">
        <f t="array" ref="H40:H40">H39</f>
        <v>0</v>
      </c>
      <c r="S40" s="158"/>
      <c r="T40" s="923" cm="1" t="str">
        <f t="array" ref="T40:T40">T39</f>
        <v>false</v>
      </c>
      <c r="AA40" s="1415"/>
      <c r="AB40" s="216" t="str">
        <f>AB39&amp;".1"</f>
        <v>1.6.0.1</v>
      </c>
      <c r="AC40" s="276" t="s">
        <v>946</v>
      </c>
      <c r="AD40" s="156" t="s">
        <v>947</v>
      </c>
      <c r="AE40" s="58"/>
      <c r="AF40" s="267">
        <f>IF(AF42=0,0,AF41/AF42)</f>
        <v>0</v>
      </c>
      <c r="AG40" s="267">
        <f>IF(AG42=0,0,AG41/AG42)</f>
        <v>0</v>
      </c>
      <c r="AH40" s="58"/>
      <c r="AI40" s="267">
        <f>IF(AI42=0,0,AI41/AI42)</f>
        <v>0</v>
      </c>
      <c r="AJ40" s="267">
        <f>IF(AJ42=0,0,AJ41/AJ42)</f>
        <v>0</v>
      </c>
      <c r="AK40" s="267">
        <f>IF(AK42=0,0,AK41/AK42)</f>
        <v>0</v>
      </c>
      <c r="AL40" s="267">
        <f>IF(AL42=0,0,AL41/AL42)</f>
        <v>0</v>
      </c>
      <c r="AM40" s="267">
        <f>IF(AM42=0,0,AM41/AM42)</f>
        <v>0</v>
      </c>
      <c r="AN40" s="267">
        <f>IF(AN42=0,0,AN41/AN42)</f>
        <v>0</v>
      </c>
      <c r="AO40" s="267">
        <f>IF(AO42=0,0,AO41/AO42)</f>
        <v>0</v>
      </c>
      <c r="AP40" s="267">
        <f>IF(AP42=0,0,AP41/AP42)</f>
        <v>0</v>
      </c>
      <c r="AQ40" s="267">
        <f>IF(AQ42=0,0,AQ41/AQ42)</f>
        <v>0</v>
      </c>
      <c r="AR40" s="267">
        <f>IF(AR42=0,0,AR41/AR42)</f>
        <v>0</v>
      </c>
      <c r="AS40" s="1663"/>
      <c r="AT40" s="58"/>
      <c r="AU40" s="58"/>
      <c r="AV40" s="58"/>
      <c r="AW40" s="58"/>
      <c r="AX40" s="58"/>
      <c r="AY40" s="58"/>
      <c r="AZ40" s="58"/>
      <c r="BA40" s="58"/>
      <c r="BB40" s="58"/>
      <c r="BC40" s="73"/>
      <c r="BF40" s="1184" t="s">
        <v>948</v>
      </c>
      <c r="BG40" s="1190" t="s">
        <v>954</v>
      </c>
      <c r="BH40" s="1190" cm="1" t="str">
        <f t="array" ref="BH40:BH40">BH39</f>
        <v>0</v>
      </c>
      <c r="BI40" s="1191"/>
      <c r="BJ40" s="1191"/>
    </row>
    <row s="1462" customFormat="1" customHeight="1" ht="16.672500000000003" hidden="1">
      <c r="A41" s="1125" t="str">
        <f>"checkCosts_2."&amp;F41&amp;"."&amp;Y39</f>
        <v>checkCosts_2.0.0</v>
      </c>
      <c r="E41" s="803">
        <v>17.1</v>
      </c>
      <c r="F41" s="922" cm="1" t="str">
        <f t="array" ref="F41:F41">OFFSET(G41,-1,-1)</f>
        <v>0</v>
      </c>
      <c r="H41" s="213" cm="1" t="str">
        <f t="array" ref="H41:H41">H39</f>
        <v>0</v>
      </c>
      <c r="S41" s="158"/>
      <c r="T41" s="923" cm="1" t="str">
        <f t="array" ref="T41:T41">T39</f>
        <v>false</v>
      </c>
      <c r="AA41" s="1415"/>
      <c r="AB41" s="216" t="str">
        <f>AB39&amp;".2"</f>
        <v>1.6.0.2</v>
      </c>
      <c r="AC41" s="276" t="s">
        <v>955</v>
      </c>
      <c r="AD41" s="156" t="s">
        <v>810</v>
      </c>
      <c r="AE41" s="58"/>
      <c r="AF41" s="58"/>
      <c r="AG41" s="58"/>
      <c r="AH41" s="58"/>
      <c r="AI41" s="1663"/>
      <c r="AJ41" s="58"/>
      <c r="AK41" s="58"/>
      <c r="AL41" s="58"/>
      <c r="AM41" s="58"/>
      <c r="AN41" s="58"/>
      <c r="AO41" s="58"/>
      <c r="AP41" s="58"/>
      <c r="AQ41" s="58"/>
      <c r="AR41" s="58"/>
      <c r="AS41" s="1663"/>
      <c r="AT41" s="58"/>
      <c r="AU41" s="58"/>
      <c r="AV41" s="58"/>
      <c r="AW41" s="58"/>
      <c r="AX41" s="58"/>
      <c r="AY41" s="58"/>
      <c r="AZ41" s="58"/>
      <c r="BA41" s="58"/>
      <c r="BB41" s="58"/>
      <c r="BC41" s="73"/>
      <c r="BF41" s="1184" t="s">
        <v>944</v>
      </c>
      <c r="BG41" s="1190" t="s">
        <v>954</v>
      </c>
      <c r="BH41" s="1190" cm="1" t="str">
        <f t="array" ref="BH41:BH41">BH39</f>
        <v>0</v>
      </c>
      <c r="BI41" s="1191"/>
      <c r="BJ41" s="1191"/>
    </row>
    <row s="1462" customFormat="1" customHeight="1" ht="16.672500000000003" hidden="1">
      <c r="A42" s="1125" t="str">
        <f>"checkVolume_2."&amp;F42&amp;"."&amp;Y39</f>
        <v>checkVolume_2.0.0</v>
      </c>
      <c r="E42" s="803">
        <v>17.1</v>
      </c>
      <c r="F42" s="922" cm="1" t="str">
        <f t="array" ref="F42:F42">OFFSET(G42,-1,-1)</f>
        <v>0</v>
      </c>
      <c r="H42" s="213" cm="1" t="str">
        <f t="array" ref="H42:H42">H41</f>
        <v>0</v>
      </c>
      <c r="S42" s="158"/>
      <c r="T42" s="923" cm="1" t="str">
        <f t="array" ref="T42:T42">T41</f>
        <v>false</v>
      </c>
      <c r="AA42" s="1415"/>
      <c r="AB42" s="216" t="str">
        <f>AB39&amp;".2.1"</f>
        <v>1.6.0.2.1</v>
      </c>
      <c r="AC42" s="418" t="s">
        <v>949</v>
      </c>
      <c r="AD42" s="170" t="s">
        <v>733</v>
      </c>
      <c r="AE42" s="58"/>
      <c r="AF42" s="58"/>
      <c r="AG42" s="58"/>
      <c r="AH42" s="58"/>
      <c r="AI42" s="1663"/>
      <c r="AJ42" s="58"/>
      <c r="AK42" s="58"/>
      <c r="AL42" s="58"/>
      <c r="AM42" s="58"/>
      <c r="AN42" s="58"/>
      <c r="AO42" s="58"/>
      <c r="AP42" s="58"/>
      <c r="AQ42" s="58"/>
      <c r="AR42" s="58"/>
      <c r="AS42" s="1663"/>
      <c r="AT42" s="58"/>
      <c r="AU42" s="58"/>
      <c r="AV42" s="58"/>
      <c r="AW42" s="58"/>
      <c r="AX42" s="58"/>
      <c r="AY42" s="58"/>
      <c r="AZ42" s="58"/>
      <c r="BA42" s="58"/>
      <c r="BB42" s="58"/>
      <c r="BC42" s="73"/>
      <c r="BF42" s="1184" t="s">
        <v>950</v>
      </c>
      <c r="BG42" s="1190" t="s">
        <v>954</v>
      </c>
      <c r="BH42" s="1190" cm="1" t="str">
        <f t="array" ref="BH42:BH42">BH41</f>
        <v>0</v>
      </c>
      <c r="BI42" s="1191"/>
      <c r="BJ42" s="1191"/>
    </row>
    <row s="1462" customFormat="1" customHeight="1" ht="16.672500000000003" hidden="1">
      <c r="A43" s="1125" t="str">
        <f>"checkCosts_3."&amp;F43&amp;"."&amp;Y39</f>
        <v>checkCosts_3.0.0</v>
      </c>
      <c r="E43" s="803">
        <v>17.1</v>
      </c>
      <c r="F43" s="922" cm="1" t="str">
        <f t="array" ref="F43:F43">OFFSET(G43,-1,-1)</f>
        <v>0</v>
      </c>
      <c r="H43" s="213" cm="1" t="str">
        <f t="array" ref="H43:H43">H42</f>
        <v>0</v>
      </c>
      <c r="S43" s="158"/>
      <c r="T43" s="923" cm="1" t="str">
        <f t="array" ref="T43:T43">T42</f>
        <v>false</v>
      </c>
      <c r="AA43" s="1415"/>
      <c r="AB43" s="216" t="str">
        <f>AB39&amp;".3"</f>
        <v>1.6.0.3</v>
      </c>
      <c r="AC43" s="276" t="s">
        <v>956</v>
      </c>
      <c r="AD43" s="156" t="s">
        <v>957</v>
      </c>
      <c r="AE43" s="58"/>
      <c r="AF43" s="58"/>
      <c r="AG43" s="58"/>
      <c r="AH43" s="58"/>
      <c r="AI43" s="1663"/>
      <c r="AJ43" s="58"/>
      <c r="AK43" s="58"/>
      <c r="AL43" s="58"/>
      <c r="AM43" s="58"/>
      <c r="AN43" s="58"/>
      <c r="AO43" s="58"/>
      <c r="AP43" s="58"/>
      <c r="AQ43" s="58"/>
      <c r="AR43" s="58"/>
      <c r="AS43" s="1663"/>
      <c r="AT43" s="58"/>
      <c r="AU43" s="58"/>
      <c r="AV43" s="58"/>
      <c r="AW43" s="58"/>
      <c r="AX43" s="58"/>
      <c r="AY43" s="58"/>
      <c r="AZ43" s="58"/>
      <c r="BA43" s="58"/>
      <c r="BB43" s="58"/>
      <c r="BC43" s="73"/>
      <c r="BF43" s="1184" t="s">
        <v>958</v>
      </c>
      <c r="BG43" s="1190" t="s">
        <v>954</v>
      </c>
      <c r="BH43" s="1190" cm="1" t="str">
        <f t="array" ref="BH43:BH43">BH42</f>
        <v>0</v>
      </c>
      <c r="BI43" s="1191"/>
      <c r="BJ43" s="1191"/>
    </row>
    <row s="1462" customFormat="1" customHeight="1" ht="16.672500000000003" hidden="1">
      <c r="A44" s="1125" t="str">
        <f>"checkVolume_3."&amp;F44&amp;"."&amp;Y39</f>
        <v>checkVolume_3.0.0</v>
      </c>
      <c r="E44" s="803">
        <v>17.1</v>
      </c>
      <c r="F44" s="922" cm="1" t="str">
        <f t="array" ref="F44:F44">OFFSET(G44,-1,-1)</f>
        <v>0</v>
      </c>
      <c r="H44" s="213" cm="1" t="str">
        <f t="array" ref="H44:H44">H43</f>
        <v>0</v>
      </c>
      <c r="S44" s="158"/>
      <c r="T44" s="923" cm="1" t="str">
        <f t="array" ref="T44:T44">T43</f>
        <v>false</v>
      </c>
      <c r="AA44" s="1415"/>
      <c r="AB44" s="815" t="str">
        <f>AB39&amp;".3.1"</f>
        <v>1.6.0.3.1</v>
      </c>
      <c r="AC44" s="781" t="s">
        <v>959</v>
      </c>
      <c r="AD44" s="174" t="s">
        <v>960</v>
      </c>
      <c r="AE44" s="101"/>
      <c r="AF44" s="101"/>
      <c r="AG44" s="101"/>
      <c r="AH44" s="101"/>
      <c r="AI44" s="1870"/>
      <c r="AJ44" s="101"/>
      <c r="AK44" s="101"/>
      <c r="AL44" s="101"/>
      <c r="AM44" s="101"/>
      <c r="AN44" s="101"/>
      <c r="AO44" s="101"/>
      <c r="AP44" s="101"/>
      <c r="AQ44" s="101"/>
      <c r="AR44" s="101"/>
      <c r="AS44" s="1870"/>
      <c r="AT44" s="101"/>
      <c r="AU44" s="101"/>
      <c r="AV44" s="101"/>
      <c r="AW44" s="101"/>
      <c r="AX44" s="101"/>
      <c r="AY44" s="101"/>
      <c r="AZ44" s="101"/>
      <c r="BA44" s="101"/>
      <c r="BB44" s="101"/>
      <c r="BC44" s="69"/>
      <c r="BF44" s="1184" t="s">
        <v>961</v>
      </c>
      <c r="BG44" s="1190" t="s">
        <v>954</v>
      </c>
      <c r="BH44" s="1190" cm="1" t="str">
        <f t="array" ref="BH44:BH44">BH43</f>
        <v>0</v>
      </c>
      <c r="BI44" s="1191"/>
      <c r="BJ44" s="1191"/>
    </row>
    <row s="965" customFormat="1" customHeight="1" ht="16.672500000000003" hidden="1">
      <c r="E45" s="797">
        <v>17.1</v>
      </c>
      <c r="F45" s="922" cm="1" t="str">
        <f t="array" ref="F45:F45">OFFSET(G45,-1,-1)</f>
        <v>0</v>
      </c>
      <c r="T45" s="923">
        <f>F45&gt;0</f>
        <v>0</v>
      </c>
      <c r="W45" s="374" t="s">
        <v>962</v>
      </c>
      <c r="AB45" s="816"/>
      <c r="AC45" s="783" t="s">
        <v>963</v>
      </c>
      <c r="AD45" s="783"/>
      <c r="AE45" s="783"/>
      <c r="AF45" s="783"/>
      <c r="AG45" s="783"/>
      <c r="AH45" s="783"/>
      <c r="AI45" s="783"/>
      <c r="AJ45" s="783"/>
      <c r="AK45" s="783"/>
      <c r="AL45" s="783"/>
      <c r="AM45" s="783"/>
      <c r="AN45" s="783"/>
      <c r="AO45" s="783"/>
      <c r="AP45" s="783"/>
      <c r="AQ45" s="783"/>
      <c r="AR45" s="783"/>
      <c r="AS45" s="783"/>
      <c r="AT45" s="783"/>
      <c r="AU45" s="783"/>
      <c r="AV45" s="783"/>
      <c r="AW45" s="783"/>
      <c r="AX45" s="783"/>
      <c r="AY45" s="783"/>
      <c r="AZ45" s="783"/>
      <c r="BA45" s="783"/>
      <c r="BB45" s="783"/>
      <c r="BC45" s="1095"/>
      <c r="BF45" s="1173"/>
      <c r="BG45" s="1173"/>
      <c r="BH45" s="1173"/>
      <c r="BI45" s="1189" t="s">
        <v>954</v>
      </c>
      <c r="BJ45" s="1189"/>
    </row>
    <row s="965" customFormat="1" customHeight="1" ht="12" hidden="1">
      <c r="E46" s="797">
        <v>0</v>
      </c>
      <c r="F46" s="922" cm="1" t="str">
        <f t="array" ref="F46:F46">OFFSET(G46,-1,-1)</f>
        <v>0</v>
      </c>
      <c r="T46" s="923">
        <f>F46&gt;0</f>
        <v>0</v>
      </c>
      <c r="BF46" s="1173"/>
      <c r="BG46" s="1173"/>
      <c r="BH46" s="1173"/>
      <c r="BI46" s="1189"/>
      <c r="BJ46" s="1189"/>
    </row>
    <row s="223" customFormat="1" customHeight="1" ht="14.625" hidden="1">
      <c r="E47" s="924">
        <v>15</v>
      </c>
      <c r="F47" s="922" cm="1" t="str">
        <f t="array" ref="F47:F47">OFFSET(G47,-1,-1)</f>
        <v>0</v>
      </c>
      <c r="G47" s="193" t="s">
        <v>964</v>
      </c>
      <c r="I47" s="215" t="s">
        <v>930</v>
      </c>
      <c r="T47" s="923">
        <f>F47&gt;0</f>
        <v>0</v>
      </c>
      <c r="AB47" s="817">
        <v>2</v>
      </c>
      <c r="AC47" s="786" t="s">
        <v>965</v>
      </c>
      <c r="AD47" s="787" t="s">
        <v>810</v>
      </c>
      <c r="AE47" s="282">
        <f>SUMIF($I51:$I67,$I47,AE51:AE67)</f>
        <v>0</v>
      </c>
      <c r="AF47" s="282">
        <f>SUMIF($I51:$I67,$I47,AF51:AF67)</f>
        <v>0</v>
      </c>
      <c r="AG47" s="282">
        <f>SUMIF($I51:$I67,$I47,AG51:AG67)</f>
        <v>0</v>
      </c>
      <c r="AH47" s="282">
        <f>SUMIF($I51:$I67,$I47,AH51:AH67)</f>
        <v>0</v>
      </c>
      <c r="AI47" s="282">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2">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2" t="s">
        <v>671</v>
      </c>
      <c r="BG47" s="1192"/>
      <c r="BH47" s="1192"/>
      <c r="BI47" s="1193"/>
      <c r="BJ47" s="1193"/>
    </row>
    <row s="223" customFormat="1" customHeight="1" ht="14.625" hidden="1">
      <c r="E48" s="924">
        <v>15</v>
      </c>
      <c r="F48" s="922" cm="1" t="str">
        <f t="array" ref="F48:F48">OFFSET(G48,-1,-1)</f>
        <v>0</v>
      </c>
      <c r="G48" s="193" t="s">
        <v>966</v>
      </c>
      <c r="L48" s="213" cm="1" t="str">
        <f t="array" ref="L48:L48">INDEX('Общие сведения'!$AK$169:$AK$202,MATCH($F48,'Общие сведения'!$Z$169:$Z$202,0))</f>
        <v>0</v>
      </c>
      <c r="R48" s="193" t="s">
        <v>967</v>
      </c>
      <c r="T48" s="923">
        <f>AND(F48&gt;0,L48="двухставочный")</f>
        <v>0</v>
      </c>
      <c r="AA48" s="921" t="s">
        <v>968</v>
      </c>
      <c r="AB48" s="288" t="s">
        <v>968</v>
      </c>
      <c r="AC48" s="590" t="s">
        <v>969</v>
      </c>
      <c r="AD48" s="610" t="s">
        <v>810</v>
      </c>
      <c r="AE48" s="669">
        <f>_xlfn.SUMIFS(AE51:AE67,$AC51:$AC67,$AC48)</f>
        <v>0</v>
      </c>
      <c r="AF48" s="669">
        <f>_xlfn.SUMIFS(AF51:AF67,$AC51:$AC67,$AC48)</f>
        <v>0</v>
      </c>
      <c r="AG48" s="669">
        <f>_xlfn.SUMIFS(AG51:AG67,$AC51:$AC67,$AC48)</f>
        <v>0</v>
      </c>
      <c r="AH48" s="669">
        <f>_xlfn.SUMIFS(AH51:AH67,$AC51:$AC67,$AC48)</f>
        <v>0</v>
      </c>
      <c r="AI48" s="669">
        <f>_xlfn.SUMIFS(AI51:AI67,$AC51:$AC67,$AC48)</f>
        <v>0</v>
      </c>
      <c r="AJ48" s="66">
        <f>_xlfn.SUMIFS(AJ51:AJ67,$AC51:$AC67,$AC48)</f>
        <v>0</v>
      </c>
      <c r="AK48" s="6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9">
        <f>_xlfn.SUMIFS(AS51:AS67,$AC51:$AC67,$AC48)</f>
        <v>0</v>
      </c>
      <c r="AT48" s="66">
        <f>_xlfn.SUMIFS(AT51:AT67,$AC51:$AC67,$AC48)</f>
        <v>0</v>
      </c>
      <c r="AU48" s="6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79"/>
      <c r="BF48" s="1192" t="s">
        <v>970</v>
      </c>
      <c r="BG48" s="1192"/>
      <c r="BH48" s="1192"/>
      <c r="BI48" s="1193"/>
      <c r="BJ48" s="1193"/>
    </row>
    <row s="223" customFormat="1" customHeight="1" ht="14.625" hidden="1">
      <c r="E49" s="924">
        <v>15</v>
      </c>
      <c r="F49" s="922" cm="1" t="str">
        <f t="array" ref="F49:F49">OFFSET(G49,-1,-1)</f>
        <v>0</v>
      </c>
      <c r="T49" s="923" cm="1" t="str">
        <f t="array" ref="T49:T49">T47</f>
        <v>false</v>
      </c>
      <c r="AB49" s="216" t="s">
        <v>456</v>
      </c>
      <c r="AC49" s="276" t="s">
        <v>971</v>
      </c>
      <c r="AD49" s="154" t="s">
        <v>599</v>
      </c>
      <c r="AE49" s="267">
        <f>SUMIF($AD51:$AD67,$AD49,AE51:AE67)</f>
        <v>0</v>
      </c>
      <c r="AF49" s="267">
        <f>SUMIF($AD51:$AD67,$AD49,AF51:AF67)</f>
        <v>0</v>
      </c>
      <c r="AG49" s="267">
        <f>SUMIF($AD51:$AD67,$AD49,AG51:AG67)</f>
        <v>0</v>
      </c>
      <c r="AH49" s="267">
        <f>SUMIF($AD51:$AD67,$AD49,AH51:AH67)</f>
        <v>0</v>
      </c>
      <c r="AI49" s="267">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7">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2" t="s">
        <v>972</v>
      </c>
      <c r="BG49" s="1192"/>
      <c r="BH49" s="1192"/>
      <c r="BI49" s="1193"/>
      <c r="BJ49" s="1193"/>
    </row>
    <row s="223" customFormat="1" customHeight="1" ht="14.625" hidden="1">
      <c r="E50" s="924">
        <v>15</v>
      </c>
      <c r="F50" s="922" cm="1" t="str">
        <f t="array" ref="F50:F50">OFFSET(G50,-1,-1)</f>
        <v>0</v>
      </c>
      <c r="T50" s="923" cm="1" t="str">
        <f t="array" ref="T50:T50">T49</f>
        <v>false</v>
      </c>
      <c r="AB50" s="216" t="s">
        <v>483</v>
      </c>
      <c r="AC50" s="276" t="s">
        <v>938</v>
      </c>
      <c r="AD50" s="154" t="s">
        <v>973</v>
      </c>
      <c r="AE50" s="267">
        <f>IF(AE49=0,0,AE47/AE49)*1000</f>
        <v>0</v>
      </c>
      <c r="AF50" s="267">
        <f>IF(AF49=0,0,AF47/AF49)*1000</f>
        <v>0</v>
      </c>
      <c r="AG50" s="267">
        <f>IF(AG49=0,0,AG47/AG49)*1000</f>
        <v>0</v>
      </c>
      <c r="AH50" s="267">
        <f>IF(AH49=0,0,AH47/AH49)*1000</f>
        <v>0</v>
      </c>
      <c r="AI50" s="267">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7">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2" t="s">
        <v>974</v>
      </c>
      <c r="BG50" s="1192"/>
      <c r="BH50" s="1192"/>
      <c r="BI50" s="1193"/>
      <c r="BJ50" s="1193"/>
    </row>
    <row s="223" customFormat="1" customHeight="1" ht="14.625" hidden="1">
      <c r="E51" s="924">
        <v>15</v>
      </c>
      <c r="F51" s="922" cm="1" t="str">
        <f t="array" ref="F51:F51">OFFSET(G51,-1,-1)</f>
        <v>0</v>
      </c>
      <c r="T51" s="923" cm="1" t="str">
        <f t="array" ref="T51:T51">T49</f>
        <v>false</v>
      </c>
      <c r="AB51" s="1871"/>
      <c r="AC51" s="343" t="s">
        <v>943</v>
      </c>
      <c r="AD51" s="344"/>
      <c r="AE51" s="345"/>
      <c r="AF51" s="345"/>
      <c r="AG51" s="345"/>
      <c r="AH51" s="345"/>
      <c r="AI51" s="345"/>
      <c r="AJ51" s="345"/>
      <c r="AK51" s="345"/>
      <c r="AL51" s="345"/>
      <c r="AM51" s="345"/>
      <c r="AN51" s="345"/>
      <c r="AO51" s="345"/>
      <c r="AP51" s="345"/>
      <c r="AQ51" s="345"/>
      <c r="AR51" s="345"/>
      <c r="AS51" s="345"/>
      <c r="AT51" s="345"/>
      <c r="AU51" s="345"/>
      <c r="AV51" s="345"/>
      <c r="AW51" s="345"/>
      <c r="AX51" s="345"/>
      <c r="AY51" s="345"/>
      <c r="AZ51" s="345"/>
      <c r="BA51" s="345"/>
      <c r="BB51" s="345"/>
      <c r="BC51" s="1094"/>
      <c r="BF51" s="1192"/>
      <c r="BG51" s="1192"/>
      <c r="BH51" s="1192"/>
      <c r="BI51" s="1193"/>
      <c r="BJ51" s="1193"/>
    </row>
    <row s="223" customFormat="1" customHeight="1" ht="17.25" hidden="1">
      <c r="E52" s="924">
        <v>0</v>
      </c>
      <c r="F52" s="922" cm="1" t="str">
        <f t="array" ref="F52:F52">OFFSET(G52,-1,-1)</f>
        <v>0</v>
      </c>
      <c r="T52" s="923" cm="1" t="str">
        <f t="array" ref="T52:T52">T51</f>
        <v>false</v>
      </c>
      <c r="AB52" s="286"/>
      <c r="AC52" s="281"/>
      <c r="AD52" s="609"/>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93"/>
      <c r="BF52" s="1192"/>
      <c r="BG52" s="1192"/>
      <c r="BH52" s="1192"/>
      <c r="BI52" s="1193"/>
      <c r="BJ52" s="1193"/>
    </row>
    <row s="223" customFormat="1" customHeight="1" ht="14.625" hidden="1">
      <c r="A53" s="1125" t="str">
        <f>"checkCosts_4."&amp;F53&amp;"."&amp;Y53</f>
        <v>checkCosts_4.0.0</v>
      </c>
      <c r="E53" s="924">
        <v>15</v>
      </c>
      <c r="F53" s="922" cm="1" t="str">
        <f t="array" ref="F53:F53">OFFSET(G53,-1,-1)</f>
        <v>0</v>
      </c>
      <c r="H53" s="155" cm="1" t="str">
        <f t="array" ref="H53:H53">AC53</f>
        <v>0</v>
      </c>
      <c r="I53" s="215" t="s">
        <v>930</v>
      </c>
      <c r="T53" s="923">
        <f>AND(F53&gt;0,Y53&gt;0)</f>
        <v>0</v>
      </c>
      <c r="W53" s="171" t="s">
        <v>234</v>
      </c>
      <c r="Y53" s="183">
        <v>0</v>
      </c>
      <c r="AA53" s="1536" t="s">
        <v>218</v>
      </c>
      <c r="AB53" s="288" t="str">
        <f>"2.3."&amp;Y53</f>
        <v>2.3.0</v>
      </c>
      <c r="AC53" s="604"/>
      <c r="AD53" s="610" t="s">
        <v>810</v>
      </c>
      <c r="AE53" s="1872">
        <f>AE55*AE56/1000</f>
        <v>0</v>
      </c>
      <c r="AF53" s="1665"/>
      <c r="AG53" s="1665"/>
      <c r="AH53" s="1872">
        <f>AH55*AH56/1000</f>
        <v>0</v>
      </c>
      <c r="AI53" s="1665"/>
      <c r="AJ53" s="1665"/>
      <c r="AK53" s="1665"/>
      <c r="AL53" s="1665"/>
      <c r="AM53" s="1665"/>
      <c r="AN53" s="1665"/>
      <c r="AO53" s="1665"/>
      <c r="AP53" s="1665"/>
      <c r="AQ53" s="1665"/>
      <c r="AR53" s="1665"/>
      <c r="AS53" s="1872">
        <f>AS55*AS56/1000</f>
        <v>0</v>
      </c>
      <c r="AT53" s="1872">
        <f>AT55*AT56/1000</f>
        <v>0</v>
      </c>
      <c r="AU53" s="1872">
        <f>AU55*AU56/1000</f>
        <v>0</v>
      </c>
      <c r="AV53" s="1872">
        <f>AV55*AV56/1000</f>
        <v>0</v>
      </c>
      <c r="AW53" s="1872">
        <f>AW55*AW56/1000</f>
        <v>0</v>
      </c>
      <c r="AX53" s="1872">
        <f>AX55*AX56/1000</f>
        <v>0</v>
      </c>
      <c r="AY53" s="1872">
        <f>AY55*AY56/1000</f>
        <v>0</v>
      </c>
      <c r="AZ53" s="1872">
        <f>AZ55*AZ56/1000</f>
        <v>0</v>
      </c>
      <c r="BA53" s="1872">
        <f>BA55*BA56/1000</f>
        <v>0</v>
      </c>
      <c r="BB53" s="1872">
        <f>BB55*BB56/1000</f>
        <v>0</v>
      </c>
      <c r="BC53" s="1873"/>
      <c r="BF53" s="1192" t="s">
        <v>975</v>
      </c>
      <c r="BG53" s="1192" t="s">
        <v>976</v>
      </c>
      <c r="BH53" s="1192" cm="1" t="str">
        <f t="array" ref="BH53:BH53">AC53</f>
        <v>0</v>
      </c>
      <c r="BI53" s="1193"/>
      <c r="BJ53" s="1193" t="b">
        <v>1</v>
      </c>
    </row>
    <row s="223" customFormat="1" customHeight="1" ht="14.625" hidden="1">
      <c r="E54" s="924">
        <v>15</v>
      </c>
      <c r="F54" s="922" cm="1" t="str">
        <f t="array" ref="F54:F54">OFFSET(G54,-1,-1)</f>
        <v>0</v>
      </c>
      <c r="L54" s="213" cm="1" t="str">
        <f t="array" ref="L54:L54">INDEX('Общие сведения'!$AK$169:$AK$202,MATCH($F54,'Общие сведения'!$Z$169:$Z$202,0))</f>
        <v>0</v>
      </c>
      <c r="R54" s="193" t="s">
        <v>967</v>
      </c>
      <c r="T54" s="923">
        <f>AND(T53,L54="двухставочный")</f>
        <v>0</v>
      </c>
      <c r="AA54" s="1536"/>
      <c r="AB54" s="288"/>
      <c r="AC54" s="590" t="s">
        <v>969</v>
      </c>
      <c r="AD54" s="610" t="s">
        <v>810</v>
      </c>
      <c r="AE54" s="66"/>
      <c r="AF54" s="66"/>
      <c r="AG54" s="66"/>
      <c r="AH54" s="66"/>
      <c r="AI54" s="1691"/>
      <c r="AJ54" s="66"/>
      <c r="AK54" s="66"/>
      <c r="AL54" s="66"/>
      <c r="AM54" s="66"/>
      <c r="AN54" s="66"/>
      <c r="AO54" s="66"/>
      <c r="AP54" s="66"/>
      <c r="AQ54" s="66"/>
      <c r="AR54" s="66"/>
      <c r="AS54" s="1691"/>
      <c r="AT54" s="66"/>
      <c r="AU54" s="66"/>
      <c r="AV54" s="66"/>
      <c r="AW54" s="66"/>
      <c r="AX54" s="66"/>
      <c r="AY54" s="66"/>
      <c r="AZ54" s="66"/>
      <c r="BA54" s="66"/>
      <c r="BB54" s="66"/>
      <c r="BC54" s="104"/>
      <c r="BF54" s="1192" t="s">
        <v>977</v>
      </c>
      <c r="BG54" s="1192" t="s">
        <v>976</v>
      </c>
      <c r="BH54" s="1192" cm="1" t="str">
        <f t="array" ref="BH54:BH54">BH53</f>
        <v>0</v>
      </c>
      <c r="BI54" s="1193"/>
      <c r="BJ54" s="1193"/>
    </row>
    <row s="223" customFormat="1" customHeight="1" ht="14.625" hidden="1">
      <c r="E55" s="924">
        <v>15</v>
      </c>
      <c r="F55" s="922" cm="1" t="str">
        <f t="array" ref="F55:F55">OFFSET(G55,-1,-1)</f>
        <v>0</v>
      </c>
      <c r="H55" s="155" cm="1" t="str">
        <f t="array" ref="H55:H55">H53</f>
        <v>0</v>
      </c>
      <c r="T55" s="923" cm="1" t="str">
        <f t="array" ref="T55:T55">T53</f>
        <v>false</v>
      </c>
      <c r="AA55" s="1536"/>
      <c r="AB55" s="288" t="str">
        <f>AB53&amp;".1"</f>
        <v>2.3.0.1</v>
      </c>
      <c r="AC55" s="590" t="s">
        <v>946</v>
      </c>
      <c r="AD55" s="154" t="s">
        <v>973</v>
      </c>
      <c r="AE55" s="66"/>
      <c r="AF55" s="669">
        <f>IF(AF56=0,0,AF53/AF56*1000)</f>
        <v>0</v>
      </c>
      <c r="AG55" s="669">
        <f>IF(AG56=0,0,AG53/AG56*1000)</f>
        <v>0</v>
      </c>
      <c r="AH55" s="66"/>
      <c r="AI55" s="669">
        <f>IF(AI56=0,0,AI53/AI56*1000)</f>
        <v>0</v>
      </c>
      <c r="AJ55" s="669">
        <f>IF(AJ56=0,0,AJ53/AJ56*1000)</f>
        <v>0</v>
      </c>
      <c r="AK55" s="669">
        <f>IF(AK56=0,0,AK53/AK56*1000)</f>
        <v>0</v>
      </c>
      <c r="AL55" s="669">
        <f>IF(AL56=0,0,AL53/AL56*1000)</f>
        <v>0</v>
      </c>
      <c r="AM55" s="669">
        <f>IF(AM56=0,0,AM53/AM56*1000)</f>
        <v>0</v>
      </c>
      <c r="AN55" s="669">
        <f>IF(AN56=0,0,AN53/AN56*1000)</f>
        <v>0</v>
      </c>
      <c r="AO55" s="669">
        <f>IF(AO56=0,0,AO53/AO56*1000)</f>
        <v>0</v>
      </c>
      <c r="AP55" s="669">
        <f>IF(AP56=0,0,AP53/AP56*1000)</f>
        <v>0</v>
      </c>
      <c r="AQ55" s="669">
        <f>IF(AQ56=0,0,AQ53/AQ56*1000)</f>
        <v>0</v>
      </c>
      <c r="AR55" s="669">
        <f>IF(AR56=0,0,AR53/AR56*1000)</f>
        <v>0</v>
      </c>
      <c r="AS55" s="1691"/>
      <c r="AT55" s="66"/>
      <c r="AU55" s="66"/>
      <c r="AV55" s="66"/>
      <c r="AW55" s="66"/>
      <c r="AX55" s="66"/>
      <c r="AY55" s="66"/>
      <c r="AZ55" s="66"/>
      <c r="BA55" s="66"/>
      <c r="BB55" s="66"/>
      <c r="BC55" s="73"/>
      <c r="BF55" s="1192" t="s">
        <v>978</v>
      </c>
      <c r="BG55" s="1192" t="s">
        <v>976</v>
      </c>
      <c r="BH55" s="1192" cm="1" t="str">
        <f t="array" ref="BH55:BH55">BH54</f>
        <v>0</v>
      </c>
      <c r="BI55" s="1193"/>
      <c r="BJ55" s="1193"/>
    </row>
    <row s="223" customFormat="1" customHeight="1" ht="14.625" hidden="1">
      <c r="A56" s="1125" t="str">
        <f>"checkVolume_4."&amp;F56&amp;"."&amp;Y53</f>
        <v>checkVolume_4.0.0</v>
      </c>
      <c r="E56" s="924">
        <v>15</v>
      </c>
      <c r="F56" s="922" cm="1" t="str">
        <f t="array" ref="F56:F56">OFFSET(G56,-1,-1)</f>
        <v>0</v>
      </c>
      <c r="H56" s="155" cm="1" t="str">
        <f t="array" ref="H56:H56">H53</f>
        <v>0</v>
      </c>
      <c r="T56" s="923" cm="1" t="str">
        <f t="array" ref="T56:T56">T53</f>
        <v>false</v>
      </c>
      <c r="AA56" s="1536"/>
      <c r="AB56" s="288" t="str">
        <f>AB53&amp;".2"</f>
        <v>2.3.0.2</v>
      </c>
      <c r="AC56" s="590" t="s">
        <v>979</v>
      </c>
      <c r="AD56" s="154" t="s">
        <v>599</v>
      </c>
      <c r="AE56" s="66"/>
      <c r="AF56" s="66"/>
      <c r="AG56" s="66"/>
      <c r="AH56" s="66"/>
      <c r="AI56" s="1691"/>
      <c r="AJ56" s="66"/>
      <c r="AK56" s="66"/>
      <c r="AL56" s="66"/>
      <c r="AM56" s="66"/>
      <c r="AN56" s="66"/>
      <c r="AO56" s="66"/>
      <c r="AP56" s="66"/>
      <c r="AQ56" s="66"/>
      <c r="AR56" s="66"/>
      <c r="AS56" s="1691"/>
      <c r="AT56" s="66"/>
      <c r="AU56" s="66"/>
      <c r="AV56" s="66"/>
      <c r="AW56" s="66"/>
      <c r="AX56" s="66"/>
      <c r="AY56" s="66"/>
      <c r="AZ56" s="66"/>
      <c r="BA56" s="66"/>
      <c r="BB56" s="66"/>
      <c r="BC56" s="73"/>
      <c r="BF56" s="1192" t="s">
        <v>980</v>
      </c>
      <c r="BG56" s="1192" t="s">
        <v>976</v>
      </c>
      <c r="BH56" s="1192" cm="1" t="str">
        <f t="array" ref="BH56:BH56">BH54</f>
        <v>0</v>
      </c>
      <c r="BI56" s="1193"/>
      <c r="BJ56" s="1193"/>
    </row>
    <row s="223" customFormat="1" customHeight="1" ht="14.625" hidden="1">
      <c r="E57" s="924">
        <v>15</v>
      </c>
      <c r="F57" s="922" cm="1" t="str">
        <f t="array" ref="F57:F57">OFFSET(G57,-1,-1)</f>
        <v>0</v>
      </c>
      <c r="T57" s="923">
        <f>F57&gt;0</f>
        <v>0</v>
      </c>
      <c r="W57" s="374" t="s">
        <v>981</v>
      </c>
      <c r="AB57" s="818"/>
      <c r="AC57" s="588" t="s">
        <v>982</v>
      </c>
      <c r="AD57" s="58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1100"/>
      <c r="BF57" s="1192"/>
      <c r="BG57" s="1192"/>
      <c r="BH57" s="1192"/>
      <c r="BI57" s="1193" t="s">
        <v>976</v>
      </c>
      <c r="BJ57" s="1193"/>
    </row>
    <row s="223" customFormat="1" customHeight="1" ht="14.625" hidden="1">
      <c r="E58" s="924">
        <v>15</v>
      </c>
      <c r="F58" s="922" cm="1" t="str">
        <f t="array" ref="F58:F58">OFFSET(G58,-1,-1)</f>
        <v>0</v>
      </c>
      <c r="T58" s="923">
        <f>F58&gt;0</f>
        <v>0</v>
      </c>
      <c r="AB58" s="1871"/>
      <c r="AC58" s="343" t="s">
        <v>952</v>
      </c>
      <c r="AD58" s="344"/>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5"/>
      <c r="BA58" s="345"/>
      <c r="BB58" s="345"/>
      <c r="BC58" s="1094"/>
      <c r="BF58" s="1192"/>
      <c r="BG58" s="1192"/>
      <c r="BH58" s="1192"/>
      <c r="BI58" s="1193"/>
      <c r="BJ58" s="1193"/>
    </row>
    <row s="223" customFormat="1" customHeight="1" ht="17.25" hidden="1">
      <c r="E59" s="924">
        <v>0</v>
      </c>
      <c r="F59" s="922" cm="1" t="str">
        <f t="array" ref="F59:F59">OFFSET(G59,-1,-1)</f>
        <v>0</v>
      </c>
      <c r="T59" s="923">
        <f>F59&gt;0</f>
        <v>0</v>
      </c>
      <c r="AB59" s="286"/>
      <c r="AC59" s="281"/>
      <c r="AD59" s="280"/>
      <c r="AE59" s="587"/>
      <c r="AF59" s="587"/>
      <c r="AG59" s="587"/>
      <c r="AH59" s="587"/>
      <c r="AI59" s="587"/>
      <c r="AJ59" s="587"/>
      <c r="AK59" s="587"/>
      <c r="AL59" s="587"/>
      <c r="AM59" s="587"/>
      <c r="AN59" s="587"/>
      <c r="AO59" s="587"/>
      <c r="AP59" s="587"/>
      <c r="AQ59" s="587"/>
      <c r="AR59" s="587"/>
      <c r="AS59" s="587"/>
      <c r="AT59" s="587"/>
      <c r="AU59" s="587"/>
      <c r="AV59" s="587"/>
      <c r="AW59" s="587"/>
      <c r="AX59" s="587"/>
      <c r="AY59" s="587"/>
      <c r="AZ59" s="587"/>
      <c r="BA59" s="587"/>
      <c r="BB59" s="587"/>
      <c r="BC59" s="79"/>
      <c r="BF59" s="1192"/>
      <c r="BG59" s="1192"/>
      <c r="BH59" s="1192"/>
      <c r="BI59" s="1193"/>
      <c r="BJ59" s="1193"/>
    </row>
    <row s="223" customFormat="1" customHeight="1" ht="14.625" hidden="1">
      <c r="E60" s="924">
        <v>15</v>
      </c>
      <c r="F60" s="922" cm="1" t="str">
        <f t="array" ref="F60:F60">OFFSET(G60,-1,-1)</f>
        <v>0</v>
      </c>
      <c r="H60" s="155" cm="1" t="str">
        <f t="array" ref="H60:H60">AC60</f>
        <v>0</v>
      </c>
      <c r="I60" s="155" t="s">
        <v>930</v>
      </c>
      <c r="T60" s="923">
        <f>AND(F60&gt;0,Y60&gt;0)</f>
        <v>0</v>
      </c>
      <c r="W60" s="171" t="s">
        <v>234</v>
      </c>
      <c r="Y60" s="183">
        <v>0</v>
      </c>
      <c r="AA60" s="1536" t="s">
        <v>218</v>
      </c>
      <c r="AB60" s="154" t="str">
        <f>"2.4."&amp;Y60</f>
        <v>2.4.0</v>
      </c>
      <c r="AC60" s="604"/>
      <c r="AD60" s="154" t="s">
        <v>810</v>
      </c>
      <c r="AE60" s="1874">
        <f>AE63+AE65</f>
        <v>0</v>
      </c>
      <c r="AF60" s="1874">
        <f>AF63+AF65</f>
        <v>0</v>
      </c>
      <c r="AG60" s="1874">
        <f>AG63+AG65</f>
        <v>0</v>
      </c>
      <c r="AH60" s="1874">
        <f>AH63+AH65</f>
        <v>0</v>
      </c>
      <c r="AI60" s="1874">
        <f>AI63+AI65</f>
        <v>0</v>
      </c>
      <c r="AJ60" s="1666">
        <f>AJ63+AJ65</f>
        <v>0</v>
      </c>
      <c r="AK60" s="1666">
        <f>AK63+AK65</f>
        <v>0</v>
      </c>
      <c r="AL60" s="1666">
        <f>AL63+AL65</f>
        <v>0</v>
      </c>
      <c r="AM60" s="1666">
        <f>AM63+AM65</f>
        <v>0</v>
      </c>
      <c r="AN60" s="1666">
        <f>AN63+AN65</f>
        <v>0</v>
      </c>
      <c r="AO60" s="1666">
        <f>AO63+AO65</f>
        <v>0</v>
      </c>
      <c r="AP60" s="1666">
        <f>AP63+AP65</f>
        <v>0</v>
      </c>
      <c r="AQ60" s="1666">
        <f>AQ63+AQ65</f>
        <v>0</v>
      </c>
      <c r="AR60" s="1666">
        <f>AR63+AR65</f>
        <v>0</v>
      </c>
      <c r="AS60" s="1874">
        <f>AS63+AS65</f>
        <v>0</v>
      </c>
      <c r="AT60" s="1666">
        <f>AT63+AT65</f>
        <v>0</v>
      </c>
      <c r="AU60" s="1666">
        <f>AU63+AU65</f>
        <v>0</v>
      </c>
      <c r="AV60" s="1666">
        <f>AV63+AV65</f>
        <v>0</v>
      </c>
      <c r="AW60" s="1666">
        <f>AW63+AW65</f>
        <v>0</v>
      </c>
      <c r="AX60" s="1666">
        <f>AX63+AX65</f>
        <v>0</v>
      </c>
      <c r="AY60" s="1666">
        <f>AY63+AY65</f>
        <v>0</v>
      </c>
      <c r="AZ60" s="1666">
        <f>AZ63+AZ65</f>
        <v>0</v>
      </c>
      <c r="BA60" s="1666">
        <f>BA63+BA65</f>
        <v>0</v>
      </c>
      <c r="BB60" s="1666">
        <f>BB63+BB65</f>
        <v>0</v>
      </c>
      <c r="BC60" s="1723"/>
      <c r="BF60" s="1192" t="s">
        <v>975</v>
      </c>
      <c r="BG60" s="1192" t="s">
        <v>983</v>
      </c>
      <c r="BH60" s="1192" cm="1" t="str">
        <f t="array" ref="BH60:BH60">AC60</f>
        <v>0</v>
      </c>
      <c r="BI60" s="1193"/>
      <c r="BJ60" s="1193" t="b">
        <v>1</v>
      </c>
    </row>
    <row s="223" customFormat="1" customHeight="1" ht="14.625" hidden="1">
      <c r="E61" s="924">
        <v>15</v>
      </c>
      <c r="F61" s="922" cm="1" t="str">
        <f t="array" ref="F61:F61">OFFSET(G61,-1,-1)</f>
        <v>0</v>
      </c>
      <c r="L61" s="213" cm="1" t="str">
        <f t="array" ref="L61:L61">INDEX('Общие сведения'!$AK$169:$AK$202,MATCH($F61,'Общие сведения'!$Z$169:$Z$202,0))</f>
        <v>0</v>
      </c>
      <c r="R61" s="193" t="s">
        <v>967</v>
      </c>
      <c r="T61" s="923">
        <f>AND(T60,L61="двухставочный")</f>
        <v>0</v>
      </c>
      <c r="AA61" s="1536"/>
      <c r="AB61" s="288"/>
      <c r="AC61" s="590" t="s">
        <v>969</v>
      </c>
      <c r="AD61" s="610" t="s">
        <v>810</v>
      </c>
      <c r="AE61" s="66"/>
      <c r="AF61" s="66"/>
      <c r="AG61" s="66"/>
      <c r="AH61" s="66"/>
      <c r="AI61" s="1691"/>
      <c r="AJ61" s="66"/>
      <c r="AK61" s="66"/>
      <c r="AL61" s="66"/>
      <c r="AM61" s="66"/>
      <c r="AN61" s="66"/>
      <c r="AO61" s="66"/>
      <c r="AP61" s="66"/>
      <c r="AQ61" s="66"/>
      <c r="AR61" s="66"/>
      <c r="AS61" s="1691"/>
      <c r="AT61" s="66"/>
      <c r="AU61" s="66"/>
      <c r="AV61" s="66"/>
      <c r="AW61" s="66"/>
      <c r="AX61" s="66"/>
      <c r="AY61" s="66"/>
      <c r="AZ61" s="66"/>
      <c r="BA61" s="66"/>
      <c r="BB61" s="66"/>
      <c r="BC61" s="104"/>
      <c r="BF61" s="1192" t="s">
        <v>977</v>
      </c>
      <c r="BG61" s="1192" t="s">
        <v>983</v>
      </c>
      <c r="BH61" s="1192" cm="1" t="str">
        <f t="array" ref="BH61:BH61">BH60</f>
        <v>0</v>
      </c>
      <c r="BI61" s="1193"/>
      <c r="BJ61" s="1193"/>
    </row>
    <row s="223" customFormat="1" customHeight="1" ht="14.625" hidden="1">
      <c r="E62" s="924">
        <v>15</v>
      </c>
      <c r="F62" s="922" cm="1" t="str">
        <f t="array" ref="F62:F62">OFFSET(G62,-1,-1)</f>
        <v>0</v>
      </c>
      <c r="H62" s="155" cm="1" t="str">
        <f t="array" ref="H62:H62">H60</f>
        <v>0</v>
      </c>
      <c r="T62" s="923" cm="1" t="str">
        <f t="array" ref="T62:T62">T60</f>
        <v>false</v>
      </c>
      <c r="AA62" s="1536"/>
      <c r="AB62" s="288" t="str">
        <f>AB60&amp;".1"</f>
        <v>2.4.0.1</v>
      </c>
      <c r="AC62" s="590" t="s">
        <v>946</v>
      </c>
      <c r="AD62" s="154" t="s">
        <v>973</v>
      </c>
      <c r="AE62" s="63"/>
      <c r="AF62" s="591">
        <f>IF(AF64=0,0,AF63/AF64*1000)</f>
        <v>0</v>
      </c>
      <c r="AG62" s="591">
        <f>IF(AG64=0,0,AG63/AG64*1000)</f>
        <v>0</v>
      </c>
      <c r="AH62" s="63"/>
      <c r="AI62" s="591">
        <f>IF(AI64=0,0,AI63/AI64*1000)</f>
        <v>0</v>
      </c>
      <c r="AJ62" s="591">
        <f>IF(AJ64=0,0,AJ63/AJ64*1000)</f>
        <v>0</v>
      </c>
      <c r="AK62" s="591">
        <f>IF(AK64=0,0,AK63/AK64*1000)</f>
        <v>0</v>
      </c>
      <c r="AL62" s="591">
        <f>IF(AL64=0,0,AL63/AL64*1000)</f>
        <v>0</v>
      </c>
      <c r="AM62" s="591">
        <f>IF(AM64=0,0,AM63/AM64*1000)</f>
        <v>0</v>
      </c>
      <c r="AN62" s="591">
        <f>IF(AN64=0,0,AN63/AN64*1000)</f>
        <v>0</v>
      </c>
      <c r="AO62" s="591">
        <f>IF(AO64=0,0,AO63/AO64*1000)</f>
        <v>0</v>
      </c>
      <c r="AP62" s="591">
        <f>IF(AP64=0,0,AP63/AP64*1000)</f>
        <v>0</v>
      </c>
      <c r="AQ62" s="591">
        <f>IF(AQ64=0,0,AQ63/AQ64*1000)</f>
        <v>0</v>
      </c>
      <c r="AR62" s="591">
        <f>IF(AR64=0,0,AR63/AR64*1000)</f>
        <v>0</v>
      </c>
      <c r="AS62" s="1666"/>
      <c r="AT62" s="63"/>
      <c r="AU62" s="63"/>
      <c r="AV62" s="63"/>
      <c r="AW62" s="63"/>
      <c r="AX62" s="63"/>
      <c r="AY62" s="63"/>
      <c r="AZ62" s="63"/>
      <c r="BA62" s="63"/>
      <c r="BB62" s="63"/>
      <c r="BC62" s="73"/>
      <c r="BF62" s="1192" t="s">
        <v>978</v>
      </c>
      <c r="BG62" s="1192" t="s">
        <v>983</v>
      </c>
      <c r="BH62" s="1192" cm="1" t="str">
        <f t="array" ref="BH62:BH62">BH61</f>
        <v>0</v>
      </c>
      <c r="BI62" s="1193"/>
      <c r="BJ62" s="1193"/>
    </row>
    <row s="223" customFormat="1" customHeight="1" ht="14.625" hidden="1">
      <c r="A63" s="1125" t="str">
        <f>"checkCosts_5."&amp;F63&amp;"."&amp;Y60</f>
        <v>checkCosts_5.0.0</v>
      </c>
      <c r="E63" s="924">
        <v>15</v>
      </c>
      <c r="F63" s="922" cm="1" t="str">
        <f t="array" ref="F63:F63">OFFSET(G63,-1,-1)</f>
        <v>0</v>
      </c>
      <c r="T63" s="923" cm="1" t="str">
        <f t="array" ref="T63:T63">T60</f>
        <v>false</v>
      </c>
      <c r="AA63" s="1536"/>
      <c r="AB63" s="288" t="str">
        <f>AB60&amp;".2"</f>
        <v>2.4.0.2</v>
      </c>
      <c r="AC63" s="590" t="s">
        <v>984</v>
      </c>
      <c r="AD63" s="154" t="s">
        <v>810</v>
      </c>
      <c r="AE63" s="63"/>
      <c r="AF63" s="63"/>
      <c r="AG63" s="63"/>
      <c r="AH63" s="63"/>
      <c r="AI63" s="1666"/>
      <c r="AJ63" s="63"/>
      <c r="AK63" s="63"/>
      <c r="AL63" s="63"/>
      <c r="AM63" s="63"/>
      <c r="AN63" s="63"/>
      <c r="AO63" s="63"/>
      <c r="AP63" s="63"/>
      <c r="AQ63" s="63"/>
      <c r="AR63" s="63"/>
      <c r="AS63" s="1666"/>
      <c r="AT63" s="63"/>
      <c r="AU63" s="63"/>
      <c r="AV63" s="63"/>
      <c r="AW63" s="63"/>
      <c r="AX63" s="63"/>
      <c r="AY63" s="63"/>
      <c r="AZ63" s="63"/>
      <c r="BA63" s="63"/>
      <c r="BB63" s="63"/>
      <c r="BC63" s="73"/>
      <c r="BF63" s="1192" t="s">
        <v>985</v>
      </c>
      <c r="BG63" s="1192" t="s">
        <v>983</v>
      </c>
      <c r="BH63" s="1192" cm="1" t="str">
        <f t="array" ref="BH63:BH63">BH61</f>
        <v>0</v>
      </c>
      <c r="BI63" s="1193"/>
      <c r="BJ63" s="1193"/>
    </row>
    <row s="223" customFormat="1" customHeight="1" ht="14.625" hidden="1">
      <c r="A64" s="1125" t="str">
        <f>"checkVolume_5."&amp;F64&amp;"."&amp;Y60</f>
        <v>checkVolume_5.0.0</v>
      </c>
      <c r="E64" s="924">
        <v>15</v>
      </c>
      <c r="F64" s="922" cm="1" t="str">
        <f t="array" ref="F64:F64">OFFSET(G64,-1,-1)</f>
        <v>0</v>
      </c>
      <c r="T64" s="923" cm="1" t="str">
        <f t="array" ref="T64:T64">T63</f>
        <v>false</v>
      </c>
      <c r="AA64" s="1536"/>
      <c r="AB64" s="406" t="str">
        <f>AB63&amp;".1"</f>
        <v>2.4.0.2.1</v>
      </c>
      <c r="AC64" s="605" t="s">
        <v>979</v>
      </c>
      <c r="AD64" s="154" t="s">
        <v>599</v>
      </c>
      <c r="AE64" s="63"/>
      <c r="AF64" s="63"/>
      <c r="AG64" s="63"/>
      <c r="AH64" s="63"/>
      <c r="AI64" s="1666"/>
      <c r="AJ64" s="63"/>
      <c r="AK64" s="63"/>
      <c r="AL64" s="63"/>
      <c r="AM64" s="63"/>
      <c r="AN64" s="63"/>
      <c r="AO64" s="63"/>
      <c r="AP64" s="63"/>
      <c r="AQ64" s="63"/>
      <c r="AR64" s="63"/>
      <c r="AS64" s="1666"/>
      <c r="AT64" s="63"/>
      <c r="AU64" s="63"/>
      <c r="AV64" s="63"/>
      <c r="AW64" s="63"/>
      <c r="AX64" s="63"/>
      <c r="AY64" s="63"/>
      <c r="AZ64" s="63"/>
      <c r="BA64" s="63"/>
      <c r="BB64" s="63"/>
      <c r="BC64" s="73"/>
      <c r="BF64" s="1192" t="s">
        <v>986</v>
      </c>
      <c r="BG64" s="1192" t="s">
        <v>983</v>
      </c>
      <c r="BH64" s="1192" cm="1" t="str">
        <f t="array" ref="BH64:BH64">BH63</f>
        <v>0</v>
      </c>
      <c r="BI64" s="1193"/>
      <c r="BJ64" s="1193"/>
    </row>
    <row s="223" customFormat="1" customHeight="1" ht="14.625" hidden="1">
      <c r="A65" s="1125" t="str">
        <f>"checkCosts_6."&amp;F65&amp;"."&amp;Y60</f>
        <v>checkCosts_6.0.0</v>
      </c>
      <c r="E65" s="924">
        <v>15</v>
      </c>
      <c r="F65" s="922" cm="1" t="str">
        <f t="array" ref="F65:F65">OFFSET(G65,-1,-1)</f>
        <v>0</v>
      </c>
      <c r="T65" s="923" cm="1" t="str">
        <f t="array" ref="T65:T65">T64</f>
        <v>false</v>
      </c>
      <c r="AA65" s="1536"/>
      <c r="AB65" s="288" t="str">
        <f>AB60&amp;".3"</f>
        <v>2.4.0.3</v>
      </c>
      <c r="AC65" s="590" t="s">
        <v>987</v>
      </c>
      <c r="AD65" s="154" t="s">
        <v>957</v>
      </c>
      <c r="AE65" s="63"/>
      <c r="AF65" s="63"/>
      <c r="AG65" s="63"/>
      <c r="AH65" s="63"/>
      <c r="AI65" s="1666"/>
      <c r="AJ65" s="63"/>
      <c r="AK65" s="63"/>
      <c r="AL65" s="63"/>
      <c r="AM65" s="63"/>
      <c r="AN65" s="63"/>
      <c r="AO65" s="63"/>
      <c r="AP65" s="63"/>
      <c r="AQ65" s="63"/>
      <c r="AR65" s="63"/>
      <c r="AS65" s="1666"/>
      <c r="AT65" s="63"/>
      <c r="AU65" s="63"/>
      <c r="AV65" s="63"/>
      <c r="AW65" s="63"/>
      <c r="AX65" s="63"/>
      <c r="AY65" s="63"/>
      <c r="AZ65" s="63"/>
      <c r="BA65" s="63"/>
      <c r="BB65" s="63"/>
      <c r="BC65" s="73"/>
      <c r="BF65" s="1192" t="s">
        <v>988</v>
      </c>
      <c r="BG65" s="1192" t="s">
        <v>983</v>
      </c>
      <c r="BH65" s="1192" cm="1" t="str">
        <f t="array" ref="BH65:BH65">BH64</f>
        <v>0</v>
      </c>
      <c r="BI65" s="1193"/>
      <c r="BJ65" s="1193"/>
    </row>
    <row s="223" customFormat="1" customHeight="1" ht="14.625" hidden="1">
      <c r="A66" s="1125" t="str">
        <f>"checkVolume_6."&amp;F66&amp;"."&amp;Y60</f>
        <v>checkVolume_6.0.0</v>
      </c>
      <c r="E66" s="924">
        <v>15</v>
      </c>
      <c r="F66" s="922" cm="1" t="str">
        <f t="array" ref="F66:F66">OFFSET(G66,-1,-1)</f>
        <v>0</v>
      </c>
      <c r="H66" s="155" cm="1" t="str">
        <f t="array" ref="H66:H66">H60</f>
        <v>0</v>
      </c>
      <c r="T66" s="923" cm="1" t="str">
        <f t="array" ref="T66:T66">T65</f>
        <v>false</v>
      </c>
      <c r="AA66" s="1536"/>
      <c r="AB66" s="406" t="str">
        <f>AB65&amp;".1"</f>
        <v>2.4.0.3.1</v>
      </c>
      <c r="AC66" s="606" t="s">
        <v>989</v>
      </c>
      <c r="AD66" s="154" t="s">
        <v>695</v>
      </c>
      <c r="AE66" s="63"/>
      <c r="AF66" s="63"/>
      <c r="AG66" s="63"/>
      <c r="AH66" s="63"/>
      <c r="AI66" s="1666"/>
      <c r="AJ66" s="63"/>
      <c r="AK66" s="63"/>
      <c r="AL66" s="63"/>
      <c r="AM66" s="63"/>
      <c r="AN66" s="63"/>
      <c r="AO66" s="63"/>
      <c r="AP66" s="63"/>
      <c r="AQ66" s="63"/>
      <c r="AR66" s="63"/>
      <c r="AS66" s="1666"/>
      <c r="AT66" s="63"/>
      <c r="AU66" s="63"/>
      <c r="AV66" s="63"/>
      <c r="AW66" s="63"/>
      <c r="AX66" s="63"/>
      <c r="AY66" s="63"/>
      <c r="AZ66" s="63"/>
      <c r="BA66" s="63"/>
      <c r="BB66" s="63"/>
      <c r="BC66" s="73"/>
      <c r="BF66" s="1192" t="s">
        <v>990</v>
      </c>
      <c r="BG66" s="1192" t="s">
        <v>983</v>
      </c>
      <c r="BH66" s="1192" cm="1" t="str">
        <f t="array" ref="BH66:BH66">BH65</f>
        <v>0</v>
      </c>
      <c r="BI66" s="1193"/>
      <c r="BJ66" s="1193"/>
    </row>
    <row s="223" customFormat="1" customHeight="1" ht="11.115" hidden="1">
      <c r="E67" s="924">
        <v>11.4</v>
      </c>
      <c r="F67" s="922" cm="1" t="str">
        <f t="array" ref="F67:F67">OFFSET(G67,-1,-1)</f>
        <v>0</v>
      </c>
      <c r="T67" s="923">
        <f>F67&gt;0</f>
        <v>0</v>
      </c>
      <c r="W67" s="374" t="s">
        <v>991</v>
      </c>
      <c r="AB67" s="589"/>
      <c r="AC67" s="576" t="s">
        <v>982</v>
      </c>
      <c r="AD67" s="576"/>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1101"/>
      <c r="BF67" s="1192"/>
      <c r="BG67" s="1192"/>
      <c r="BH67" s="1192"/>
      <c r="BI67" s="1193" t="s">
        <v>983</v>
      </c>
      <c r="BJ67" s="1193"/>
    </row>
    <row s="966" customFormat="1" customHeight="1" ht="18">
      <c r="A68" s="215"/>
      <c r="B68" s="215"/>
      <c r="C68" s="215"/>
      <c r="D68" s="215"/>
      <c r="E68" s="803">
        <v>18.8</v>
      </c>
      <c r="F68" s="922" cm="1" t="str">
        <f t="array" ref="F68:F68">X68</f>
        <v>1</v>
      </c>
      <c r="G68" s="215"/>
      <c r="H68" s="215"/>
      <c r="I68" s="215"/>
      <c r="J68" s="215"/>
      <c r="K68" s="213"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3" cm="1" t="str">
        <f t="array" ref="L68:L68">INDEX('Общие сведения'!$AK$169:$AK$202,MATCH($F68,'Общие сведения'!$Z$169:$Z$202,0))</f>
        <v>одноставочный</v>
      </c>
      <c r="M68" s="215"/>
      <c r="N68" s="215"/>
      <c r="O68" s="215"/>
      <c r="P68" s="215"/>
      <c r="Q68" s="215"/>
      <c r="R68" s="215"/>
      <c r="S68" s="215"/>
      <c r="T68" s="808">
        <f>X68&gt;0</f>
        <v>1</v>
      </c>
      <c r="U68" s="215"/>
      <c r="V68" s="171" cm="1" t="str">
        <f t="array" ref="V68:V68">'Топливо 4.4'!$AB$139</f>
        <v>Тариф 1 (Теплоснабжение) - Тариф на тепловую энергию (мощность), поставляемую потребителям (Не определено)</v>
      </c>
      <c r="W68" s="215"/>
      <c r="X68" s="171" t="s">
        <v>336</v>
      </c>
      <c r="Y68" s="215"/>
      <c r="Z68" s="215"/>
      <c r="AA68" s="215"/>
      <c r="AB68" s="263"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0"/>
      <c r="AD68" s="254"/>
      <c r="AE68" s="380">
        <f>AE69+AE91</f>
        <v>3496.6503</v>
      </c>
      <c r="AF68" s="380">
        <f>AF69+AF91</f>
        <v>3508.22</v>
      </c>
      <c r="AG68" s="380">
        <f>AG69+AG91</f>
        <v>3606.46</v>
      </c>
      <c r="AH68" s="380">
        <f>AH69+AH91</f>
        <v>3420.4539414</v>
      </c>
      <c r="AI68" s="380">
        <f>AI69+AI91</f>
        <v>4289.62</v>
      </c>
      <c r="AJ68" s="380">
        <f>AJ69+AJ91</f>
        <v>0</v>
      </c>
      <c r="AK68" s="380">
        <f>AK69+AK91</f>
        <v>0</v>
      </c>
      <c r="AL68" s="380">
        <f>AL69+AL91</f>
        <v>0</v>
      </c>
      <c r="AM68" s="380">
        <f>AM69+AM91</f>
        <v>0</v>
      </c>
      <c r="AN68" s="380">
        <f>AN69+AN91</f>
        <v>0</v>
      </c>
      <c r="AO68" s="380">
        <f>AO69+AO91</f>
        <v>0</v>
      </c>
      <c r="AP68" s="380">
        <f>AP69+AP91</f>
        <v>0</v>
      </c>
      <c r="AQ68" s="380">
        <f>AQ69+AQ91</f>
        <v>0</v>
      </c>
      <c r="AR68" s="380">
        <f>AR69+AR91</f>
        <v>0</v>
      </c>
      <c r="AS68" s="380">
        <f>AS69+AS91</f>
        <v>3721.6903914</v>
      </c>
      <c r="AT68" s="380">
        <f>AT69+AT91</f>
        <v>0</v>
      </c>
      <c r="AU68" s="380">
        <f>AU69+AU91</f>
        <v>0</v>
      </c>
      <c r="AV68" s="380">
        <f>AV69+AV91</f>
        <v>0</v>
      </c>
      <c r="AW68" s="380">
        <f>AW69+AW91</f>
        <v>0</v>
      </c>
      <c r="AX68" s="380">
        <f>AX69+AX91</f>
        <v>0</v>
      </c>
      <c r="AY68" s="380">
        <f>AY69+AY91</f>
        <v>0</v>
      </c>
      <c r="AZ68" s="380">
        <f>AZ69+AZ91</f>
        <v>0</v>
      </c>
      <c r="BA68" s="380">
        <f>BA69+BA91</f>
        <v>0</v>
      </c>
      <c r="BB68" s="380">
        <f>BB69+BB91</f>
        <v>0</v>
      </c>
      <c r="BC68" s="608"/>
      <c r="BD68" s="215"/>
      <c r="BE68" s="215"/>
      <c r="BF68" s="1184"/>
      <c r="BG68" s="1190"/>
      <c r="BH68" s="1190"/>
      <c r="BI68" s="1191"/>
      <c r="BJ68" s="1191"/>
    </row>
    <row s="792" customFormat="1" customHeight="1" ht="16.5">
      <c r="A69" s="1462"/>
      <c r="B69" s="1462"/>
      <c r="C69" s="1462"/>
      <c r="D69" s="1462"/>
      <c r="E69" s="803">
        <v>17.1</v>
      </c>
      <c r="F69" s="922" cm="1" t="str">
        <f t="array" ref="F69:F69">OFFSET(G69,-1,-1)</f>
        <v>1</v>
      </c>
      <c r="G69" s="739" t="s">
        <v>929</v>
      </c>
      <c r="H69" s="1462"/>
      <c r="I69" s="215" t="s">
        <v>930</v>
      </c>
      <c r="J69" s="1462"/>
      <c r="K69" s="1462"/>
      <c r="L69" s="1462"/>
      <c r="M69" s="1462"/>
      <c r="N69" s="1462"/>
      <c r="O69" s="1462"/>
      <c r="P69" s="1462"/>
      <c r="Q69" s="1462"/>
      <c r="R69" s="1462"/>
      <c r="S69" s="1462"/>
      <c r="T69" s="923" cm="1" t="str">
        <f t="array" ref="T69:T69">T68</f>
        <v>true</v>
      </c>
      <c r="U69" s="1462"/>
      <c r="V69" s="1462"/>
      <c r="W69" s="1462"/>
      <c r="X69" s="1462"/>
      <c r="Y69" s="1462"/>
      <c r="Z69" s="1462"/>
      <c r="AA69" s="1462"/>
      <c r="AB69" s="286">
        <v>1</v>
      </c>
      <c r="AC69" s="281" t="s">
        <v>931</v>
      </c>
      <c r="AD69" s="280" t="s">
        <v>810</v>
      </c>
      <c r="AE69" s="612">
        <f>SUMIF($I74:$I89,$I69,AE74:AE89)</f>
        <v>3496.6503</v>
      </c>
      <c r="AF69" s="612">
        <f>SUMIF($I74:$I89,$I69,AF74:AF89)</f>
        <v>3508.22</v>
      </c>
      <c r="AG69" s="612">
        <f>SUMIF($I74:$I89,$I69,AG74:AG89)</f>
        <v>3606.46</v>
      </c>
      <c r="AH69" s="612">
        <f>SUMIF($I74:$I89,$I69,AH74:AH89)</f>
        <v>3420.4539414</v>
      </c>
      <c r="AI69" s="612">
        <f>SUMIF($I74:$I89,$I69,AI74:AI89)</f>
        <v>4289.62</v>
      </c>
      <c r="AJ69" s="1875">
        <f>SUMIF($I74:$I89,$I69,AJ74:AJ89)</f>
        <v>0</v>
      </c>
      <c r="AK69" s="1875">
        <f>SUMIF($I74:$I89,$I69,AK74:AK89)</f>
        <v>0</v>
      </c>
      <c r="AL69" s="1875">
        <f>SUMIF($I74:$I89,$I69,AL74:AL89)</f>
        <v>0</v>
      </c>
      <c r="AM69" s="1875">
        <f>SUMIF($I74:$I89,$I69,AM74:AM89)</f>
        <v>0</v>
      </c>
      <c r="AN69" s="1875">
        <f>SUMIF($I74:$I89,$I69,AN74:AN89)</f>
        <v>0</v>
      </c>
      <c r="AO69" s="1875">
        <f>SUMIF($I74:$I89,$I69,AO74:AO89)</f>
        <v>0</v>
      </c>
      <c r="AP69" s="1875">
        <f>SUMIF($I74:$I89,$I69,AP74:AP89)</f>
        <v>0</v>
      </c>
      <c r="AQ69" s="1875">
        <f>SUMIF($I74:$I89,$I69,AQ74:AQ89)</f>
        <v>0</v>
      </c>
      <c r="AR69" s="1875">
        <f>SUMIF($I74:$I89,$I69,AR74:AR89)</f>
        <v>0</v>
      </c>
      <c r="AS69" s="612">
        <f>SUMIF($I74:$I89,$I69,AS74:AS89)</f>
        <v>3721.6903914</v>
      </c>
      <c r="AT69" s="1875">
        <f>SUMIF($I74:$I89,$I69,AT74:AT89)</f>
        <v>0</v>
      </c>
      <c r="AU69" s="1875">
        <f>SUMIF($I74:$I89,$I69,AU74:AU89)</f>
        <v>0</v>
      </c>
      <c r="AV69" s="1875">
        <f>SUMIF($I74:$I89,$I69,AV74:AV89)</f>
        <v>0</v>
      </c>
      <c r="AW69" s="1875">
        <f>SUMIF($I74:$I89,$I69,AW74:AW89)</f>
        <v>0</v>
      </c>
      <c r="AX69" s="1875">
        <f>SUMIF($I74:$I89,$I69,AX74:AX89)</f>
        <v>0</v>
      </c>
      <c r="AY69" s="1875">
        <f>SUMIF($I74:$I89,$I69,AY74:AY89)</f>
        <v>0</v>
      </c>
      <c r="AZ69" s="1875">
        <f>SUMIF($I74:$I89,$I69,AZ74:AZ89)</f>
        <v>0</v>
      </c>
      <c r="BA69" s="1875">
        <f>SUMIF($I74:$I89,$I69,BA74:BA89)</f>
        <v>0</v>
      </c>
      <c r="BB69" s="1875">
        <f>SUMIF($I74:$I89,$I69,BB74:BB89)</f>
        <v>0</v>
      </c>
      <c r="BC69" s="1723"/>
      <c r="BD69" s="1462"/>
      <c r="BE69" s="1462"/>
      <c r="BF69" s="1173" t="s">
        <v>932</v>
      </c>
      <c r="BG69" s="1190"/>
      <c r="BH69" s="1190"/>
      <c r="BI69" s="1191"/>
      <c r="BJ69" s="1191"/>
    </row>
    <row s="792" customFormat="1" customHeight="1" ht="16.5">
      <c r="A70" s="1462"/>
      <c r="B70" s="1462"/>
      <c r="C70" s="1462"/>
      <c r="D70" s="1462"/>
      <c r="E70" s="803">
        <v>17.1</v>
      </c>
      <c r="F70" s="922" cm="1" t="str">
        <f t="array" ref="F70:F70">OFFSET(G70,-1,-1)</f>
        <v>1</v>
      </c>
      <c r="G70" s="1462"/>
      <c r="H70" s="1462"/>
      <c r="I70" s="1462"/>
      <c r="J70" s="1462"/>
      <c r="K70" s="1462"/>
      <c r="L70" s="1462"/>
      <c r="M70" s="1462"/>
      <c r="N70" s="1462"/>
      <c r="O70" s="1462"/>
      <c r="P70" s="1462"/>
      <c r="Q70" s="1462"/>
      <c r="R70" s="1462"/>
      <c r="S70" s="1462"/>
      <c r="T70" s="923" cm="1" t="str">
        <f t="array" ref="T70:T70">T69</f>
        <v>true</v>
      </c>
      <c r="U70" s="1462"/>
      <c r="V70" s="1462"/>
      <c r="W70" s="1462"/>
      <c r="X70" s="1462"/>
      <c r="Y70" s="1462"/>
      <c r="Z70" s="1462"/>
      <c r="AA70" s="1462"/>
      <c r="AB70" s="216" t="s">
        <v>449</v>
      </c>
      <c r="AC70" s="276" t="s">
        <v>933</v>
      </c>
      <c r="AD70" s="170" t="s">
        <v>733</v>
      </c>
      <c r="AE70" s="267">
        <f>SUMIF($AD74:$AD89,$AD70,AE74:AE89)</f>
        <v>384.67</v>
      </c>
      <c r="AF70" s="267">
        <f>SUMIF($AD74:$AD89,$AD70,AF74:AF89)</f>
        <v>374.97</v>
      </c>
      <c r="AG70" s="267">
        <f>SUMIF($AD74:$AD89,$AD70,AG74:AG89)</f>
        <v>385.31</v>
      </c>
      <c r="AH70" s="267">
        <f>SUMIF($AD74:$AD89,$AD70,AH74:AH89)</f>
        <v>333.78</v>
      </c>
      <c r="AI70" s="267">
        <f>SUMIF($AD74:$AD89,$AD70,AI74:AI89)</f>
        <v>384.67</v>
      </c>
      <c r="AJ70" s="1663">
        <f>SUMIF($AD74:$AD89,$AD70,AJ74:AJ89)</f>
        <v>0</v>
      </c>
      <c r="AK70" s="1663">
        <f>SUMIF($AD74:$AD89,$AD70,AK74:AK89)</f>
        <v>0</v>
      </c>
      <c r="AL70" s="1663">
        <f>SUMIF($AD74:$AD89,$AD70,AL74:AL89)</f>
        <v>0</v>
      </c>
      <c r="AM70" s="1663">
        <f>SUMIF($AD74:$AD89,$AD70,AM74:AM89)</f>
        <v>0</v>
      </c>
      <c r="AN70" s="1663">
        <f>SUMIF($AD74:$AD89,$AD70,AN74:AN89)</f>
        <v>0</v>
      </c>
      <c r="AO70" s="1663">
        <f>SUMIF($AD74:$AD89,$AD70,AO74:AO89)</f>
        <v>0</v>
      </c>
      <c r="AP70" s="1663">
        <f>SUMIF($AD74:$AD89,$AD70,AP74:AP89)</f>
        <v>0</v>
      </c>
      <c r="AQ70" s="1663">
        <f>SUMIF($AD74:$AD89,$AD70,AQ74:AQ89)</f>
        <v>0</v>
      </c>
      <c r="AR70" s="1663">
        <f>SUMIF($AD74:$AD89,$AD70,AR74:AR89)</f>
        <v>0</v>
      </c>
      <c r="AS70" s="267">
        <f>SUMIF($AD74:$AD89,$AD70,AS74:AS89)</f>
        <v>333.78</v>
      </c>
      <c r="AT70" s="1663">
        <f>SUMIF($AD74:$AD89,$AD70,AT74:AT89)</f>
        <v>0</v>
      </c>
      <c r="AU70" s="1663">
        <f>SUMIF($AD74:$AD89,$AD70,AU74:AU89)</f>
        <v>0</v>
      </c>
      <c r="AV70" s="1663">
        <f>SUMIF($AD74:$AD89,$AD70,AV74:AV89)</f>
        <v>0</v>
      </c>
      <c r="AW70" s="1663">
        <f>SUMIF($AD74:$AD89,$AD70,AW74:AW89)</f>
        <v>0</v>
      </c>
      <c r="AX70" s="1663">
        <f>SUMIF($AD74:$AD89,$AD70,AX74:AX89)</f>
        <v>0</v>
      </c>
      <c r="AY70" s="1663">
        <f>SUMIF($AD74:$AD89,$AD70,AY74:AY89)</f>
        <v>0</v>
      </c>
      <c r="AZ70" s="1663">
        <f>SUMIF($AD74:$AD89,$AD70,AZ74:AZ89)</f>
        <v>0</v>
      </c>
      <c r="BA70" s="1663">
        <f>SUMIF($AD74:$AD89,$AD70,BA74:BA89)</f>
        <v>0</v>
      </c>
      <c r="BB70" s="1663">
        <f>SUMIF($AD74:$AD89,$AD70,BB74:BB89)</f>
        <v>0</v>
      </c>
      <c r="BC70" s="1719"/>
      <c r="BD70" s="1462"/>
      <c r="BE70" s="1462"/>
      <c r="BF70" s="1184" t="s">
        <v>934</v>
      </c>
      <c r="BG70" s="1190"/>
      <c r="BH70" s="1190"/>
      <c r="BI70" s="1191"/>
      <c r="BJ70" s="1191"/>
    </row>
    <row s="792" customFormat="1" customHeight="1" ht="16.5">
      <c r="A71" s="1462"/>
      <c r="B71" s="1462"/>
      <c r="C71" s="1462"/>
      <c r="D71" s="1462"/>
      <c r="E71" s="803">
        <v>17.1</v>
      </c>
      <c r="F71" s="922" cm="1" t="str">
        <f t="array" ref="F71:F71">OFFSET(G71,-1,-1)</f>
        <v>1</v>
      </c>
      <c r="G71" s="1462"/>
      <c r="H71" s="1462"/>
      <c r="I71" s="1462"/>
      <c r="J71" s="1462"/>
      <c r="K71" s="1462"/>
      <c r="L71" s="1462"/>
      <c r="M71" s="1462"/>
      <c r="N71" s="1462"/>
      <c r="O71" s="1462"/>
      <c r="P71" s="1462"/>
      <c r="Q71" s="1462"/>
      <c r="R71" s="1462"/>
      <c r="S71" s="1462"/>
      <c r="T71" s="923" cm="1" t="str">
        <f t="array" ref="T71:T71">T70</f>
        <v>true</v>
      </c>
      <c r="U71" s="1462"/>
      <c r="V71" s="1462"/>
      <c r="W71" s="1462"/>
      <c r="X71" s="1462"/>
      <c r="Y71" s="1462"/>
      <c r="Z71" s="1462"/>
      <c r="AA71" s="1462"/>
      <c r="AB71" s="216" t="s">
        <v>935</v>
      </c>
      <c r="AC71" s="276" t="s">
        <v>936</v>
      </c>
      <c r="AD71" s="170" t="s">
        <v>599</v>
      </c>
      <c r="AE71" s="1868">
        <f>IF($K68="передача тепловой энергии",_xlfn.SUMIFS('Баланс Тр'!AE$27:AE$43,'Баланс Тр'!$F$27:$F$43,$F71,'Баланс Тр'!$AB$27:$AB$43,"3"),_xlfn.SUMIFS('Баланс Пр'!AE$27:AE$165,'Баланс Пр'!$F$27:$F$165,$F71,'Баланс Пр'!$AB$27:$AB$165,"9.1"))</f>
        <v>6693.74</v>
      </c>
      <c r="AF71" s="1868">
        <f>IF($K68="передача тепловой энергии",_xlfn.SUMIFS('Баланс Тр'!AF$27:AF$43,'Баланс Тр'!$F$27:$F$43,$F71,'Баланс Тр'!$AB$27:$AB$43,"3"),_xlfn.SUMIFS('Баланс Пр'!AF$27:AF$165,'Баланс Пр'!$F$27:$F$165,$F71,'Баланс Пр'!$AB$27:$AB$165,"9.1"))</f>
        <v>6334.69</v>
      </c>
      <c r="AG71" s="1868">
        <f>IF($K68="передача тепловой энергии",_xlfn.SUMIFS('Баланс Тр'!AG$27:AG$43,'Баланс Тр'!$F$27:$F$43,$F71,'Баланс Тр'!$AB$27:$AB$43,"3"),_xlfn.SUMIFS('Баланс Пр'!AG$27:AG$165,'Баланс Пр'!$F$27:$F$165,$F71,'Баланс Пр'!$AB$27:$AB$165,"9.1"))</f>
        <v>6706.43</v>
      </c>
      <c r="AH71" s="1868">
        <f>IF($K68="передача тепловой энергии",_xlfn.SUMIFS('Баланс Тр'!AH$27:AH$43,'Баланс Тр'!$F$27:$F$43,$F71,'Баланс Тр'!$AB$27:$AB$43,"3"),_xlfn.SUMIFS('Баланс Пр'!AH$27:AH$165,'Баланс Пр'!$F$27:$F$165,$F71,'Баланс Пр'!$AB$27:$AB$165,"9.1"))</f>
        <v>5626</v>
      </c>
      <c r="AI71" s="1868">
        <f>IF($K68="передача тепловой энергии",_xlfn.SUMIFS('Баланс Тр'!AI$27:AI$43,'Баланс Тр'!$F$27:$F$43,$F71,'Баланс Тр'!$AB$27:$AB$43,"3"),_xlfn.SUMIFS('Баланс Пр'!AI$27:AI$165,'Баланс Пр'!$F$27:$F$165,$F71,'Баланс Пр'!$AB$27:$AB$165,"9.1"))</f>
        <v>5626.1</v>
      </c>
      <c r="AJ71" s="1868">
        <f>IF($K68="передача тепловой энергии",_xlfn.SUMIFS('Баланс Тр'!AJ$27:AJ$43,'Баланс Тр'!$F$27:$F$43,$F71,'Баланс Тр'!$AB$27:$AB$43,"3"),_xlfn.SUMIFS('Баланс Пр'!AJ$27:AJ$165,'Баланс Пр'!$F$27:$F$165,$F71,'Баланс Пр'!$AB$27:$AB$165,"9.1"))</f>
        <v>7003.54</v>
      </c>
      <c r="AK71" s="1868">
        <f>IF($K68="передача тепловой энергии",_xlfn.SUMIFS('Баланс Тр'!AK$27:AK$43,'Баланс Тр'!$F$27:$F$43,$F71,'Баланс Тр'!$AB$27:$AB$43,"3"),_xlfn.SUMIFS('Баланс Пр'!AK$27:AK$165,'Баланс Пр'!$F$27:$F$165,$F71,'Баланс Пр'!$AB$27:$AB$165,"9.1"))</f>
        <v>0</v>
      </c>
      <c r="AL71" s="1868">
        <f>IF($K68="передача тепловой энергии",_xlfn.SUMIFS('Баланс Тр'!AL$27:AL$43,'Баланс Тр'!$F$27:$F$43,$F71,'Баланс Тр'!$AB$27:$AB$43,"3"),_xlfn.SUMIFS('Баланс Пр'!AL$27:AL$165,'Баланс Пр'!$F$27:$F$165,$F71,'Баланс Пр'!$AB$27:$AB$165,"9.1"))</f>
        <v>0</v>
      </c>
      <c r="AM71" s="1868">
        <f>IF($K68="передача тепловой энергии",_xlfn.SUMIFS('Баланс Тр'!AM$27:AM$43,'Баланс Тр'!$F$27:$F$43,$F71,'Баланс Тр'!$AB$27:$AB$43,"3"),_xlfn.SUMIFS('Баланс Пр'!AM$27:AM$165,'Баланс Пр'!$F$27:$F$165,$F71,'Баланс Пр'!$AB$27:$AB$165,"9.1"))</f>
        <v>0</v>
      </c>
      <c r="AN71" s="1868">
        <f>IF($K68="передача тепловой энергии",_xlfn.SUMIFS('Баланс Тр'!AN$27:AN$43,'Баланс Тр'!$F$27:$F$43,$F71,'Баланс Тр'!$AB$27:$AB$43,"3"),_xlfn.SUMIFS('Баланс Пр'!AN$27:AN$165,'Баланс Пр'!$F$27:$F$165,$F71,'Баланс Пр'!$AB$27:$AB$165,"9.1"))</f>
        <v>0</v>
      </c>
      <c r="AO71" s="1868">
        <f>IF($K68="передача тепловой энергии",_xlfn.SUMIFS('Баланс Тр'!AO$27:AO$43,'Баланс Тр'!$F$27:$F$43,$F71,'Баланс Тр'!$AB$27:$AB$43,"3"),_xlfn.SUMIFS('Баланс Пр'!AO$27:AO$165,'Баланс Пр'!$F$27:$F$165,$F71,'Баланс Пр'!$AB$27:$AB$165,"9.1"))</f>
        <v>0</v>
      </c>
      <c r="AP71" s="1868">
        <f>IF($K68="передача тепловой энергии",_xlfn.SUMIFS('Баланс Тр'!AP$27:AP$43,'Баланс Тр'!$F$27:$F$43,$F71,'Баланс Тр'!$AB$27:$AB$43,"3"),_xlfn.SUMIFS('Баланс Пр'!AP$27:AP$165,'Баланс Пр'!$F$27:$F$165,$F71,'Баланс Пр'!$AB$27:$AB$165,"9.1"))</f>
        <v>0</v>
      </c>
      <c r="AQ71" s="1868">
        <f>IF($K68="передача тепловой энергии",_xlfn.SUMIFS('Баланс Тр'!AQ$27:AQ$43,'Баланс Тр'!$F$27:$F$43,$F71,'Баланс Тр'!$AB$27:$AB$43,"3"),_xlfn.SUMIFS('Баланс Пр'!AQ$27:AQ$165,'Баланс Пр'!$F$27:$F$165,$F71,'Баланс Пр'!$AB$27:$AB$165,"9.1"))</f>
        <v>0</v>
      </c>
      <c r="AR71" s="1868">
        <f>IF($K68="передача тепловой энергии",_xlfn.SUMIFS('Баланс Тр'!AR$27:AR$43,'Баланс Тр'!$F$27:$F$43,$F71,'Баланс Тр'!$AB$27:$AB$43,"3"),_xlfn.SUMIFS('Баланс Пр'!AR$27:AR$165,'Баланс Пр'!$F$27:$F$165,$F71,'Баланс Пр'!$AB$27:$AB$165,"9.1"))</f>
        <v>0</v>
      </c>
      <c r="AS71" s="1868">
        <f>IF($K68="передача тепловой энергии",_xlfn.SUMIFS('Баланс Тр'!AS$27:AS$43,'Баланс Тр'!$F$27:$F$43,$F71,'Баланс Тр'!$AB$27:$AB$43,"3"),_xlfn.SUMIFS('Баланс Пр'!AS$27:AS$165,'Баланс Пр'!$F$27:$F$165,$F71,'Баланс Пр'!$AB$27:$AB$165,"9.1"))</f>
        <v>5626</v>
      </c>
      <c r="AT71" s="1868">
        <f>IF($K68="передача тепловой энергии",_xlfn.SUMIFS('Баланс Тр'!AT$27:AT$43,'Баланс Тр'!$F$27:$F$43,$F71,'Баланс Тр'!$AB$27:$AB$43,"3"),_xlfn.SUMIFS('Баланс Пр'!AT$27:AT$165,'Баланс Пр'!$F$27:$F$165,$F71,'Баланс Пр'!$AB$27:$AB$165,"9.1"))</f>
        <v>0</v>
      </c>
      <c r="AU71" s="1868">
        <f>IF($K68="передача тепловой энергии",_xlfn.SUMIFS('Баланс Тр'!AU$27:AU$43,'Баланс Тр'!$F$27:$F$43,$F71,'Баланс Тр'!$AB$27:$AB$43,"3"),_xlfn.SUMIFS('Баланс Пр'!AU$27:AU$165,'Баланс Пр'!$F$27:$F$165,$F71,'Баланс Пр'!$AB$27:$AB$165,"9.1"))</f>
        <v>0</v>
      </c>
      <c r="AV71" s="1868">
        <f>IF($K68="передача тепловой энергии",_xlfn.SUMIFS('Баланс Тр'!AV$27:AV$43,'Баланс Тр'!$F$27:$F$43,$F71,'Баланс Тр'!$AB$27:$AB$43,"3"),_xlfn.SUMIFS('Баланс Пр'!AV$27:AV$165,'Баланс Пр'!$F$27:$F$165,$F71,'Баланс Пр'!$AB$27:$AB$165,"9.1"))</f>
        <v>0</v>
      </c>
      <c r="AW71" s="1868">
        <f>IF($K68="передача тепловой энергии",_xlfn.SUMIFS('Баланс Тр'!AW$27:AW$43,'Баланс Тр'!$F$27:$F$43,$F71,'Баланс Тр'!$AB$27:$AB$43,"3"),_xlfn.SUMIFS('Баланс Пр'!AW$27:AW$165,'Баланс Пр'!$F$27:$F$165,$F71,'Баланс Пр'!$AB$27:$AB$165,"9.1"))</f>
        <v>0</v>
      </c>
      <c r="AX71" s="1868">
        <f>IF($K68="передача тепловой энергии",_xlfn.SUMIFS('Баланс Тр'!AX$27:AX$43,'Баланс Тр'!$F$27:$F$43,$F71,'Баланс Тр'!$AB$27:$AB$43,"3"),_xlfn.SUMIFS('Баланс Пр'!AX$27:AX$165,'Баланс Пр'!$F$27:$F$165,$F71,'Баланс Пр'!$AB$27:$AB$165,"9.1"))</f>
        <v>0</v>
      </c>
      <c r="AY71" s="1868">
        <f>IF($K68="передача тепловой энергии",_xlfn.SUMIFS('Баланс Тр'!AY$27:AY$43,'Баланс Тр'!$F$27:$F$43,$F71,'Баланс Тр'!$AB$27:$AB$43,"3"),_xlfn.SUMIFS('Баланс Пр'!AY$27:AY$165,'Баланс Пр'!$F$27:$F$165,$F71,'Баланс Пр'!$AB$27:$AB$165,"9.1"))</f>
        <v>0</v>
      </c>
      <c r="AZ71" s="1868">
        <f>IF($K68="передача тепловой энергии",_xlfn.SUMIFS('Баланс Тр'!AZ$27:AZ$43,'Баланс Тр'!$F$27:$F$43,$F71,'Баланс Тр'!$AB$27:$AB$43,"3"),_xlfn.SUMIFS('Баланс Пр'!AZ$27:AZ$165,'Баланс Пр'!$F$27:$F$165,$F71,'Баланс Пр'!$AB$27:$AB$165,"9.1"))</f>
        <v>0</v>
      </c>
      <c r="BA71" s="1868">
        <f>IF($K68="передача тепловой энергии",_xlfn.SUMIFS('Баланс Тр'!BA$27:BA$43,'Баланс Тр'!$F$27:$F$43,$F71,'Баланс Тр'!$AB$27:$AB$43,"3"),_xlfn.SUMIFS('Баланс Пр'!BA$27:BA$165,'Баланс Пр'!$F$27:$F$165,$F71,'Баланс Пр'!$AB$27:$AB$165,"9.1"))</f>
        <v>0</v>
      </c>
      <c r="BB71" s="1868">
        <f>IF($K68="передача тепловой энергии",_xlfn.SUMIFS('Баланс Тр'!BB$27:BB$43,'Баланс Тр'!$F$27:$F$43,$F71,'Баланс Тр'!$AB$27:$AB$43,"3"),_xlfn.SUMIFS('Баланс Пр'!BB$27:BB$165,'Баланс Пр'!$F$27:$F$165,$F71,'Баланс Пр'!$AB$27:$AB$165,"9.1"))</f>
        <v>0</v>
      </c>
      <c r="BC71" s="1719"/>
      <c r="BD71" s="1462"/>
      <c r="BE71" s="1462"/>
      <c r="BF71" s="1184" t="s">
        <v>759</v>
      </c>
      <c r="BG71" s="1190"/>
      <c r="BH71" s="1190"/>
      <c r="BI71" s="1191"/>
      <c r="BJ71" s="1191"/>
    </row>
    <row s="792" customFormat="1" customHeight="1" ht="16.5">
      <c r="A72" s="1462"/>
      <c r="B72" s="1462"/>
      <c r="C72" s="1462"/>
      <c r="D72" s="1462"/>
      <c r="E72" s="803">
        <v>17.1</v>
      </c>
      <c r="F72" s="922" cm="1" t="str">
        <f t="array" ref="F72:F72">OFFSET(G72,-1,-1)</f>
        <v>1</v>
      </c>
      <c r="G72" s="1462"/>
      <c r="H72" s="1462"/>
      <c r="I72" s="1462"/>
      <c r="J72" s="1462"/>
      <c r="K72" s="1462"/>
      <c r="L72" s="1462"/>
      <c r="M72" s="1462"/>
      <c r="N72" s="1462"/>
      <c r="O72" s="1462"/>
      <c r="P72" s="1462"/>
      <c r="Q72" s="1462"/>
      <c r="R72" s="1462"/>
      <c r="S72" s="1462"/>
      <c r="T72" s="923" cm="1" t="str">
        <f t="array" ref="T72:T72">T71</f>
        <v>true</v>
      </c>
      <c r="U72" s="1462"/>
      <c r="V72" s="1462"/>
      <c r="W72" s="1462"/>
      <c r="X72" s="1462"/>
      <c r="Y72" s="1462"/>
      <c r="Z72" s="1462"/>
      <c r="AA72" s="1462"/>
      <c r="AB72" s="216" t="s">
        <v>937</v>
      </c>
      <c r="AC72" s="276" t="s">
        <v>938</v>
      </c>
      <c r="AD72" s="170" t="s">
        <v>939</v>
      </c>
      <c r="AE72" s="267">
        <f>IF(AE70=0,0,AE69/AE70)</f>
        <v>9.09</v>
      </c>
      <c r="AF72" s="267">
        <f>IF(AF70=0,0,AF69/AF70)</f>
        <v>9.35600181347841</v>
      </c>
      <c r="AG72" s="267">
        <f>IF(AG70=0,0,AG69/AG70)</f>
        <v>9.35989203498482</v>
      </c>
      <c r="AH72" s="267">
        <f>IF(AH70=0,0,AH69/AH70)</f>
        <v>10.24763</v>
      </c>
      <c r="AI72" s="267">
        <f>IF(AI70=0,0,AI69/AI70)</f>
        <v>11.1514284971534</v>
      </c>
      <c r="AJ72" s="1663">
        <f>IF(AJ70=0,0,AJ69/AJ70)</f>
        <v>0</v>
      </c>
      <c r="AK72" s="1663">
        <f>IF(AK70=0,0,AK69/AK70)</f>
        <v>0</v>
      </c>
      <c r="AL72" s="1663">
        <f>IF(AL70=0,0,AL69/AL70)</f>
        <v>0</v>
      </c>
      <c r="AM72" s="1663">
        <f>IF(AM70=0,0,AM69/AM70)</f>
        <v>0</v>
      </c>
      <c r="AN72" s="1663">
        <f>IF(AN70=0,0,AN69/AN70)</f>
        <v>0</v>
      </c>
      <c r="AO72" s="1663">
        <f>IF(AO70=0,0,AO69/AO70)</f>
        <v>0</v>
      </c>
      <c r="AP72" s="1663">
        <f>IF(AP70=0,0,AP69/AP70)</f>
        <v>0</v>
      </c>
      <c r="AQ72" s="1663">
        <f>IF(AQ70=0,0,AQ69/AQ70)</f>
        <v>0</v>
      </c>
      <c r="AR72" s="1663">
        <f>IF(AR70=0,0,AR69/AR70)</f>
        <v>0</v>
      </c>
      <c r="AS72" s="267">
        <f>IF(AS70=0,0,AS69/AS70)</f>
        <v>11.15013</v>
      </c>
      <c r="AT72" s="1663">
        <f>IF(AT70=0,0,AT69/AT70)</f>
        <v>0</v>
      </c>
      <c r="AU72" s="1663">
        <f>IF(AU70=0,0,AU69/AU70)</f>
        <v>0</v>
      </c>
      <c r="AV72" s="1663">
        <f>IF(AV70=0,0,AV69/AV70)</f>
        <v>0</v>
      </c>
      <c r="AW72" s="1663">
        <f>IF(AW70=0,0,AW69/AW70)</f>
        <v>0</v>
      </c>
      <c r="AX72" s="1663">
        <f>IF(AX70=0,0,AX69/AX70)</f>
        <v>0</v>
      </c>
      <c r="AY72" s="1663">
        <f>IF(AY70=0,0,AY69/AY70)</f>
        <v>0</v>
      </c>
      <c r="AZ72" s="1663">
        <f>IF(AZ70=0,0,AZ69/AZ70)</f>
        <v>0</v>
      </c>
      <c r="BA72" s="1663">
        <f>IF(BA70=0,0,BA69/BA70)</f>
        <v>0</v>
      </c>
      <c r="BB72" s="1663">
        <f>IF(BB70=0,0,BB69/BB70)</f>
        <v>0</v>
      </c>
      <c r="BC72" s="1719"/>
      <c r="BD72" s="1462"/>
      <c r="BE72" s="1462"/>
      <c r="BF72" s="1184" t="s">
        <v>940</v>
      </c>
      <c r="BG72" s="1190"/>
      <c r="BH72" s="1190"/>
      <c r="BI72" s="1191"/>
      <c r="BJ72" s="1191"/>
    </row>
    <row s="792" customFormat="1" customHeight="1" ht="16.5">
      <c r="A73" s="1462"/>
      <c r="B73" s="1462"/>
      <c r="C73" s="1462"/>
      <c r="D73" s="1462"/>
      <c r="E73" s="803">
        <v>17.1</v>
      </c>
      <c r="F73" s="922" cm="1" t="str">
        <f t="array" ref="F73:F73">OFFSET(G73,-1,-1)</f>
        <v>1</v>
      </c>
      <c r="G73" s="1462"/>
      <c r="H73" s="1462"/>
      <c r="I73" s="1462"/>
      <c r="J73" s="1462"/>
      <c r="K73" s="1462"/>
      <c r="L73" s="1462"/>
      <c r="M73" s="1462"/>
      <c r="N73" s="1462"/>
      <c r="O73" s="1462"/>
      <c r="P73" s="1462"/>
      <c r="Q73" s="1462"/>
      <c r="R73" s="1462"/>
      <c r="S73" s="1462"/>
      <c r="T73" s="923" cm="1" t="str">
        <f t="array" ref="T73:T73">T72</f>
        <v>true</v>
      </c>
      <c r="U73" s="1462"/>
      <c r="V73" s="1462"/>
      <c r="W73" s="1462"/>
      <c r="X73" s="1462"/>
      <c r="Y73" s="1462"/>
      <c r="Z73" s="1462"/>
      <c r="AA73" s="1462"/>
      <c r="AB73" s="216" t="s">
        <v>941</v>
      </c>
      <c r="AC73" s="276" t="s">
        <v>942</v>
      </c>
      <c r="AD73" s="170" t="s">
        <v>745</v>
      </c>
      <c r="AE73" s="387">
        <f>IF(AE71=0,0,AE70/AE71)*1000</f>
        <v>57.4671260013087</v>
      </c>
      <c r="AF73" s="387">
        <f>IF(AF71=0,0,AF70/AF71)*1000</f>
        <v>59.193109686504</v>
      </c>
      <c r="AG73" s="387">
        <f>IF(AG71=0,0,AG70/AG71)*1000</f>
        <v>57.4538167102318</v>
      </c>
      <c r="AH73" s="387">
        <f>IF(AH71=0,0,AH70/AH71)*1000</f>
        <v>59.3281194454319</v>
      </c>
      <c r="AI73" s="387">
        <f>IF(AI71=0,0,AI70/AI71)*1000</f>
        <v>68.3724071737083</v>
      </c>
      <c r="AJ73" s="1876">
        <f>IF(AJ71=0,0,AJ70/AJ71)*1000</f>
        <v>0</v>
      </c>
      <c r="AK73" s="1876">
        <f>IF(AK71=0,0,AK70/AK71)*1000</f>
        <v>0</v>
      </c>
      <c r="AL73" s="1876">
        <f>IF(AL71=0,0,AL70/AL71)*1000</f>
        <v>0</v>
      </c>
      <c r="AM73" s="1876">
        <f>IF(AM71=0,0,AM70/AM71)*1000</f>
        <v>0</v>
      </c>
      <c r="AN73" s="1876">
        <f>IF(AN71=0,0,AN70/AN71)*1000</f>
        <v>0</v>
      </c>
      <c r="AO73" s="1876">
        <f>IF(AO71=0,0,AO70/AO71)*1000</f>
        <v>0</v>
      </c>
      <c r="AP73" s="1876">
        <f>IF(AP71=0,0,AP70/AP71)*1000</f>
        <v>0</v>
      </c>
      <c r="AQ73" s="1876">
        <f>IF(AQ71=0,0,AQ70/AQ71)*1000</f>
        <v>0</v>
      </c>
      <c r="AR73" s="1876">
        <f>IF(AR71=0,0,AR70/AR71)*1000</f>
        <v>0</v>
      </c>
      <c r="AS73" s="387">
        <f>IF(AS71=0,0,AS70/AS71)*1000</f>
        <v>59.3281194454319</v>
      </c>
      <c r="AT73" s="1876">
        <f>IF(AT71=0,0,AT70/AT71)*1000</f>
        <v>0</v>
      </c>
      <c r="AU73" s="1876">
        <f>IF(AU71=0,0,AU70/AU71)*1000</f>
        <v>0</v>
      </c>
      <c r="AV73" s="1876">
        <f>IF(AV71=0,0,AV70/AV71)*1000</f>
        <v>0</v>
      </c>
      <c r="AW73" s="1876">
        <f>IF(AW71=0,0,AW70/AW71)*1000</f>
        <v>0</v>
      </c>
      <c r="AX73" s="1876">
        <f>IF(AX71=0,0,AX70/AX71)*1000</f>
        <v>0</v>
      </c>
      <c r="AY73" s="1876">
        <f>IF(AY71=0,0,AY70/AY71)*1000</f>
        <v>0</v>
      </c>
      <c r="AZ73" s="1876">
        <f>IF(AZ71=0,0,AZ70/AZ71)*1000</f>
        <v>0</v>
      </c>
      <c r="BA73" s="1876">
        <f>IF(BA71=0,0,BA70/BA71)*1000</f>
        <v>0</v>
      </c>
      <c r="BB73" s="1876">
        <f>IF(BB71=0,0,BB70/BB71)*1000</f>
        <v>0</v>
      </c>
      <c r="BC73" s="1719"/>
      <c r="BD73" s="1462"/>
      <c r="BE73" s="1462"/>
      <c r="BF73" s="1184" t="s">
        <v>736</v>
      </c>
      <c r="BG73" s="1190"/>
      <c r="BH73" s="1190"/>
      <c r="BI73" s="1191"/>
      <c r="BJ73" s="1191"/>
    </row>
    <row s="792" customFormat="1" customHeight="1" ht="16.5">
      <c r="A74" s="1462"/>
      <c r="B74" s="1462"/>
      <c r="C74" s="1462"/>
      <c r="D74" s="1462"/>
      <c r="E74" s="803">
        <v>17.1</v>
      </c>
      <c r="F74" s="922" cm="1" t="str">
        <f t="array" ref="F74:F74">OFFSET(G74,-1,-1)</f>
        <v>1</v>
      </c>
      <c r="G74" s="1462"/>
      <c r="H74" s="1462"/>
      <c r="I74" s="1462"/>
      <c r="J74" s="1462"/>
      <c r="K74" s="1462"/>
      <c r="L74" s="1462"/>
      <c r="M74" s="1462"/>
      <c r="N74" s="1462"/>
      <c r="O74" s="1462"/>
      <c r="P74" s="1462"/>
      <c r="Q74" s="1462"/>
      <c r="R74" s="1462"/>
      <c r="S74" s="158"/>
      <c r="T74" s="923" cm="1" t="str">
        <f t="array" ref="T74:T74">T73</f>
        <v>true</v>
      </c>
      <c r="U74" s="1462"/>
      <c r="V74" s="1462"/>
      <c r="W74" s="1462"/>
      <c r="X74" s="1462"/>
      <c r="Y74" s="1462"/>
      <c r="Z74" s="1462"/>
      <c r="AA74" s="1462"/>
      <c r="AB74" s="346"/>
      <c r="AC74" s="343" t="s">
        <v>943</v>
      </c>
      <c r="AD74" s="344"/>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1094"/>
      <c r="BD74" s="1462"/>
      <c r="BE74" s="1462"/>
      <c r="BF74" s="1184"/>
      <c r="BG74" s="1190"/>
      <c r="BH74" s="1190"/>
      <c r="BI74" s="1191"/>
      <c r="BJ74" s="1191"/>
    </row>
    <row s="792" customFormat="1" customHeight="1" ht="16.5" hidden="1">
      <c r="A75" s="1125" t="str">
        <f>"checkCosts_1."&amp;F75&amp;"."&amp;Y75</f>
        <v>checkCosts_1.1.0</v>
      </c>
      <c r="E75" s="803">
        <v>17.1</v>
      </c>
      <c r="F75" s="922" cm="1" t="str">
        <f t="array" ref="F75:F75">OFFSET(G75,-1,-1)</f>
        <v>1</v>
      </c>
      <c r="H75" s="213" cm="1" t="str">
        <f t="array" ref="H75:H75">AC75</f>
        <v>0</v>
      </c>
      <c r="I75" s="215" t="s">
        <v>930</v>
      </c>
      <c r="S75" s="158"/>
      <c r="T75" s="923">
        <f>AND(F75&gt;0,Y75&gt;0)</f>
        <v>0</v>
      </c>
      <c r="W75" s="171" t="s">
        <v>234</v>
      </c>
      <c r="Y75" s="171">
        <v>0</v>
      </c>
      <c r="AA75" s="1415" t="s">
        <v>218</v>
      </c>
      <c r="AB75" s="216" t="str">
        <f>"1.5."&amp;Y75</f>
        <v>1.5.0</v>
      </c>
      <c r="AC75" s="100"/>
      <c r="AD75" s="156" t="s">
        <v>810</v>
      </c>
      <c r="AE75" s="1869">
        <f>AE76*AE77</f>
        <v>0</v>
      </c>
      <c r="AF75" s="1663"/>
      <c r="AG75" s="1663"/>
      <c r="AH75" s="1869">
        <f>AH76*AH77</f>
        <v>0</v>
      </c>
      <c r="AI75" s="212"/>
      <c r="AJ75" s="1663"/>
      <c r="AK75" s="1663"/>
      <c r="AL75" s="1663"/>
      <c r="AM75" s="1663"/>
      <c r="AN75" s="1663"/>
      <c r="AO75" s="1663"/>
      <c r="AP75" s="1663"/>
      <c r="AQ75" s="1663"/>
      <c r="AR75" s="1663"/>
      <c r="AS75" s="1869">
        <f>AS76*AS77</f>
        <v>0</v>
      </c>
      <c r="AT75" s="1869">
        <f>AT76*AT77</f>
        <v>0</v>
      </c>
      <c r="AU75" s="1869">
        <f>AU76*AU77</f>
        <v>0</v>
      </c>
      <c r="AV75" s="1869">
        <f>AV76*AV77</f>
        <v>0</v>
      </c>
      <c r="AW75" s="1869">
        <f>AW76*AW77</f>
        <v>0</v>
      </c>
      <c r="AX75" s="1869">
        <f>AX76*AX77</f>
        <v>0</v>
      </c>
      <c r="AY75" s="1869">
        <f>AY76*AY77</f>
        <v>0</v>
      </c>
      <c r="AZ75" s="1869">
        <f>AZ76*AZ77</f>
        <v>0</v>
      </c>
      <c r="BA75" s="1869">
        <f>BA76*BA77</f>
        <v>0</v>
      </c>
      <c r="BB75" s="1869">
        <f>BB76*BB77</f>
        <v>0</v>
      </c>
      <c r="BC75" s="1719"/>
      <c r="BF75" s="1184" t="s">
        <v>944</v>
      </c>
      <c r="BG75" s="1190" t="s">
        <v>945</v>
      </c>
      <c r="BH75" s="1190" cm="1" t="str">
        <f t="array" ref="BH75:BH75">AC75</f>
        <v>0</v>
      </c>
      <c r="BI75" s="1191"/>
      <c r="BJ75" s="1191" t="b">
        <v>1</v>
      </c>
    </row>
    <row s="792" customFormat="1" customHeight="1" ht="16.5" hidden="1">
      <c r="E76" s="803">
        <v>17.1</v>
      </c>
      <c r="F76" s="922" cm="1" t="str">
        <f t="array" ref="F76:F76">OFFSET(G76,-1,-1)</f>
        <v>1</v>
      </c>
      <c r="H76" s="213" cm="1" t="str">
        <f t="array" ref="H76:H76">H75</f>
        <v>0</v>
      </c>
      <c r="S76" s="158"/>
      <c r="T76" s="923" cm="1" t="str">
        <f t="array" ref="T76:T76">T75</f>
        <v>false</v>
      </c>
      <c r="AA76" s="1415"/>
      <c r="AB76" s="815" t="str">
        <f>AB75&amp;".1"</f>
        <v>1.5.0.1</v>
      </c>
      <c r="AC76" s="784" t="s">
        <v>946</v>
      </c>
      <c r="AD76" s="174" t="s">
        <v>947</v>
      </c>
      <c r="AE76" s="101"/>
      <c r="AF76" s="1379">
        <f>IF(AF77=0,0,AF75/AF77)</f>
        <v>0</v>
      </c>
      <c r="AG76" s="1379">
        <f>IF(AG77=0,0,AG75/AG77)</f>
        <v>0</v>
      </c>
      <c r="AH76" s="101"/>
      <c r="AI76" s="1379">
        <f>IF(AI77=0,0,AI75/AI77)</f>
        <v>0</v>
      </c>
      <c r="AJ76" s="1379">
        <f>IF(AJ77=0,0,AJ75/AJ77)</f>
        <v>0</v>
      </c>
      <c r="AK76" s="1379">
        <f>IF(AK77=0,0,AK75/AK77)</f>
        <v>0</v>
      </c>
      <c r="AL76" s="1379">
        <f>IF(AL77=0,0,AL75/AL77)</f>
        <v>0</v>
      </c>
      <c r="AM76" s="1379">
        <f>IF(AM77=0,0,AM75/AM77)</f>
        <v>0</v>
      </c>
      <c r="AN76" s="1379">
        <f>IF(AN77=0,0,AN75/AN77)</f>
        <v>0</v>
      </c>
      <c r="AO76" s="1379">
        <f>IF(AO77=0,0,AO75/AO77)</f>
        <v>0</v>
      </c>
      <c r="AP76" s="1379">
        <f>IF(AP77=0,0,AP75/AP77)</f>
        <v>0</v>
      </c>
      <c r="AQ76" s="1379">
        <f>IF(AQ77=0,0,AQ75/AQ77)</f>
        <v>0</v>
      </c>
      <c r="AR76" s="1379">
        <f>IF(AR77=0,0,AR75/AR77)</f>
        <v>0</v>
      </c>
      <c r="AS76" s="782"/>
      <c r="AT76" s="101"/>
      <c r="AU76" s="101"/>
      <c r="AV76" s="101"/>
      <c r="AW76" s="101"/>
      <c r="AX76" s="101"/>
      <c r="AY76" s="101"/>
      <c r="AZ76" s="101"/>
      <c r="BA76" s="101"/>
      <c r="BB76" s="101"/>
      <c r="BC76" s="69"/>
      <c r="BF76" s="1184" t="s">
        <v>948</v>
      </c>
      <c r="BG76" s="1190" t="s">
        <v>945</v>
      </c>
      <c r="BH76" s="1190" cm="1" t="str">
        <f t="array" ref="BH76:BH76">BH75</f>
        <v>0</v>
      </c>
      <c r="BI76" s="1191"/>
      <c r="BJ76" s="1191"/>
    </row>
    <row s="792" customFormat="1" customHeight="1" ht="16.5" hidden="1">
      <c r="A77" s="1125" t="str">
        <f>"checkVolume_1."&amp;F77&amp;"."&amp;Y75</f>
        <v>checkVolume_1.1.0</v>
      </c>
      <c r="E77" s="803">
        <v>17.1</v>
      </c>
      <c r="F77" s="922" cm="1" t="str">
        <f t="array" ref="F77:F77">OFFSET(G77,-1,-1)</f>
        <v>1</v>
      </c>
      <c r="H77" s="213" cm="1" t="str">
        <f t="array" ref="H77:H77">H75</f>
        <v>0</v>
      </c>
      <c r="S77" s="158"/>
      <c r="T77" s="923" cm="1" t="str">
        <f t="array" ref="T77:T77">T75</f>
        <v>false</v>
      </c>
      <c r="AA77" s="1415"/>
      <c r="AB77" s="815" t="str">
        <f>AB75&amp;".2"</f>
        <v>1.5.0.2</v>
      </c>
      <c r="AC77" s="784" t="s">
        <v>949</v>
      </c>
      <c r="AD77" s="174" t="s">
        <v>733</v>
      </c>
      <c r="AE77" s="101"/>
      <c r="AF77" s="101"/>
      <c r="AG77" s="101"/>
      <c r="AH77" s="101"/>
      <c r="AI77" s="782"/>
      <c r="AJ77" s="101"/>
      <c r="AK77" s="101"/>
      <c r="AL77" s="101"/>
      <c r="AM77" s="101"/>
      <c r="AN77" s="101"/>
      <c r="AO77" s="101"/>
      <c r="AP77" s="101"/>
      <c r="AQ77" s="101"/>
      <c r="AR77" s="101"/>
      <c r="AS77" s="782"/>
      <c r="AT77" s="101"/>
      <c r="AU77" s="101"/>
      <c r="AV77" s="101"/>
      <c r="AW77" s="101"/>
      <c r="AX77" s="101"/>
      <c r="AY77" s="101"/>
      <c r="AZ77" s="101"/>
      <c r="BA77" s="101"/>
      <c r="BB77" s="101"/>
      <c r="BC77" s="69"/>
      <c r="BF77" s="1184" t="s">
        <v>950</v>
      </c>
      <c r="BG77" s="1190" t="s">
        <v>945</v>
      </c>
      <c r="BH77" s="1190" cm="1" t="str">
        <f t="array" ref="BH77:BH77">BH75</f>
        <v>0</v>
      </c>
      <c r="BI77" s="1191"/>
      <c r="BJ77" s="1191"/>
    </row>
    <row s="792" customFormat="1" customHeight="1" ht="16.5">
      <c r="A78" s="1125" t="str">
        <f>"checkCosts_1."&amp;F78&amp;"."&amp;Y78</f>
        <v>checkCosts_1.1.1</v>
      </c>
      <c r="B78" s="792"/>
      <c r="C78" s="792"/>
      <c r="D78" s="792"/>
      <c r="E78" s="803">
        <v>17.1</v>
      </c>
      <c r="F78" s="922" cm="1" t="str">
        <f t="array" ref="F78:F78">OFFSET(G78,-1,-1)</f>
        <v>1</v>
      </c>
      <c r="G78" s="792"/>
      <c r="H78" s="213" cm="1" t="str">
        <f t="array" ref="H78:H78">AC78</f>
        <v>НН</v>
      </c>
      <c r="I78" s="215" t="s">
        <v>930</v>
      </c>
      <c r="J78" s="792"/>
      <c r="K78" s="792"/>
      <c r="L78" s="792"/>
      <c r="M78" s="792"/>
      <c r="N78" s="792"/>
      <c r="O78" s="792"/>
      <c r="P78" s="792"/>
      <c r="Q78" s="792"/>
      <c r="R78" s="792"/>
      <c r="S78" s="158"/>
      <c r="T78" s="923">
        <f>AND(F78&gt;0,Y78&gt;0)</f>
        <v>1</v>
      </c>
      <c r="U78" s="792"/>
      <c r="V78" s="792"/>
      <c r="W78" s="171"/>
      <c r="X78" s="792"/>
      <c r="Y78" s="171" t="s">
        <v>336</v>
      </c>
      <c r="Z78" s="792"/>
      <c r="AA78" s="1415" t="s">
        <v>218</v>
      </c>
      <c r="AB78" s="216" t="str">
        <f>"1.5."&amp;Y78</f>
        <v>1.5.1</v>
      </c>
      <c r="AC78" s="1878" t="s">
        <v>992</v>
      </c>
      <c r="AD78" s="156" t="s">
        <v>810</v>
      </c>
      <c r="AE78" s="1869">
        <f>AE79*AE80</f>
        <v>3496.6503</v>
      </c>
      <c r="AF78" s="1663">
        <v>3508.22</v>
      </c>
      <c r="AG78" s="1663">
        <v>3606.46</v>
      </c>
      <c r="AH78" s="1869">
        <f>AH79*AH80</f>
        <v>3420.4539414</v>
      </c>
      <c r="AI78" s="212">
        <v>4289.62</v>
      </c>
      <c r="AJ78" s="1663"/>
      <c r="AK78" s="1663"/>
      <c r="AL78" s="1663"/>
      <c r="AM78" s="1663"/>
      <c r="AN78" s="1663"/>
      <c r="AO78" s="1663"/>
      <c r="AP78" s="1663"/>
      <c r="AQ78" s="1663"/>
      <c r="AR78" s="1663"/>
      <c r="AS78" s="1869">
        <f>AS79*AS80</f>
        <v>3721.6903914</v>
      </c>
      <c r="AT78" s="1869">
        <f>AT79*AT80</f>
        <v>0</v>
      </c>
      <c r="AU78" s="1869">
        <f>AU79*AU80</f>
        <v>0</v>
      </c>
      <c r="AV78" s="1869">
        <f>AV79*AV80</f>
        <v>0</v>
      </c>
      <c r="AW78" s="1869">
        <f>AW79*AW80</f>
        <v>0</v>
      </c>
      <c r="AX78" s="1869">
        <f>AX79*AX80</f>
        <v>0</v>
      </c>
      <c r="AY78" s="1869">
        <f>AY79*AY80</f>
        <v>0</v>
      </c>
      <c r="AZ78" s="1869">
        <f>AZ79*AZ80</f>
        <v>0</v>
      </c>
      <c r="BA78" s="1869">
        <f>BA79*BA80</f>
        <v>0</v>
      </c>
      <c r="BB78" s="1869">
        <f>BB79*BB80</f>
        <v>0</v>
      </c>
      <c r="BC78" s="1719"/>
      <c r="BD78" s="792"/>
      <c r="BE78" s="792"/>
      <c r="BF78" s="1184" t="s">
        <v>944</v>
      </c>
      <c r="BG78" s="1190" t="s">
        <v>945</v>
      </c>
      <c r="BH78" s="1190" cm="1" t="str">
        <f t="array" ref="BH78:BH78">AC78</f>
        <v>НН</v>
      </c>
      <c r="BI78" s="1191"/>
      <c r="BJ78" s="1191" t="b">
        <v>1</v>
      </c>
    </row>
    <row s="792" customFormat="1" customHeight="1" ht="16.5">
      <c r="A79" s="792"/>
      <c r="B79" s="792"/>
      <c r="C79" s="792"/>
      <c r="D79" s="792"/>
      <c r="E79" s="803">
        <v>17.1</v>
      </c>
      <c r="F79" s="922" cm="1" t="str">
        <f t="array" ref="F79:F79">OFFSET(G79,-1,-1)</f>
        <v>1</v>
      </c>
      <c r="G79" s="792"/>
      <c r="H79" s="213" cm="1" t="str">
        <f t="array" ref="H79:H79">H78</f>
        <v>НН</v>
      </c>
      <c r="I79" s="792"/>
      <c r="J79" s="792"/>
      <c r="K79" s="792"/>
      <c r="L79" s="792"/>
      <c r="M79" s="792"/>
      <c r="N79" s="792"/>
      <c r="O79" s="792"/>
      <c r="P79" s="792"/>
      <c r="Q79" s="792"/>
      <c r="R79" s="792"/>
      <c r="S79" s="158"/>
      <c r="T79" s="923" cm="1" t="str">
        <f t="array" ref="T79:T79">T78</f>
        <v>true</v>
      </c>
      <c r="U79" s="792"/>
      <c r="V79" s="792"/>
      <c r="W79" s="792"/>
      <c r="X79" s="792"/>
      <c r="Y79" s="792"/>
      <c r="Z79" s="792"/>
      <c r="AA79" s="1415"/>
      <c r="AB79" s="815" t="str">
        <f>AB78&amp;".1"</f>
        <v>1.5.1.1</v>
      </c>
      <c r="AC79" s="784" t="s">
        <v>946</v>
      </c>
      <c r="AD79" s="174" t="s">
        <v>947</v>
      </c>
      <c r="AE79" s="1870">
        <v>9.09</v>
      </c>
      <c r="AF79" s="1379">
        <f>IF(AF80=0,0,AF78/AF80)</f>
        <v>9.35600181347841</v>
      </c>
      <c r="AG79" s="1379">
        <f>IF(AG80=0,0,AG78/AG80)</f>
        <v>9.35989203498482</v>
      </c>
      <c r="AH79" s="1870">
        <v>10.24763</v>
      </c>
      <c r="AI79" s="1379">
        <f>IF(AI80=0,0,AI78/AI80)</f>
        <v>11.1514284971534</v>
      </c>
      <c r="AJ79" s="1379">
        <f>IF(AJ80=0,0,AJ78/AJ80)</f>
        <v>0</v>
      </c>
      <c r="AK79" s="1379">
        <f>IF(AK80=0,0,AK78/AK80)</f>
        <v>0</v>
      </c>
      <c r="AL79" s="1379">
        <f>IF(AL80=0,0,AL78/AL80)</f>
        <v>0</v>
      </c>
      <c r="AM79" s="1379">
        <f>IF(AM80=0,0,AM78/AM80)</f>
        <v>0</v>
      </c>
      <c r="AN79" s="1379">
        <f>IF(AN80=0,0,AN78/AN80)</f>
        <v>0</v>
      </c>
      <c r="AO79" s="1379">
        <f>IF(AO80=0,0,AO78/AO80)</f>
        <v>0</v>
      </c>
      <c r="AP79" s="1379">
        <f>IF(AP80=0,0,AP78/AP80)</f>
        <v>0</v>
      </c>
      <c r="AQ79" s="1379">
        <f>IF(AQ80=0,0,AQ78/AQ80)</f>
        <v>0</v>
      </c>
      <c r="AR79" s="1379">
        <f>IF(AR80=0,0,AR78/AR80)</f>
        <v>0</v>
      </c>
      <c r="AS79" s="782">
        <v>11.15013</v>
      </c>
      <c r="AT79" s="1870"/>
      <c r="AU79" s="1870"/>
      <c r="AV79" s="1870"/>
      <c r="AW79" s="1870"/>
      <c r="AX79" s="1870"/>
      <c r="AY79" s="1870"/>
      <c r="AZ79" s="1870"/>
      <c r="BA79" s="1870"/>
      <c r="BB79" s="1870"/>
      <c r="BC79" s="1721"/>
      <c r="BD79" s="792"/>
      <c r="BE79" s="792"/>
      <c r="BF79" s="1184" t="s">
        <v>948</v>
      </c>
      <c r="BG79" s="1190" t="s">
        <v>945</v>
      </c>
      <c r="BH79" s="1190" cm="1" t="str">
        <f t="array" ref="BH79:BH79">BH78</f>
        <v>НН</v>
      </c>
      <c r="BI79" s="1191"/>
      <c r="BJ79" s="1191"/>
    </row>
    <row s="792" customFormat="1" customHeight="1" ht="16.5">
      <c r="A80" s="1125" t="str">
        <f>"checkVolume_1."&amp;F80&amp;"."&amp;Y78</f>
        <v>checkVolume_1.1.1</v>
      </c>
      <c r="B80" s="792"/>
      <c r="C80" s="792"/>
      <c r="D80" s="792"/>
      <c r="E80" s="803">
        <v>17.1</v>
      </c>
      <c r="F80" s="922" cm="1" t="str">
        <f t="array" ref="F80:F80">OFFSET(G80,-1,-1)</f>
        <v>1</v>
      </c>
      <c r="G80" s="792"/>
      <c r="H80" s="213" cm="1" t="str">
        <f t="array" ref="H80:H80">H78</f>
        <v>НН</v>
      </c>
      <c r="I80" s="792"/>
      <c r="J80" s="792"/>
      <c r="K80" s="792"/>
      <c r="L80" s="792"/>
      <c r="M80" s="792"/>
      <c r="N80" s="792"/>
      <c r="O80" s="792"/>
      <c r="P80" s="792"/>
      <c r="Q80" s="792"/>
      <c r="R80" s="792"/>
      <c r="S80" s="158"/>
      <c r="T80" s="923" cm="1" t="str">
        <f t="array" ref="T80:T80">T78</f>
        <v>true</v>
      </c>
      <c r="U80" s="792"/>
      <c r="V80" s="792"/>
      <c r="W80" s="792"/>
      <c r="X80" s="792"/>
      <c r="Y80" s="792"/>
      <c r="Z80" s="792"/>
      <c r="AA80" s="1415"/>
      <c r="AB80" s="815" t="str">
        <f>AB78&amp;".2"</f>
        <v>1.5.1.2</v>
      </c>
      <c r="AC80" s="784" t="s">
        <v>949</v>
      </c>
      <c r="AD80" s="174" t="s">
        <v>733</v>
      </c>
      <c r="AE80" s="1870">
        <v>384.67</v>
      </c>
      <c r="AF80" s="1870">
        <v>374.97</v>
      </c>
      <c r="AG80" s="1870">
        <v>385.31</v>
      </c>
      <c r="AH80" s="1870">
        <v>333.78</v>
      </c>
      <c r="AI80" s="782">
        <v>384.67</v>
      </c>
      <c r="AJ80" s="1870"/>
      <c r="AK80" s="1870"/>
      <c r="AL80" s="1870"/>
      <c r="AM80" s="1870"/>
      <c r="AN80" s="1870"/>
      <c r="AO80" s="1870"/>
      <c r="AP80" s="1870"/>
      <c r="AQ80" s="1870"/>
      <c r="AR80" s="1870"/>
      <c r="AS80" s="782">
        <v>333.78</v>
      </c>
      <c r="AT80" s="1870"/>
      <c r="AU80" s="1870"/>
      <c r="AV80" s="1870"/>
      <c r="AW80" s="1870"/>
      <c r="AX80" s="1870"/>
      <c r="AY80" s="1870"/>
      <c r="AZ80" s="1870"/>
      <c r="BA80" s="1870"/>
      <c r="BB80" s="1870"/>
      <c r="BC80" s="1721"/>
      <c r="BD80" s="792"/>
      <c r="BE80" s="792"/>
      <c r="BF80" s="1184" t="s">
        <v>950</v>
      </c>
      <c r="BG80" s="1190" t="s">
        <v>945</v>
      </c>
      <c r="BH80" s="1190" cm="1" t="str">
        <f t="array" ref="BH80:BH80">BH78</f>
        <v>НН</v>
      </c>
      <c r="BI80" s="1191"/>
      <c r="BJ80" s="1191"/>
    </row>
    <row s="965" customFormat="1" customHeight="1" ht="16.5">
      <c r="A81" s="965"/>
      <c r="B81" s="965"/>
      <c r="C81" s="965"/>
      <c r="D81" s="965"/>
      <c r="E81" s="797">
        <v>17.1</v>
      </c>
      <c r="F81" s="922" cm="1" t="str">
        <f t="array" ref="F81:F81">OFFSET(G81,-1,-1)</f>
        <v>1</v>
      </c>
      <c r="G81" s="965"/>
      <c r="H81" s="965"/>
      <c r="I81" s="965"/>
      <c r="J81" s="965"/>
      <c r="K81" s="965"/>
      <c r="L81" s="965"/>
      <c r="M81" s="965"/>
      <c r="N81" s="965"/>
      <c r="O81" s="965"/>
      <c r="P81" s="965"/>
      <c r="Q81" s="965"/>
      <c r="R81" s="965"/>
      <c r="S81" s="965"/>
      <c r="T81" s="923">
        <f>F81&gt;0</f>
        <v>1</v>
      </c>
      <c r="U81" s="965"/>
      <c r="V81" s="965"/>
      <c r="W81" s="374" t="s">
        <v>951</v>
      </c>
      <c r="X81" s="965"/>
      <c r="Y81" s="965"/>
      <c r="Z81" s="965"/>
      <c r="AA81" s="965"/>
      <c r="AB81" s="816"/>
      <c r="AC81" s="783" t="s">
        <v>236</v>
      </c>
      <c r="AD81" s="783"/>
      <c r="AE81" s="783"/>
      <c r="AF81" s="783"/>
      <c r="AG81" s="783"/>
      <c r="AH81" s="783"/>
      <c r="AI81" s="783"/>
      <c r="AJ81" s="783"/>
      <c r="AK81" s="783"/>
      <c r="AL81" s="783"/>
      <c r="AM81" s="783"/>
      <c r="AN81" s="783"/>
      <c r="AO81" s="783"/>
      <c r="AP81" s="783"/>
      <c r="AQ81" s="783"/>
      <c r="AR81" s="783"/>
      <c r="AS81" s="783"/>
      <c r="AT81" s="783"/>
      <c r="AU81" s="783"/>
      <c r="AV81" s="783"/>
      <c r="AW81" s="783"/>
      <c r="AX81" s="783"/>
      <c r="AY81" s="783"/>
      <c r="AZ81" s="783"/>
      <c r="BA81" s="783"/>
      <c r="BB81" s="783"/>
      <c r="BC81" s="1095"/>
      <c r="BD81" s="965"/>
      <c r="BE81" s="965"/>
      <c r="BF81" s="1173"/>
      <c r="BG81" s="1173"/>
      <c r="BH81" s="1173"/>
      <c r="BI81" s="1189" t="s">
        <v>945</v>
      </c>
      <c r="BJ81" s="1189"/>
    </row>
    <row s="792" customFormat="1" customHeight="1" ht="16.5">
      <c r="A82" s="1462"/>
      <c r="B82" s="1462"/>
      <c r="C82" s="1462"/>
      <c r="D82" s="1462"/>
      <c r="E82" s="803">
        <v>17.1</v>
      </c>
      <c r="F82" s="922" cm="1" t="str">
        <f t="array" ref="F82:F82">OFFSET(G82,-1,-1)</f>
        <v>1</v>
      </c>
      <c r="G82" s="1462"/>
      <c r="H82" s="1462"/>
      <c r="I82" s="1462"/>
      <c r="J82" s="1462"/>
      <c r="K82" s="1462"/>
      <c r="L82" s="1462"/>
      <c r="M82" s="1462"/>
      <c r="N82" s="1462"/>
      <c r="O82" s="1462"/>
      <c r="P82" s="1462"/>
      <c r="Q82" s="1462"/>
      <c r="R82" s="1462"/>
      <c r="S82" s="158"/>
      <c r="T82" s="923">
        <f>F82&gt;0</f>
        <v>1</v>
      </c>
      <c r="U82" s="1462"/>
      <c r="V82" s="1462"/>
      <c r="W82" s="1462"/>
      <c r="X82" s="1462"/>
      <c r="Y82" s="1462"/>
      <c r="Z82" s="1462"/>
      <c r="AA82" s="1462"/>
      <c r="AB82" s="785"/>
      <c r="AC82" s="343" t="s">
        <v>952</v>
      </c>
      <c r="AD82" s="344"/>
      <c r="AE82" s="345"/>
      <c r="AF82" s="345"/>
      <c r="AG82" s="345"/>
      <c r="AH82" s="345"/>
      <c r="AI82" s="345"/>
      <c r="AJ82" s="345"/>
      <c r="AK82" s="345"/>
      <c r="AL82" s="345"/>
      <c r="AM82" s="345"/>
      <c r="AN82" s="345"/>
      <c r="AO82" s="345"/>
      <c r="AP82" s="345"/>
      <c r="AQ82" s="345"/>
      <c r="AR82" s="345"/>
      <c r="AS82" s="345"/>
      <c r="AT82" s="345"/>
      <c r="AU82" s="345"/>
      <c r="AV82" s="345"/>
      <c r="AW82" s="345"/>
      <c r="AX82" s="345"/>
      <c r="AY82" s="345"/>
      <c r="AZ82" s="345"/>
      <c r="BA82" s="345"/>
      <c r="BB82" s="345"/>
      <c r="BC82" s="1096"/>
      <c r="BD82" s="1462"/>
      <c r="BE82" s="1462"/>
      <c r="BF82" s="1184"/>
      <c r="BG82" s="1190"/>
      <c r="BH82" s="1190"/>
      <c r="BI82" s="1191"/>
      <c r="BJ82" s="1191"/>
    </row>
    <row s="792" customFormat="1" customHeight="1" ht="16.5" hidden="1">
      <c r="A83" s="1462"/>
      <c r="B83" s="1462"/>
      <c r="C83" s="1462"/>
      <c r="D83" s="1462"/>
      <c r="E83" s="803">
        <v>17.1</v>
      </c>
      <c r="F83" s="922" cm="1" t="str">
        <f t="array" ref="F83:F83">OFFSET(G83,-1,-1)</f>
        <v>1</v>
      </c>
      <c r="G83" s="1462"/>
      <c r="H83" s="213" cm="1" t="str">
        <f t="array" ref="H83:H83">AC83</f>
        <v>0</v>
      </c>
      <c r="I83" s="215" t="s">
        <v>930</v>
      </c>
      <c r="J83" s="1462"/>
      <c r="K83" s="1462"/>
      <c r="L83" s="1462"/>
      <c r="M83" s="1462"/>
      <c r="N83" s="1462"/>
      <c r="O83" s="1462"/>
      <c r="P83" s="1462"/>
      <c r="Q83" s="1462"/>
      <c r="R83" s="1462"/>
      <c r="S83" s="158"/>
      <c r="T83" s="923">
        <f>AND(F83&gt;0,Y83&gt;0)</f>
        <v>0</v>
      </c>
      <c r="U83" s="1462"/>
      <c r="V83" s="1462"/>
      <c r="W83" s="171" t="s">
        <v>234</v>
      </c>
      <c r="X83" s="1462"/>
      <c r="Y83" s="171">
        <v>0</v>
      </c>
      <c r="Z83" s="1462"/>
      <c r="AA83" s="1415" t="s">
        <v>218</v>
      </c>
      <c r="AB83" s="216" t="str">
        <f>"1.6."&amp;Y83</f>
        <v>1.6.0</v>
      </c>
      <c r="AC83" s="100"/>
      <c r="AD83" s="156" t="s">
        <v>810</v>
      </c>
      <c r="AE83" s="1869">
        <f>AE85+AE87</f>
        <v>0</v>
      </c>
      <c r="AF83" s="1869">
        <f>AF85+AF87</f>
        <v>0</v>
      </c>
      <c r="AG83" s="1869">
        <f>AG85+AG87</f>
        <v>0</v>
      </c>
      <c r="AH83" s="1869">
        <f>AH85+AH87</f>
        <v>0</v>
      </c>
      <c r="AI83" s="1869">
        <f>AI85+AI87</f>
        <v>0</v>
      </c>
      <c r="AJ83" s="1663">
        <f>AJ85+AJ87</f>
        <v>0</v>
      </c>
      <c r="AK83" s="1663">
        <f>AK85+AK87</f>
        <v>0</v>
      </c>
      <c r="AL83" s="1663">
        <f>AL85+AL87</f>
        <v>0</v>
      </c>
      <c r="AM83" s="1663">
        <f>AM85+AM87</f>
        <v>0</v>
      </c>
      <c r="AN83" s="1663">
        <f>AN85+AN87</f>
        <v>0</v>
      </c>
      <c r="AO83" s="1663">
        <f>AO85+AO87</f>
        <v>0</v>
      </c>
      <c r="AP83" s="1663">
        <f>AP85+AP87</f>
        <v>0</v>
      </c>
      <c r="AQ83" s="1663">
        <f>AQ85+AQ87</f>
        <v>0</v>
      </c>
      <c r="AR83" s="1663">
        <f>AR85+AR87</f>
        <v>0</v>
      </c>
      <c r="AS83" s="1869">
        <f>AS85+AS87</f>
        <v>0</v>
      </c>
      <c r="AT83" s="1663">
        <f>AT85+AT87</f>
        <v>0</v>
      </c>
      <c r="AU83" s="1663">
        <f>AU85+AU87</f>
        <v>0</v>
      </c>
      <c r="AV83" s="1663">
        <f>AV85+AV87</f>
        <v>0</v>
      </c>
      <c r="AW83" s="1663">
        <f>AW85+AW87</f>
        <v>0</v>
      </c>
      <c r="AX83" s="1663">
        <f>AX85+AX87</f>
        <v>0</v>
      </c>
      <c r="AY83" s="1663">
        <f>AY85+AY87</f>
        <v>0</v>
      </c>
      <c r="AZ83" s="1663">
        <f>AZ85+AZ87</f>
        <v>0</v>
      </c>
      <c r="BA83" s="1663">
        <f>BA85+BA87</f>
        <v>0</v>
      </c>
      <c r="BB83" s="1663">
        <f>BB85+BB87</f>
        <v>0</v>
      </c>
      <c r="BC83" s="1719"/>
      <c r="BD83" s="1462"/>
      <c r="BE83" s="1462"/>
      <c r="BF83" s="1184" t="s">
        <v>953</v>
      </c>
      <c r="BG83" s="1190" t="s">
        <v>954</v>
      </c>
      <c r="BH83" s="1190" cm="1" t="str">
        <f t="array" ref="BH83:BH83">AC83</f>
        <v>0</v>
      </c>
      <c r="BI83" s="1191"/>
      <c r="BJ83" s="1191" t="b">
        <v>1</v>
      </c>
    </row>
    <row s="792" customFormat="1" customHeight="1" ht="16.5" hidden="1">
      <c r="A84" s="792"/>
      <c r="B84" s="792"/>
      <c r="C84" s="792"/>
      <c r="D84" s="792"/>
      <c r="E84" s="803">
        <v>17.1</v>
      </c>
      <c r="F84" s="922" cm="1" t="str">
        <f t="array" ref="F84:F84">OFFSET(G84,-1,-1)</f>
        <v>1</v>
      </c>
      <c r="G84" s="792"/>
      <c r="H84" s="213" cm="1" t="str">
        <f t="array" ref="H84:H84">H83</f>
        <v>0</v>
      </c>
      <c r="I84" s="792"/>
      <c r="J84" s="792"/>
      <c r="K84" s="792"/>
      <c r="L84" s="792"/>
      <c r="M84" s="792"/>
      <c r="N84" s="792"/>
      <c r="O84" s="792"/>
      <c r="P84" s="792"/>
      <c r="Q84" s="792"/>
      <c r="R84" s="792"/>
      <c r="S84" s="158"/>
      <c r="T84" s="923" cm="1" t="str">
        <f t="array" ref="T84:T84">T83</f>
        <v>false</v>
      </c>
      <c r="U84" s="792"/>
      <c r="V84" s="792"/>
      <c r="W84" s="792"/>
      <c r="X84" s="792"/>
      <c r="Y84" s="792"/>
      <c r="Z84" s="792"/>
      <c r="AA84" s="1415"/>
      <c r="AB84" s="216" t="str">
        <f>AB83&amp;".1"</f>
        <v>1.6.0.1</v>
      </c>
      <c r="AC84" s="276" t="s">
        <v>946</v>
      </c>
      <c r="AD84" s="156" t="s">
        <v>947</v>
      </c>
      <c r="AE84" s="58"/>
      <c r="AF84" s="267">
        <f>IF(AF86=0,0,AF85/AF86)</f>
        <v>0</v>
      </c>
      <c r="AG84" s="267">
        <f>IF(AG86=0,0,AG85/AG86)</f>
        <v>0</v>
      </c>
      <c r="AH84" s="58"/>
      <c r="AI84" s="267">
        <f>IF(AI86=0,0,AI85/AI86)</f>
        <v>0</v>
      </c>
      <c r="AJ84" s="267">
        <f>IF(AJ86=0,0,AJ85/AJ86)</f>
        <v>0</v>
      </c>
      <c r="AK84" s="267">
        <f>IF(AK86=0,0,AK85/AK86)</f>
        <v>0</v>
      </c>
      <c r="AL84" s="267">
        <f>IF(AL86=0,0,AL85/AL86)</f>
        <v>0</v>
      </c>
      <c r="AM84" s="267">
        <f>IF(AM86=0,0,AM85/AM86)</f>
        <v>0</v>
      </c>
      <c r="AN84" s="267">
        <f>IF(AN86=0,0,AN85/AN86)</f>
        <v>0</v>
      </c>
      <c r="AO84" s="267">
        <f>IF(AO86=0,0,AO85/AO86)</f>
        <v>0</v>
      </c>
      <c r="AP84" s="267">
        <f>IF(AP86=0,0,AP85/AP86)</f>
        <v>0</v>
      </c>
      <c r="AQ84" s="267">
        <f>IF(AQ86=0,0,AQ85/AQ86)</f>
        <v>0</v>
      </c>
      <c r="AR84" s="267">
        <f>IF(AR86=0,0,AR85/AR86)</f>
        <v>0</v>
      </c>
      <c r="AS84" s="1663"/>
      <c r="AT84" s="58"/>
      <c r="AU84" s="58"/>
      <c r="AV84" s="58"/>
      <c r="AW84" s="58"/>
      <c r="AX84" s="58"/>
      <c r="AY84" s="58"/>
      <c r="AZ84" s="58"/>
      <c r="BA84" s="58"/>
      <c r="BB84" s="58"/>
      <c r="BC84" s="73"/>
      <c r="BD84" s="792"/>
      <c r="BE84" s="792"/>
      <c r="BF84" s="1184" t="s">
        <v>948</v>
      </c>
      <c r="BG84" s="1190" t="s">
        <v>954</v>
      </c>
      <c r="BH84" s="1190" cm="1" t="str">
        <f t="array" ref="BH84:BH84">BH83</f>
        <v>0</v>
      </c>
      <c r="BI84" s="1191"/>
      <c r="BJ84" s="1191"/>
    </row>
    <row s="792" customFormat="1" customHeight="1" ht="16.5" hidden="1">
      <c r="A85" s="1125" t="str">
        <f>"checkCosts_2."&amp;F85&amp;"."&amp;Y83</f>
        <v>checkCosts_2.1.0</v>
      </c>
      <c r="B85" s="1462"/>
      <c r="C85" s="1462"/>
      <c r="D85" s="1462"/>
      <c r="E85" s="803">
        <v>17.1</v>
      </c>
      <c r="F85" s="922" cm="1" t="str">
        <f t="array" ref="F85:F85">OFFSET(G85,-1,-1)</f>
        <v>1</v>
      </c>
      <c r="G85" s="1462"/>
      <c r="H85" s="213" cm="1" t="str">
        <f t="array" ref="H85:H85">H83</f>
        <v>0</v>
      </c>
      <c r="I85" s="1462"/>
      <c r="J85" s="1462"/>
      <c r="K85" s="1462"/>
      <c r="L85" s="1462"/>
      <c r="M85" s="1462"/>
      <c r="N85" s="1462"/>
      <c r="O85" s="1462"/>
      <c r="P85" s="1462"/>
      <c r="Q85" s="1462"/>
      <c r="R85" s="1462"/>
      <c r="S85" s="158"/>
      <c r="T85" s="923" cm="1" t="str">
        <f t="array" ref="T85:T85">T83</f>
        <v>false</v>
      </c>
      <c r="U85" s="1462"/>
      <c r="V85" s="1462"/>
      <c r="W85" s="1462"/>
      <c r="X85" s="1462"/>
      <c r="Y85" s="1462"/>
      <c r="Z85" s="1462"/>
      <c r="AA85" s="1415"/>
      <c r="AB85" s="216" t="str">
        <f>AB83&amp;".2"</f>
        <v>1.6.0.2</v>
      </c>
      <c r="AC85" s="276" t="s">
        <v>955</v>
      </c>
      <c r="AD85" s="156" t="s">
        <v>810</v>
      </c>
      <c r="AE85" s="58"/>
      <c r="AF85" s="58"/>
      <c r="AG85" s="58"/>
      <c r="AH85" s="58"/>
      <c r="AI85" s="1663"/>
      <c r="AJ85" s="58"/>
      <c r="AK85" s="58"/>
      <c r="AL85" s="58"/>
      <c r="AM85" s="58"/>
      <c r="AN85" s="58"/>
      <c r="AO85" s="58"/>
      <c r="AP85" s="58"/>
      <c r="AQ85" s="58"/>
      <c r="AR85" s="58"/>
      <c r="AS85" s="1663"/>
      <c r="AT85" s="58"/>
      <c r="AU85" s="58"/>
      <c r="AV85" s="58"/>
      <c r="AW85" s="58"/>
      <c r="AX85" s="58"/>
      <c r="AY85" s="58"/>
      <c r="AZ85" s="58"/>
      <c r="BA85" s="58"/>
      <c r="BB85" s="58"/>
      <c r="BC85" s="73"/>
      <c r="BD85" s="1462"/>
      <c r="BE85" s="1462"/>
      <c r="BF85" s="1184" t="s">
        <v>944</v>
      </c>
      <c r="BG85" s="1190" t="s">
        <v>954</v>
      </c>
      <c r="BH85" s="1190" cm="1" t="str">
        <f t="array" ref="BH85:BH85">BH83</f>
        <v>0</v>
      </c>
      <c r="BI85" s="1191"/>
      <c r="BJ85" s="1191"/>
    </row>
    <row s="792" customFormat="1" customHeight="1" ht="16.5" hidden="1">
      <c r="A86" s="1125" t="str">
        <f>"checkVolume_2."&amp;F86&amp;"."&amp;Y83</f>
        <v>checkVolume_2.1.0</v>
      </c>
      <c r="B86" s="1462"/>
      <c r="C86" s="1462"/>
      <c r="D86" s="1462"/>
      <c r="E86" s="803">
        <v>17.1</v>
      </c>
      <c r="F86" s="922" cm="1" t="str">
        <f t="array" ref="F86:F86">OFFSET(G86,-1,-1)</f>
        <v>1</v>
      </c>
      <c r="G86" s="1462"/>
      <c r="H86" s="213" cm="1" t="str">
        <f t="array" ref="H86:H86">H85</f>
        <v>0</v>
      </c>
      <c r="I86" s="1462"/>
      <c r="J86" s="1462"/>
      <c r="K86" s="1462"/>
      <c r="L86" s="1462"/>
      <c r="M86" s="1462"/>
      <c r="N86" s="1462"/>
      <c r="O86" s="1462"/>
      <c r="P86" s="1462"/>
      <c r="Q86" s="1462"/>
      <c r="R86" s="1462"/>
      <c r="S86" s="158"/>
      <c r="T86" s="923" cm="1" t="str">
        <f t="array" ref="T86:T86">T85</f>
        <v>false</v>
      </c>
      <c r="U86" s="1462"/>
      <c r="V86" s="1462"/>
      <c r="W86" s="1462"/>
      <c r="X86" s="1462"/>
      <c r="Y86" s="1462"/>
      <c r="Z86" s="1462"/>
      <c r="AA86" s="1415"/>
      <c r="AB86" s="216" t="str">
        <f>AB83&amp;".2.1"</f>
        <v>1.6.0.2.1</v>
      </c>
      <c r="AC86" s="418" t="s">
        <v>949</v>
      </c>
      <c r="AD86" s="170" t="s">
        <v>733</v>
      </c>
      <c r="AE86" s="58"/>
      <c r="AF86" s="58"/>
      <c r="AG86" s="58"/>
      <c r="AH86" s="58"/>
      <c r="AI86" s="1663"/>
      <c r="AJ86" s="58"/>
      <c r="AK86" s="58"/>
      <c r="AL86" s="58"/>
      <c r="AM86" s="58"/>
      <c r="AN86" s="58"/>
      <c r="AO86" s="58"/>
      <c r="AP86" s="58"/>
      <c r="AQ86" s="58"/>
      <c r="AR86" s="58"/>
      <c r="AS86" s="1663"/>
      <c r="AT86" s="58"/>
      <c r="AU86" s="58"/>
      <c r="AV86" s="58"/>
      <c r="AW86" s="58"/>
      <c r="AX86" s="58"/>
      <c r="AY86" s="58"/>
      <c r="AZ86" s="58"/>
      <c r="BA86" s="58"/>
      <c r="BB86" s="58"/>
      <c r="BC86" s="73"/>
      <c r="BD86" s="1462"/>
      <c r="BE86" s="1462"/>
      <c r="BF86" s="1184" t="s">
        <v>950</v>
      </c>
      <c r="BG86" s="1190" t="s">
        <v>954</v>
      </c>
      <c r="BH86" s="1190" cm="1" t="str">
        <f t="array" ref="BH86:BH86">BH85</f>
        <v>0</v>
      </c>
      <c r="BI86" s="1191"/>
      <c r="BJ86" s="1191"/>
    </row>
    <row s="792" customFormat="1" customHeight="1" ht="16.5" hidden="1">
      <c r="A87" s="1125" t="str">
        <f>"checkCosts_3."&amp;F87&amp;"."&amp;Y83</f>
        <v>checkCosts_3.1.0</v>
      </c>
      <c r="B87" s="1462"/>
      <c r="C87" s="1462"/>
      <c r="D87" s="1462"/>
      <c r="E87" s="803">
        <v>17.1</v>
      </c>
      <c r="F87" s="922" cm="1" t="str">
        <f t="array" ref="F87:F87">OFFSET(G87,-1,-1)</f>
        <v>1</v>
      </c>
      <c r="G87" s="1462"/>
      <c r="H87" s="213" cm="1" t="str">
        <f t="array" ref="H87:H87">H86</f>
        <v>0</v>
      </c>
      <c r="I87" s="1462"/>
      <c r="J87" s="1462"/>
      <c r="K87" s="1462"/>
      <c r="L87" s="1462"/>
      <c r="M87" s="1462"/>
      <c r="N87" s="1462"/>
      <c r="O87" s="1462"/>
      <c r="P87" s="1462"/>
      <c r="Q87" s="1462"/>
      <c r="R87" s="1462"/>
      <c r="S87" s="158"/>
      <c r="T87" s="923" cm="1" t="str">
        <f t="array" ref="T87:T87">T86</f>
        <v>false</v>
      </c>
      <c r="U87" s="1462"/>
      <c r="V87" s="1462"/>
      <c r="W87" s="1462"/>
      <c r="X87" s="1462"/>
      <c r="Y87" s="1462"/>
      <c r="Z87" s="1462"/>
      <c r="AA87" s="1415"/>
      <c r="AB87" s="216" t="str">
        <f>AB83&amp;".3"</f>
        <v>1.6.0.3</v>
      </c>
      <c r="AC87" s="276" t="s">
        <v>956</v>
      </c>
      <c r="AD87" s="156" t="s">
        <v>957</v>
      </c>
      <c r="AE87" s="58"/>
      <c r="AF87" s="58"/>
      <c r="AG87" s="58"/>
      <c r="AH87" s="58"/>
      <c r="AI87" s="1663"/>
      <c r="AJ87" s="58"/>
      <c r="AK87" s="58"/>
      <c r="AL87" s="58"/>
      <c r="AM87" s="58"/>
      <c r="AN87" s="58"/>
      <c r="AO87" s="58"/>
      <c r="AP87" s="58"/>
      <c r="AQ87" s="58"/>
      <c r="AR87" s="58"/>
      <c r="AS87" s="1663"/>
      <c r="AT87" s="58"/>
      <c r="AU87" s="58"/>
      <c r="AV87" s="58"/>
      <c r="AW87" s="58"/>
      <c r="AX87" s="58"/>
      <c r="AY87" s="58"/>
      <c r="AZ87" s="58"/>
      <c r="BA87" s="58"/>
      <c r="BB87" s="58"/>
      <c r="BC87" s="73"/>
      <c r="BD87" s="1462"/>
      <c r="BE87" s="1462"/>
      <c r="BF87" s="1184" t="s">
        <v>958</v>
      </c>
      <c r="BG87" s="1190" t="s">
        <v>954</v>
      </c>
      <c r="BH87" s="1190" cm="1" t="str">
        <f t="array" ref="BH87:BH87">BH86</f>
        <v>0</v>
      </c>
      <c r="BI87" s="1191"/>
      <c r="BJ87" s="1191"/>
    </row>
    <row s="792" customFormat="1" customHeight="1" ht="16.5" hidden="1">
      <c r="A88" s="1125" t="str">
        <f>"checkVolume_3."&amp;F88&amp;"."&amp;Y83</f>
        <v>checkVolume_3.1.0</v>
      </c>
      <c r="B88" s="1462"/>
      <c r="C88" s="1462"/>
      <c r="D88" s="1462"/>
      <c r="E88" s="803">
        <v>17.1</v>
      </c>
      <c r="F88" s="922" cm="1" t="str">
        <f t="array" ref="F88:F88">OFFSET(G88,-1,-1)</f>
        <v>1</v>
      </c>
      <c r="G88" s="1462"/>
      <c r="H88" s="213" cm="1" t="str">
        <f t="array" ref="H88:H88">H87</f>
        <v>0</v>
      </c>
      <c r="I88" s="1462"/>
      <c r="J88" s="1462"/>
      <c r="K88" s="1462"/>
      <c r="L88" s="1462"/>
      <c r="M88" s="1462"/>
      <c r="N88" s="1462"/>
      <c r="O88" s="1462"/>
      <c r="P88" s="1462"/>
      <c r="Q88" s="1462"/>
      <c r="R88" s="1462"/>
      <c r="S88" s="158"/>
      <c r="T88" s="923" cm="1" t="str">
        <f t="array" ref="T88:T88">T87</f>
        <v>false</v>
      </c>
      <c r="U88" s="1462"/>
      <c r="V88" s="1462"/>
      <c r="W88" s="1462"/>
      <c r="X88" s="1462"/>
      <c r="Y88" s="1462"/>
      <c r="Z88" s="1462"/>
      <c r="AA88" s="1415"/>
      <c r="AB88" s="815" t="str">
        <f>AB83&amp;".3.1"</f>
        <v>1.6.0.3.1</v>
      </c>
      <c r="AC88" s="781" t="s">
        <v>959</v>
      </c>
      <c r="AD88" s="174" t="s">
        <v>960</v>
      </c>
      <c r="AE88" s="101"/>
      <c r="AF88" s="101"/>
      <c r="AG88" s="101"/>
      <c r="AH88" s="101"/>
      <c r="AI88" s="1870"/>
      <c r="AJ88" s="101"/>
      <c r="AK88" s="101"/>
      <c r="AL88" s="101"/>
      <c r="AM88" s="101"/>
      <c r="AN88" s="101"/>
      <c r="AO88" s="101"/>
      <c r="AP88" s="101"/>
      <c r="AQ88" s="101"/>
      <c r="AR88" s="101"/>
      <c r="AS88" s="1870"/>
      <c r="AT88" s="101"/>
      <c r="AU88" s="101"/>
      <c r="AV88" s="101"/>
      <c r="AW88" s="101"/>
      <c r="AX88" s="101"/>
      <c r="AY88" s="101"/>
      <c r="AZ88" s="101"/>
      <c r="BA88" s="101"/>
      <c r="BB88" s="101"/>
      <c r="BC88" s="69"/>
      <c r="BD88" s="1462"/>
      <c r="BE88" s="1462"/>
      <c r="BF88" s="1184" t="s">
        <v>961</v>
      </c>
      <c r="BG88" s="1190" t="s">
        <v>954</v>
      </c>
      <c r="BH88" s="1190" cm="1" t="str">
        <f t="array" ref="BH88:BH88">BH87</f>
        <v>0</v>
      </c>
      <c r="BI88" s="1191"/>
      <c r="BJ88" s="1191"/>
    </row>
    <row s="965" customFormat="1" customHeight="1" ht="16.5">
      <c r="A89" s="965"/>
      <c r="B89" s="965"/>
      <c r="C89" s="965"/>
      <c r="D89" s="965"/>
      <c r="E89" s="797">
        <v>17.1</v>
      </c>
      <c r="F89" s="922" cm="1" t="str">
        <f t="array" ref="F89:F89">OFFSET(G89,-1,-1)</f>
        <v>1</v>
      </c>
      <c r="G89" s="965"/>
      <c r="H89" s="965"/>
      <c r="I89" s="965"/>
      <c r="J89" s="965"/>
      <c r="K89" s="965"/>
      <c r="L89" s="965"/>
      <c r="M89" s="965"/>
      <c r="N89" s="965"/>
      <c r="O89" s="965"/>
      <c r="P89" s="965"/>
      <c r="Q89" s="965"/>
      <c r="R89" s="965"/>
      <c r="S89" s="965"/>
      <c r="T89" s="923">
        <f>F89&gt;0</f>
        <v>1</v>
      </c>
      <c r="U89" s="965"/>
      <c r="V89" s="965"/>
      <c r="W89" s="374" t="s">
        <v>962</v>
      </c>
      <c r="X89" s="965"/>
      <c r="Y89" s="965"/>
      <c r="Z89" s="965"/>
      <c r="AA89" s="965"/>
      <c r="AB89" s="816"/>
      <c r="AC89" s="783" t="s">
        <v>963</v>
      </c>
      <c r="AD89" s="783"/>
      <c r="AE89" s="783"/>
      <c r="AF89" s="783"/>
      <c r="AG89" s="783"/>
      <c r="AH89" s="783"/>
      <c r="AI89" s="783"/>
      <c r="AJ89" s="783"/>
      <c r="AK89" s="783"/>
      <c r="AL89" s="783"/>
      <c r="AM89" s="783"/>
      <c r="AN89" s="783"/>
      <c r="AO89" s="783"/>
      <c r="AP89" s="783"/>
      <c r="AQ89" s="783"/>
      <c r="AR89" s="783"/>
      <c r="AS89" s="783"/>
      <c r="AT89" s="783"/>
      <c r="AU89" s="783"/>
      <c r="AV89" s="783"/>
      <c r="AW89" s="783"/>
      <c r="AX89" s="783"/>
      <c r="AY89" s="783"/>
      <c r="AZ89" s="783"/>
      <c r="BA89" s="783"/>
      <c r="BB89" s="783"/>
      <c r="BC89" s="1095"/>
      <c r="BD89" s="965"/>
      <c r="BE89" s="965"/>
      <c r="BF89" s="1173"/>
      <c r="BG89" s="1173"/>
      <c r="BH89" s="1173"/>
      <c r="BI89" s="1189" t="s">
        <v>954</v>
      </c>
      <c r="BJ89" s="1189"/>
    </row>
    <row s="965" customFormat="1" customHeight="1" ht="12" hidden="1">
      <c r="A90" s="965"/>
      <c r="B90" s="965"/>
      <c r="C90" s="965"/>
      <c r="D90" s="965"/>
      <c r="E90" s="797">
        <v>0</v>
      </c>
      <c r="F90" s="922" cm="1" t="str">
        <f t="array" ref="F90:F90">OFFSET(G90,-1,-1)</f>
        <v>1</v>
      </c>
      <c r="G90" s="965"/>
      <c r="H90" s="965"/>
      <c r="I90" s="965"/>
      <c r="J90" s="965"/>
      <c r="K90" s="965"/>
      <c r="L90" s="965"/>
      <c r="M90" s="965"/>
      <c r="N90" s="965"/>
      <c r="O90" s="965"/>
      <c r="P90" s="965"/>
      <c r="Q90" s="965"/>
      <c r="R90" s="965"/>
      <c r="S90" s="965"/>
      <c r="T90" s="923">
        <f>F90&gt;0</f>
        <v>1</v>
      </c>
      <c r="U90" s="965"/>
      <c r="V90" s="965"/>
      <c r="W90" s="965"/>
      <c r="X90" s="965"/>
      <c r="Y90" s="965"/>
      <c r="Z90" s="965"/>
      <c r="AA90" s="965"/>
      <c r="AB90" s="965"/>
      <c r="AC90" s="965"/>
      <c r="AD90" s="965"/>
      <c r="AE90" s="965"/>
      <c r="AF90" s="965"/>
      <c r="AG90" s="965"/>
      <c r="AH90" s="965"/>
      <c r="AI90" s="965"/>
      <c r="AJ90" s="965"/>
      <c r="AK90" s="965"/>
      <c r="AL90" s="965"/>
      <c r="AM90" s="965"/>
      <c r="AN90" s="965"/>
      <c r="AO90" s="965"/>
      <c r="AP90" s="965"/>
      <c r="AQ90" s="965"/>
      <c r="AR90" s="965"/>
      <c r="AS90" s="965"/>
      <c r="AT90" s="965"/>
      <c r="AU90" s="965"/>
      <c r="AV90" s="965"/>
      <c r="AW90" s="965"/>
      <c r="AX90" s="965"/>
      <c r="AY90" s="965"/>
      <c r="AZ90" s="965"/>
      <c r="BA90" s="965"/>
      <c r="BB90" s="965"/>
      <c r="BC90" s="965"/>
      <c r="BD90" s="965"/>
      <c r="BE90" s="965"/>
      <c r="BF90" s="1173"/>
      <c r="BG90" s="1173"/>
      <c r="BH90" s="1173"/>
      <c r="BI90" s="1189"/>
      <c r="BJ90" s="1189"/>
    </row>
    <row s="223" customFormat="1" customHeight="1" ht="14.25">
      <c r="A91" s="223"/>
      <c r="B91" s="223"/>
      <c r="C91" s="223"/>
      <c r="D91" s="223"/>
      <c r="E91" s="924">
        <v>15</v>
      </c>
      <c r="F91" s="922" cm="1" t="str">
        <f t="array" ref="F91:F91">OFFSET(G91,-1,-1)</f>
        <v>1</v>
      </c>
      <c r="G91" s="193" t="s">
        <v>964</v>
      </c>
      <c r="H91" s="223"/>
      <c r="I91" s="215" t="s">
        <v>930</v>
      </c>
      <c r="J91" s="223"/>
      <c r="K91" s="223"/>
      <c r="L91" s="223"/>
      <c r="M91" s="223"/>
      <c r="N91" s="223"/>
      <c r="O91" s="223"/>
      <c r="P91" s="223"/>
      <c r="Q91" s="223"/>
      <c r="R91" s="223"/>
      <c r="S91" s="223"/>
      <c r="T91" s="923">
        <f>F91&gt;0</f>
        <v>1</v>
      </c>
      <c r="U91" s="223"/>
      <c r="V91" s="223"/>
      <c r="W91" s="223"/>
      <c r="X91" s="223"/>
      <c r="Y91" s="223"/>
      <c r="Z91" s="223"/>
      <c r="AA91" s="223"/>
      <c r="AB91" s="817">
        <v>2</v>
      </c>
      <c r="AC91" s="786" t="s">
        <v>965</v>
      </c>
      <c r="AD91" s="787" t="s">
        <v>810</v>
      </c>
      <c r="AE91" s="282">
        <f>SUMIF($I95:$I111,$I91,AE95:AE111)</f>
        <v>0</v>
      </c>
      <c r="AF91" s="282">
        <f>SUMIF($I95:$I111,$I91,AF95:AF111)</f>
        <v>0</v>
      </c>
      <c r="AG91" s="282">
        <f>SUMIF($I95:$I111,$I91,AG95:AG111)</f>
        <v>0</v>
      </c>
      <c r="AH91" s="282">
        <f>SUMIF($I95:$I111,$I91,AH95:AH111)</f>
        <v>0</v>
      </c>
      <c r="AI91" s="282">
        <f>SUMIF($I95:$I111,$I91,AI95:AI111)</f>
        <v>0</v>
      </c>
      <c r="AJ91" s="1880">
        <f>SUMIF($I95:$I111,$I91,AJ95:AJ111)</f>
        <v>0</v>
      </c>
      <c r="AK91" s="1880">
        <f>SUMIF($I95:$I111,$I91,AK95:AK111)</f>
        <v>0</v>
      </c>
      <c r="AL91" s="1880">
        <f>SUMIF($I95:$I111,$I91,AL95:AL111)</f>
        <v>0</v>
      </c>
      <c r="AM91" s="1880">
        <f>SUMIF($I95:$I111,$I91,AM95:AM111)</f>
        <v>0</v>
      </c>
      <c r="AN91" s="1880">
        <f>SUMIF($I95:$I111,$I91,AN95:AN111)</f>
        <v>0</v>
      </c>
      <c r="AO91" s="1880">
        <f>SUMIF($I95:$I111,$I91,AO95:AO111)</f>
        <v>0</v>
      </c>
      <c r="AP91" s="1880">
        <f>SUMIF($I95:$I111,$I91,AP95:AP111)</f>
        <v>0</v>
      </c>
      <c r="AQ91" s="1880">
        <f>SUMIF($I95:$I111,$I91,AQ95:AQ111)</f>
        <v>0</v>
      </c>
      <c r="AR91" s="1880">
        <f>SUMIF($I95:$I111,$I91,AR95:AR111)</f>
        <v>0</v>
      </c>
      <c r="AS91" s="282">
        <f>SUMIF($I95:$I111,$I91,AS95:AS111)</f>
        <v>0</v>
      </c>
      <c r="AT91" s="1880">
        <f>SUMIF($I95:$I111,$I91,AT95:AT111)</f>
        <v>0</v>
      </c>
      <c r="AU91" s="1880">
        <f>SUMIF($I95:$I111,$I91,AU95:AU111)</f>
        <v>0</v>
      </c>
      <c r="AV91" s="1880">
        <f>SUMIF($I95:$I111,$I91,AV95:AV111)</f>
        <v>0</v>
      </c>
      <c r="AW91" s="1880">
        <f>SUMIF($I95:$I111,$I91,AW95:AW111)</f>
        <v>0</v>
      </c>
      <c r="AX91" s="1880">
        <f>SUMIF($I95:$I111,$I91,AX95:AX111)</f>
        <v>0</v>
      </c>
      <c r="AY91" s="1880">
        <f>SUMIF($I95:$I111,$I91,AY95:AY111)</f>
        <v>0</v>
      </c>
      <c r="AZ91" s="1880">
        <f>SUMIF($I95:$I111,$I91,AZ95:AZ111)</f>
        <v>0</v>
      </c>
      <c r="BA91" s="1880">
        <f>SUMIF($I95:$I111,$I91,BA95:BA111)</f>
        <v>0</v>
      </c>
      <c r="BB91" s="1880">
        <f>SUMIF($I95:$I111,$I91,BB95:BB111)</f>
        <v>0</v>
      </c>
      <c r="BC91" s="1722"/>
      <c r="BD91" s="223"/>
      <c r="BE91" s="223"/>
      <c r="BF91" s="1192" t="s">
        <v>671</v>
      </c>
      <c r="BG91" s="1192"/>
      <c r="BH91" s="1192"/>
      <c r="BI91" s="1193"/>
      <c r="BJ91" s="1193"/>
    </row>
    <row s="223" customFormat="1" customHeight="1" ht="14.25" hidden="1">
      <c r="A92" s="223"/>
      <c r="B92" s="223"/>
      <c r="C92" s="223"/>
      <c r="D92" s="223"/>
      <c r="E92" s="924">
        <v>15</v>
      </c>
      <c r="F92" s="922" cm="1" t="str">
        <f t="array" ref="F92:F92">OFFSET(G92,-1,-1)</f>
        <v>1</v>
      </c>
      <c r="G92" s="193" t="s">
        <v>966</v>
      </c>
      <c r="H92" s="223"/>
      <c r="I92" s="223"/>
      <c r="J92" s="223"/>
      <c r="K92" s="223"/>
      <c r="L92" s="213" cm="1" t="str">
        <f t="array" ref="L92:L92">INDEX('Общие сведения'!$AK$169:$AK$202,MATCH($F92,'Общие сведения'!$Z$169:$Z$202,0))</f>
        <v>одноставочный</v>
      </c>
      <c r="M92" s="223"/>
      <c r="N92" s="223"/>
      <c r="O92" s="223"/>
      <c r="P92" s="223"/>
      <c r="Q92" s="223"/>
      <c r="R92" s="193" t="s">
        <v>967</v>
      </c>
      <c r="S92" s="223"/>
      <c r="T92" s="923">
        <f>AND(F92&gt;0,L92="двухставочный")</f>
        <v>0</v>
      </c>
      <c r="U92" s="223"/>
      <c r="V92" s="223"/>
      <c r="W92" s="223"/>
      <c r="X92" s="223"/>
      <c r="Y92" s="223"/>
      <c r="Z92" s="223"/>
      <c r="AA92" s="921" t="s">
        <v>968</v>
      </c>
      <c r="AB92" s="288" t="s">
        <v>968</v>
      </c>
      <c r="AC92" s="590" t="s">
        <v>969</v>
      </c>
      <c r="AD92" s="610" t="s">
        <v>810</v>
      </c>
      <c r="AE92" s="669">
        <f>_xlfn.SUMIFS(AE95:AE111,$AC95:$AC111,$AC92)</f>
        <v>0</v>
      </c>
      <c r="AF92" s="669">
        <f>_xlfn.SUMIFS(AF95:AF111,$AC95:$AC111,$AC92)</f>
        <v>0</v>
      </c>
      <c r="AG92" s="669">
        <f>_xlfn.SUMIFS(AG95:AG111,$AC95:$AC111,$AC92)</f>
        <v>0</v>
      </c>
      <c r="AH92" s="669">
        <f>_xlfn.SUMIFS(AH95:AH111,$AC95:$AC111,$AC92)</f>
        <v>0</v>
      </c>
      <c r="AI92" s="669">
        <f>_xlfn.SUMIFS(AI95:AI111,$AC95:$AC111,$AC92)</f>
        <v>0</v>
      </c>
      <c r="AJ92" s="66">
        <f>_xlfn.SUMIFS(AJ95:AJ111,$AC95:$AC111,$AC92)</f>
        <v>0</v>
      </c>
      <c r="AK92" s="66">
        <f>_xlfn.SUMIFS(AK95:AK111,$AC95:$AC111,$AC92)</f>
        <v>0</v>
      </c>
      <c r="AL92" s="66">
        <f>_xlfn.SUMIFS(AL95:AL111,$AC95:$AC111,$AC92)</f>
        <v>0</v>
      </c>
      <c r="AM92" s="66">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9">
        <f>_xlfn.SUMIFS(AS95:AS111,$AC95:$AC111,$AC92)</f>
        <v>0</v>
      </c>
      <c r="AT92" s="66">
        <f>_xlfn.SUMIFS(AT95:AT111,$AC95:$AC111,$AC92)</f>
        <v>0</v>
      </c>
      <c r="AU92" s="66">
        <f>_xlfn.SUMIFS(AU95:AU111,$AC95:$AC111,$AC92)</f>
        <v>0</v>
      </c>
      <c r="AV92" s="66">
        <f>_xlfn.SUMIFS(AV95:AV111,$AC95:$AC111,$AC92)</f>
        <v>0</v>
      </c>
      <c r="AW92" s="66">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79"/>
      <c r="BD92" s="223"/>
      <c r="BE92" s="223"/>
      <c r="BF92" s="1192" t="s">
        <v>970</v>
      </c>
      <c r="BG92" s="1192"/>
      <c r="BH92" s="1192"/>
      <c r="BI92" s="1193"/>
      <c r="BJ92" s="1193"/>
    </row>
    <row s="223" customFormat="1" customHeight="1" ht="14.25">
      <c r="A93" s="223"/>
      <c r="B93" s="223"/>
      <c r="C93" s="223"/>
      <c r="D93" s="223"/>
      <c r="E93" s="924">
        <v>15</v>
      </c>
      <c r="F93" s="922" cm="1" t="str">
        <f t="array" ref="F93:F93">OFFSET(G93,-1,-1)</f>
        <v>1</v>
      </c>
      <c r="G93" s="223"/>
      <c r="H93" s="223"/>
      <c r="I93" s="223"/>
      <c r="J93" s="223"/>
      <c r="K93" s="223"/>
      <c r="L93" s="223"/>
      <c r="M93" s="223"/>
      <c r="N93" s="223"/>
      <c r="O93" s="223"/>
      <c r="P93" s="223"/>
      <c r="Q93" s="223"/>
      <c r="R93" s="223"/>
      <c r="S93" s="223"/>
      <c r="T93" s="923" cm="1" t="str">
        <f t="array" ref="T93:T93">T91</f>
        <v>true</v>
      </c>
      <c r="U93" s="223"/>
      <c r="V93" s="223"/>
      <c r="W93" s="223"/>
      <c r="X93" s="223"/>
      <c r="Y93" s="223"/>
      <c r="Z93" s="223"/>
      <c r="AA93" s="223"/>
      <c r="AB93" s="216" t="s">
        <v>456</v>
      </c>
      <c r="AC93" s="276" t="s">
        <v>971</v>
      </c>
      <c r="AD93" s="154" t="s">
        <v>599</v>
      </c>
      <c r="AE93" s="267">
        <f>SUMIF($AD95:$AD111,$AD93,AE95:AE111)</f>
        <v>0</v>
      </c>
      <c r="AF93" s="267">
        <f>SUMIF($AD95:$AD111,$AD93,AF95:AF111)</f>
        <v>0</v>
      </c>
      <c r="AG93" s="267">
        <f>SUMIF($AD95:$AD111,$AD93,AG95:AG111)</f>
        <v>0</v>
      </c>
      <c r="AH93" s="267">
        <f>SUMIF($AD95:$AD111,$AD93,AH95:AH111)</f>
        <v>0</v>
      </c>
      <c r="AI93" s="267">
        <f>SUMIF($AD95:$AD111,$AD93,AI95:AI111)</f>
        <v>0</v>
      </c>
      <c r="AJ93" s="1663">
        <f>SUMIF($AD95:$AD111,$AD93,AJ95:AJ111)</f>
        <v>0</v>
      </c>
      <c r="AK93" s="1663">
        <f>SUMIF($AD95:$AD111,$AD93,AK95:AK111)</f>
        <v>0</v>
      </c>
      <c r="AL93" s="1663">
        <f>SUMIF($AD95:$AD111,$AD93,AL95:AL111)</f>
        <v>0</v>
      </c>
      <c r="AM93" s="1663">
        <f>SUMIF($AD95:$AD111,$AD93,AM95:AM111)</f>
        <v>0</v>
      </c>
      <c r="AN93" s="1663">
        <f>SUMIF($AD95:$AD111,$AD93,AN95:AN111)</f>
        <v>0</v>
      </c>
      <c r="AO93" s="1663">
        <f>SUMIF($AD95:$AD111,$AD93,AO95:AO111)</f>
        <v>0</v>
      </c>
      <c r="AP93" s="1663">
        <f>SUMIF($AD95:$AD111,$AD93,AP95:AP111)</f>
        <v>0</v>
      </c>
      <c r="AQ93" s="1663">
        <f>SUMIF($AD95:$AD111,$AD93,AQ95:AQ111)</f>
        <v>0</v>
      </c>
      <c r="AR93" s="1663">
        <f>SUMIF($AD95:$AD111,$AD93,AR95:AR111)</f>
        <v>0</v>
      </c>
      <c r="AS93" s="267">
        <f>SUMIF($AD95:$AD111,$AD93,AS95:AS111)</f>
        <v>0</v>
      </c>
      <c r="AT93" s="1663">
        <f>SUMIF($AD95:$AD111,$AD93,AT95:AT111)</f>
        <v>0</v>
      </c>
      <c r="AU93" s="1663">
        <f>SUMIF($AD95:$AD111,$AD93,AU95:AU111)</f>
        <v>0</v>
      </c>
      <c r="AV93" s="1663">
        <f>SUMIF($AD95:$AD111,$AD93,AV95:AV111)</f>
        <v>0</v>
      </c>
      <c r="AW93" s="1663">
        <f>SUMIF($AD95:$AD111,$AD93,AW95:AW111)</f>
        <v>0</v>
      </c>
      <c r="AX93" s="1663">
        <f>SUMIF($AD95:$AD111,$AD93,AX95:AX111)</f>
        <v>0</v>
      </c>
      <c r="AY93" s="1663">
        <f>SUMIF($AD95:$AD111,$AD93,AY95:AY111)</f>
        <v>0</v>
      </c>
      <c r="AZ93" s="1663">
        <f>SUMIF($AD95:$AD111,$AD93,AZ95:AZ111)</f>
        <v>0</v>
      </c>
      <c r="BA93" s="1663">
        <f>SUMIF($AD95:$AD111,$AD93,BA95:BA111)</f>
        <v>0</v>
      </c>
      <c r="BB93" s="1663">
        <f>SUMIF($AD95:$AD111,$AD93,BB95:BB111)</f>
        <v>0</v>
      </c>
      <c r="BC93" s="1722"/>
      <c r="BD93" s="223"/>
      <c r="BE93" s="223"/>
      <c r="BF93" s="1192" t="s">
        <v>972</v>
      </c>
      <c r="BG93" s="1192"/>
      <c r="BH93" s="1192"/>
      <c r="BI93" s="1193"/>
      <c r="BJ93" s="1193"/>
    </row>
    <row s="223" customFormat="1" customHeight="1" ht="14.25">
      <c r="A94" s="223"/>
      <c r="B94" s="223"/>
      <c r="C94" s="223"/>
      <c r="D94" s="223"/>
      <c r="E94" s="924">
        <v>15</v>
      </c>
      <c r="F94" s="922" cm="1" t="str">
        <f t="array" ref="F94:F94">OFFSET(G94,-1,-1)</f>
        <v>1</v>
      </c>
      <c r="G94" s="223"/>
      <c r="H94" s="223"/>
      <c r="I94" s="223"/>
      <c r="J94" s="223"/>
      <c r="K94" s="223"/>
      <c r="L94" s="223"/>
      <c r="M94" s="223"/>
      <c r="N94" s="223"/>
      <c r="O94" s="223"/>
      <c r="P94" s="223"/>
      <c r="Q94" s="223"/>
      <c r="R94" s="223"/>
      <c r="S94" s="223"/>
      <c r="T94" s="923" cm="1" t="str">
        <f t="array" ref="T94:T94">T93</f>
        <v>true</v>
      </c>
      <c r="U94" s="223"/>
      <c r="V94" s="223"/>
      <c r="W94" s="223"/>
      <c r="X94" s="223"/>
      <c r="Y94" s="223"/>
      <c r="Z94" s="223"/>
      <c r="AA94" s="223"/>
      <c r="AB94" s="216" t="s">
        <v>483</v>
      </c>
      <c r="AC94" s="276" t="s">
        <v>938</v>
      </c>
      <c r="AD94" s="154" t="s">
        <v>973</v>
      </c>
      <c r="AE94" s="267">
        <f>IF(AE93=0,0,AE91/AE93)*1000</f>
        <v>0</v>
      </c>
      <c r="AF94" s="267">
        <f>IF(AF93=0,0,AF91/AF93)*1000</f>
        <v>0</v>
      </c>
      <c r="AG94" s="267">
        <f>IF(AG93=0,0,AG91/AG93)*1000</f>
        <v>0</v>
      </c>
      <c r="AH94" s="267">
        <f>IF(AH93=0,0,AH91/AH93)*1000</f>
        <v>0</v>
      </c>
      <c r="AI94" s="267">
        <f>IF(AI93=0,0,AI91/AI93)*1000</f>
        <v>0</v>
      </c>
      <c r="AJ94" s="1663">
        <f>IF(AJ93=0,0,AJ91/AJ93)*1000</f>
        <v>0</v>
      </c>
      <c r="AK94" s="1663">
        <f>IF(AK93=0,0,AK91/AK93)*1000</f>
        <v>0</v>
      </c>
      <c r="AL94" s="1663">
        <f>IF(AL93=0,0,AL91/AL93)*1000</f>
        <v>0</v>
      </c>
      <c r="AM94" s="1663">
        <f>IF(AM93=0,0,AM91/AM93)*1000</f>
        <v>0</v>
      </c>
      <c r="AN94" s="1663">
        <f>IF(AN93=0,0,AN91/AN93)*1000</f>
        <v>0</v>
      </c>
      <c r="AO94" s="1663">
        <f>IF(AO93=0,0,AO91/AO93)*1000</f>
        <v>0</v>
      </c>
      <c r="AP94" s="1663">
        <f>IF(AP93=0,0,AP91/AP93)*1000</f>
        <v>0</v>
      </c>
      <c r="AQ94" s="1663">
        <f>IF(AQ93=0,0,AQ91/AQ93)*1000</f>
        <v>0</v>
      </c>
      <c r="AR94" s="1663">
        <f>IF(AR93=0,0,AR91/AR93)*1000</f>
        <v>0</v>
      </c>
      <c r="AS94" s="267">
        <f>IF(AS93=0,0,AS91/AS93)*1000</f>
        <v>0</v>
      </c>
      <c r="AT94" s="1663">
        <f>IF(AT93=0,0,AT91/AT93)*1000</f>
        <v>0</v>
      </c>
      <c r="AU94" s="1663">
        <f>IF(AU93=0,0,AU91/AU93)*1000</f>
        <v>0</v>
      </c>
      <c r="AV94" s="1663">
        <f>IF(AV93=0,0,AV91/AV93)*1000</f>
        <v>0</v>
      </c>
      <c r="AW94" s="1663">
        <f>IF(AW93=0,0,AW91/AW93)*1000</f>
        <v>0</v>
      </c>
      <c r="AX94" s="1663">
        <f>IF(AX93=0,0,AX91/AX93)*1000</f>
        <v>0</v>
      </c>
      <c r="AY94" s="1663">
        <f>IF(AY93=0,0,AY91/AY93)*1000</f>
        <v>0</v>
      </c>
      <c r="AZ94" s="1663">
        <f>IF(AZ93=0,0,AZ91/AZ93)*1000</f>
        <v>0</v>
      </c>
      <c r="BA94" s="1663">
        <f>IF(BA93=0,0,BA91/BA93)*1000</f>
        <v>0</v>
      </c>
      <c r="BB94" s="1663">
        <f>IF(BB93=0,0,BB91/BB93)*1000</f>
        <v>0</v>
      </c>
      <c r="BC94" s="1722"/>
      <c r="BD94" s="223"/>
      <c r="BE94" s="223"/>
      <c r="BF94" s="1192" t="s">
        <v>974</v>
      </c>
      <c r="BG94" s="1192"/>
      <c r="BH94" s="1192"/>
      <c r="BI94" s="1193"/>
      <c r="BJ94" s="1193"/>
    </row>
    <row s="223" customFormat="1" customHeight="1" ht="14.25">
      <c r="A95" s="223"/>
      <c r="B95" s="223"/>
      <c r="C95" s="223"/>
      <c r="D95" s="223"/>
      <c r="E95" s="924">
        <v>15</v>
      </c>
      <c r="F95" s="922" cm="1" t="str">
        <f t="array" ref="F95:F95">OFFSET(G95,-1,-1)</f>
        <v>1</v>
      </c>
      <c r="G95" s="223"/>
      <c r="H95" s="223"/>
      <c r="I95" s="223"/>
      <c r="J95" s="223"/>
      <c r="K95" s="223"/>
      <c r="L95" s="223"/>
      <c r="M95" s="223"/>
      <c r="N95" s="223"/>
      <c r="O95" s="223"/>
      <c r="P95" s="223"/>
      <c r="Q95" s="223"/>
      <c r="R95" s="223"/>
      <c r="S95" s="223"/>
      <c r="T95" s="923" cm="1" t="str">
        <f t="array" ref="T95:T95">T93</f>
        <v>true</v>
      </c>
      <c r="U95" s="223"/>
      <c r="V95" s="223"/>
      <c r="W95" s="223"/>
      <c r="X95" s="223"/>
      <c r="Y95" s="223"/>
      <c r="Z95" s="223"/>
      <c r="AA95" s="223"/>
      <c r="AB95" s="1871"/>
      <c r="AC95" s="343" t="s">
        <v>943</v>
      </c>
      <c r="AD95" s="344"/>
      <c r="AE95" s="345"/>
      <c r="AF95" s="345"/>
      <c r="AG95" s="345"/>
      <c r="AH95" s="345"/>
      <c r="AI95" s="345"/>
      <c r="AJ95" s="345"/>
      <c r="AK95" s="345"/>
      <c r="AL95" s="345"/>
      <c r="AM95" s="345"/>
      <c r="AN95" s="345"/>
      <c r="AO95" s="345"/>
      <c r="AP95" s="345"/>
      <c r="AQ95" s="345"/>
      <c r="AR95" s="345"/>
      <c r="AS95" s="345"/>
      <c r="AT95" s="345"/>
      <c r="AU95" s="345"/>
      <c r="AV95" s="345"/>
      <c r="AW95" s="345"/>
      <c r="AX95" s="345"/>
      <c r="AY95" s="345"/>
      <c r="AZ95" s="345"/>
      <c r="BA95" s="345"/>
      <c r="BB95" s="345"/>
      <c r="BC95" s="1094"/>
      <c r="BD95" s="223"/>
      <c r="BE95" s="223"/>
      <c r="BF95" s="1192"/>
      <c r="BG95" s="1192"/>
      <c r="BH95" s="1192"/>
      <c r="BI95" s="1193"/>
      <c r="BJ95" s="1193"/>
    </row>
    <row s="223" customFormat="1" customHeight="1" ht="17.25" hidden="1">
      <c r="A96" s="223"/>
      <c r="B96" s="223"/>
      <c r="C96" s="223"/>
      <c r="D96" s="223"/>
      <c r="E96" s="924">
        <v>0</v>
      </c>
      <c r="F96" s="922" cm="1" t="str">
        <f t="array" ref="F96:F96">OFFSET(G96,-1,-1)</f>
        <v>1</v>
      </c>
      <c r="G96" s="223"/>
      <c r="H96" s="223"/>
      <c r="I96" s="223"/>
      <c r="J96" s="223"/>
      <c r="K96" s="223"/>
      <c r="L96" s="223"/>
      <c r="M96" s="223"/>
      <c r="N96" s="223"/>
      <c r="O96" s="223"/>
      <c r="P96" s="223"/>
      <c r="Q96" s="223"/>
      <c r="R96" s="223"/>
      <c r="S96" s="223"/>
      <c r="T96" s="923" cm="1" t="str">
        <f t="array" ref="T96:T96">T95</f>
        <v>true</v>
      </c>
      <c r="U96" s="223"/>
      <c r="V96" s="223"/>
      <c r="W96" s="223"/>
      <c r="X96" s="223"/>
      <c r="Y96" s="223"/>
      <c r="Z96" s="223"/>
      <c r="AA96" s="223"/>
      <c r="AB96" s="286"/>
      <c r="AC96" s="281"/>
      <c r="AD96" s="609"/>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93"/>
      <c r="BD96" s="223"/>
      <c r="BE96" s="223"/>
      <c r="BF96" s="1192"/>
      <c r="BG96" s="1192"/>
      <c r="BH96" s="1192"/>
      <c r="BI96" s="1193"/>
      <c r="BJ96" s="1193"/>
    </row>
    <row s="223" customFormat="1" customHeight="1" ht="14.25" hidden="1">
      <c r="A97" s="1125" t="str">
        <f>"checkCosts_4."&amp;F97&amp;"."&amp;Y97</f>
        <v>checkCosts_4.1.0</v>
      </c>
      <c r="B97" s="223"/>
      <c r="C97" s="223"/>
      <c r="D97" s="223"/>
      <c r="E97" s="924">
        <v>15</v>
      </c>
      <c r="F97" s="922" cm="1" t="str">
        <f t="array" ref="F97:F97">OFFSET(G97,-1,-1)</f>
        <v>1</v>
      </c>
      <c r="G97" s="223"/>
      <c r="H97" s="155" cm="1" t="str">
        <f t="array" ref="H97:H97">AC97</f>
        <v>0</v>
      </c>
      <c r="I97" s="215" t="s">
        <v>930</v>
      </c>
      <c r="J97" s="223"/>
      <c r="K97" s="223"/>
      <c r="L97" s="223"/>
      <c r="M97" s="223"/>
      <c r="N97" s="223"/>
      <c r="O97" s="223"/>
      <c r="P97" s="223"/>
      <c r="Q97" s="223"/>
      <c r="R97" s="223"/>
      <c r="S97" s="223"/>
      <c r="T97" s="923">
        <f>AND(F97&gt;0,Y97&gt;0)</f>
        <v>0</v>
      </c>
      <c r="U97" s="223"/>
      <c r="V97" s="223"/>
      <c r="W97" s="171" t="s">
        <v>234</v>
      </c>
      <c r="X97" s="223"/>
      <c r="Y97" s="183">
        <v>0</v>
      </c>
      <c r="Z97" s="223"/>
      <c r="AA97" s="1536" t="s">
        <v>218</v>
      </c>
      <c r="AB97" s="288" t="str">
        <f>"2.3."&amp;Y97</f>
        <v>2.3.0</v>
      </c>
      <c r="AC97" s="604"/>
      <c r="AD97" s="610" t="s">
        <v>810</v>
      </c>
      <c r="AE97" s="1872">
        <f>AE99*AE100/1000</f>
        <v>0</v>
      </c>
      <c r="AF97" s="1665"/>
      <c r="AG97" s="1665"/>
      <c r="AH97" s="1872">
        <f>AH99*AH100/1000</f>
        <v>0</v>
      </c>
      <c r="AI97" s="1665"/>
      <c r="AJ97" s="1665"/>
      <c r="AK97" s="1665"/>
      <c r="AL97" s="1665"/>
      <c r="AM97" s="1665"/>
      <c r="AN97" s="1665"/>
      <c r="AO97" s="1665"/>
      <c r="AP97" s="1665"/>
      <c r="AQ97" s="1665"/>
      <c r="AR97" s="1665"/>
      <c r="AS97" s="1872">
        <f>AS99*AS100/1000</f>
        <v>0</v>
      </c>
      <c r="AT97" s="1872">
        <f>AT99*AT100/1000</f>
        <v>0</v>
      </c>
      <c r="AU97" s="1872">
        <f>AU99*AU100/1000</f>
        <v>0</v>
      </c>
      <c r="AV97" s="1872">
        <f>AV99*AV100/1000</f>
        <v>0</v>
      </c>
      <c r="AW97" s="1872">
        <f>AW99*AW100/1000</f>
        <v>0</v>
      </c>
      <c r="AX97" s="1872">
        <f>AX99*AX100/1000</f>
        <v>0</v>
      </c>
      <c r="AY97" s="1872">
        <f>AY99*AY100/1000</f>
        <v>0</v>
      </c>
      <c r="AZ97" s="1872">
        <f>AZ99*AZ100/1000</f>
        <v>0</v>
      </c>
      <c r="BA97" s="1872">
        <f>BA99*BA100/1000</f>
        <v>0</v>
      </c>
      <c r="BB97" s="1872">
        <f>BB99*BB100/1000</f>
        <v>0</v>
      </c>
      <c r="BC97" s="1873"/>
      <c r="BD97" s="223"/>
      <c r="BE97" s="223"/>
      <c r="BF97" s="1192" t="s">
        <v>975</v>
      </c>
      <c r="BG97" s="1192" t="s">
        <v>976</v>
      </c>
      <c r="BH97" s="1192" cm="1" t="str">
        <f t="array" ref="BH97:BH97">AC97</f>
        <v>0</v>
      </c>
      <c r="BI97" s="1193"/>
      <c r="BJ97" s="1193" t="b">
        <v>1</v>
      </c>
    </row>
    <row s="223" customFormat="1" customHeight="1" ht="14.25" hidden="1">
      <c r="A98" s="223"/>
      <c r="B98" s="223"/>
      <c r="C98" s="223"/>
      <c r="D98" s="223"/>
      <c r="E98" s="924">
        <v>15</v>
      </c>
      <c r="F98" s="922" cm="1" t="str">
        <f t="array" ref="F98:F98">OFFSET(G98,-1,-1)</f>
        <v>1</v>
      </c>
      <c r="G98" s="223"/>
      <c r="H98" s="223"/>
      <c r="I98" s="223"/>
      <c r="J98" s="223"/>
      <c r="K98" s="223"/>
      <c r="L98" s="213" cm="1" t="str">
        <f t="array" ref="L98:L98">INDEX('Общие сведения'!$AK$169:$AK$202,MATCH($F98,'Общие сведения'!$Z$169:$Z$202,0))</f>
        <v>одноставочный</v>
      </c>
      <c r="M98" s="223"/>
      <c r="N98" s="223"/>
      <c r="O98" s="223"/>
      <c r="P98" s="223"/>
      <c r="Q98" s="223"/>
      <c r="R98" s="193" t="s">
        <v>967</v>
      </c>
      <c r="S98" s="223"/>
      <c r="T98" s="923">
        <f>AND(T97,L98="двухставочный")</f>
        <v>0</v>
      </c>
      <c r="U98" s="223"/>
      <c r="V98" s="223"/>
      <c r="W98" s="223"/>
      <c r="X98" s="223"/>
      <c r="Y98" s="223"/>
      <c r="Z98" s="223"/>
      <c r="AA98" s="1536"/>
      <c r="AB98" s="288"/>
      <c r="AC98" s="590" t="s">
        <v>969</v>
      </c>
      <c r="AD98" s="610" t="s">
        <v>810</v>
      </c>
      <c r="AE98" s="66"/>
      <c r="AF98" s="66"/>
      <c r="AG98" s="66"/>
      <c r="AH98" s="66"/>
      <c r="AI98" s="1691"/>
      <c r="AJ98" s="66"/>
      <c r="AK98" s="66"/>
      <c r="AL98" s="66"/>
      <c r="AM98" s="66"/>
      <c r="AN98" s="66"/>
      <c r="AO98" s="66"/>
      <c r="AP98" s="66"/>
      <c r="AQ98" s="66"/>
      <c r="AR98" s="66"/>
      <c r="AS98" s="1691"/>
      <c r="AT98" s="66"/>
      <c r="AU98" s="66"/>
      <c r="AV98" s="66"/>
      <c r="AW98" s="66"/>
      <c r="AX98" s="66"/>
      <c r="AY98" s="66"/>
      <c r="AZ98" s="66"/>
      <c r="BA98" s="66"/>
      <c r="BB98" s="66"/>
      <c r="BC98" s="104"/>
      <c r="BD98" s="223"/>
      <c r="BE98" s="223"/>
      <c r="BF98" s="1192" t="s">
        <v>977</v>
      </c>
      <c r="BG98" s="1192" t="s">
        <v>976</v>
      </c>
      <c r="BH98" s="1192" cm="1" t="str">
        <f t="array" ref="BH98:BH98">BH97</f>
        <v>0</v>
      </c>
      <c r="BI98" s="1193"/>
      <c r="BJ98" s="1193"/>
    </row>
    <row s="223" customFormat="1" customHeight="1" ht="14.25" hidden="1">
      <c r="A99" s="223"/>
      <c r="B99" s="223"/>
      <c r="C99" s="223"/>
      <c r="D99" s="223"/>
      <c r="E99" s="924">
        <v>15</v>
      </c>
      <c r="F99" s="922" cm="1" t="str">
        <f t="array" ref="F99:F99">OFFSET(G99,-1,-1)</f>
        <v>1</v>
      </c>
      <c r="G99" s="223"/>
      <c r="H99" s="155" cm="1" t="str">
        <f t="array" ref="H99:H99">H97</f>
        <v>0</v>
      </c>
      <c r="I99" s="223"/>
      <c r="J99" s="223"/>
      <c r="K99" s="223"/>
      <c r="L99" s="223"/>
      <c r="M99" s="223"/>
      <c r="N99" s="223"/>
      <c r="O99" s="223"/>
      <c r="P99" s="223"/>
      <c r="Q99" s="223"/>
      <c r="R99" s="223"/>
      <c r="S99" s="223"/>
      <c r="T99" s="923" cm="1" t="str">
        <f t="array" ref="T99:T99">T97</f>
        <v>false</v>
      </c>
      <c r="U99" s="223"/>
      <c r="V99" s="223"/>
      <c r="W99" s="223"/>
      <c r="X99" s="223"/>
      <c r="Y99" s="223"/>
      <c r="Z99" s="223"/>
      <c r="AA99" s="1536"/>
      <c r="AB99" s="288" t="str">
        <f>AB97&amp;".1"</f>
        <v>2.3.0.1</v>
      </c>
      <c r="AC99" s="590" t="s">
        <v>946</v>
      </c>
      <c r="AD99" s="154" t="s">
        <v>973</v>
      </c>
      <c r="AE99" s="66"/>
      <c r="AF99" s="669">
        <f>IF(AF100=0,0,AF97/AF100*1000)</f>
        <v>0</v>
      </c>
      <c r="AG99" s="669">
        <f>IF(AG100=0,0,AG97/AG100*1000)</f>
        <v>0</v>
      </c>
      <c r="AH99" s="66"/>
      <c r="AI99" s="669">
        <f>IF(AI100=0,0,AI97/AI100*1000)</f>
        <v>0</v>
      </c>
      <c r="AJ99" s="669">
        <f>IF(AJ100=0,0,AJ97/AJ100*1000)</f>
        <v>0</v>
      </c>
      <c r="AK99" s="669">
        <f>IF(AK100=0,0,AK97/AK100*1000)</f>
        <v>0</v>
      </c>
      <c r="AL99" s="669">
        <f>IF(AL100=0,0,AL97/AL100*1000)</f>
        <v>0</v>
      </c>
      <c r="AM99" s="669">
        <f>IF(AM100=0,0,AM97/AM100*1000)</f>
        <v>0</v>
      </c>
      <c r="AN99" s="669">
        <f>IF(AN100=0,0,AN97/AN100*1000)</f>
        <v>0</v>
      </c>
      <c r="AO99" s="669">
        <f>IF(AO100=0,0,AO97/AO100*1000)</f>
        <v>0</v>
      </c>
      <c r="AP99" s="669">
        <f>IF(AP100=0,0,AP97/AP100*1000)</f>
        <v>0</v>
      </c>
      <c r="AQ99" s="669">
        <f>IF(AQ100=0,0,AQ97/AQ100*1000)</f>
        <v>0</v>
      </c>
      <c r="AR99" s="669">
        <f>IF(AR100=0,0,AR97/AR100*1000)</f>
        <v>0</v>
      </c>
      <c r="AS99" s="1691"/>
      <c r="AT99" s="66"/>
      <c r="AU99" s="66"/>
      <c r="AV99" s="66"/>
      <c r="AW99" s="66"/>
      <c r="AX99" s="66"/>
      <c r="AY99" s="66"/>
      <c r="AZ99" s="66"/>
      <c r="BA99" s="66"/>
      <c r="BB99" s="66"/>
      <c r="BC99" s="73"/>
      <c r="BD99" s="223"/>
      <c r="BE99" s="223"/>
      <c r="BF99" s="1192" t="s">
        <v>978</v>
      </c>
      <c r="BG99" s="1192" t="s">
        <v>976</v>
      </c>
      <c r="BH99" s="1192" cm="1" t="str">
        <f t="array" ref="BH99:BH99">BH98</f>
        <v>0</v>
      </c>
      <c r="BI99" s="1193"/>
      <c r="BJ99" s="1193"/>
    </row>
    <row s="223" customFormat="1" customHeight="1" ht="14.25" hidden="1">
      <c r="A100" s="1125" t="str">
        <f>"checkVolume_4."&amp;F100&amp;"."&amp;Y97</f>
        <v>checkVolume_4.1.0</v>
      </c>
      <c r="B100" s="223"/>
      <c r="C100" s="223"/>
      <c r="D100" s="223"/>
      <c r="E100" s="924">
        <v>15</v>
      </c>
      <c r="F100" s="922" cm="1" t="str">
        <f t="array" ref="F100:F100">OFFSET(G100,-1,-1)</f>
        <v>1</v>
      </c>
      <c r="G100" s="223"/>
      <c r="H100" s="155" cm="1" t="str">
        <f t="array" ref="H100:H100">H97</f>
        <v>0</v>
      </c>
      <c r="I100" s="223"/>
      <c r="J100" s="223"/>
      <c r="K100" s="223"/>
      <c r="L100" s="223"/>
      <c r="M100" s="223"/>
      <c r="N100" s="223"/>
      <c r="O100" s="223"/>
      <c r="P100" s="223"/>
      <c r="Q100" s="223"/>
      <c r="R100" s="223"/>
      <c r="S100" s="223"/>
      <c r="T100" s="923" cm="1" t="str">
        <f t="array" ref="T100:T100">T97</f>
        <v>false</v>
      </c>
      <c r="U100" s="223"/>
      <c r="V100" s="223"/>
      <c r="W100" s="223"/>
      <c r="X100" s="223"/>
      <c r="Y100" s="223"/>
      <c r="Z100" s="223"/>
      <c r="AA100" s="1536"/>
      <c r="AB100" s="288" t="str">
        <f>AB97&amp;".2"</f>
        <v>2.3.0.2</v>
      </c>
      <c r="AC100" s="590" t="s">
        <v>979</v>
      </c>
      <c r="AD100" s="154" t="s">
        <v>599</v>
      </c>
      <c r="AE100" s="66"/>
      <c r="AF100" s="66"/>
      <c r="AG100" s="66"/>
      <c r="AH100" s="66"/>
      <c r="AI100" s="1691"/>
      <c r="AJ100" s="66"/>
      <c r="AK100" s="66"/>
      <c r="AL100" s="66"/>
      <c r="AM100" s="66"/>
      <c r="AN100" s="66"/>
      <c r="AO100" s="66"/>
      <c r="AP100" s="66"/>
      <c r="AQ100" s="66"/>
      <c r="AR100" s="66"/>
      <c r="AS100" s="1691"/>
      <c r="AT100" s="66"/>
      <c r="AU100" s="66"/>
      <c r="AV100" s="66"/>
      <c r="AW100" s="66"/>
      <c r="AX100" s="66"/>
      <c r="AY100" s="66"/>
      <c r="AZ100" s="66"/>
      <c r="BA100" s="66"/>
      <c r="BB100" s="66"/>
      <c r="BC100" s="73"/>
      <c r="BD100" s="223"/>
      <c r="BE100" s="223"/>
      <c r="BF100" s="1192" t="s">
        <v>980</v>
      </c>
      <c r="BG100" s="1192" t="s">
        <v>976</v>
      </c>
      <c r="BH100" s="1192" cm="1" t="str">
        <f t="array" ref="BH100:BH100">BH98</f>
        <v>0</v>
      </c>
      <c r="BI100" s="1193"/>
      <c r="BJ100" s="1193"/>
    </row>
    <row s="223" customFormat="1" customHeight="1" ht="14.25">
      <c r="A101" s="223"/>
      <c r="B101" s="223"/>
      <c r="C101" s="223"/>
      <c r="D101" s="223"/>
      <c r="E101" s="924">
        <v>15</v>
      </c>
      <c r="F101" s="922" cm="1" t="str">
        <f t="array" ref="F101:F101">OFFSET(G101,-1,-1)</f>
        <v>1</v>
      </c>
      <c r="G101" s="223"/>
      <c r="H101" s="223"/>
      <c r="I101" s="223"/>
      <c r="J101" s="223"/>
      <c r="K101" s="223"/>
      <c r="L101" s="223"/>
      <c r="M101" s="223"/>
      <c r="N101" s="223"/>
      <c r="O101" s="223"/>
      <c r="P101" s="223"/>
      <c r="Q101" s="223"/>
      <c r="R101" s="223"/>
      <c r="S101" s="223"/>
      <c r="T101" s="923">
        <f>F101&gt;0</f>
        <v>1</v>
      </c>
      <c r="U101" s="223"/>
      <c r="V101" s="223"/>
      <c r="W101" s="374" t="s">
        <v>981</v>
      </c>
      <c r="X101" s="223"/>
      <c r="Y101" s="223"/>
      <c r="Z101" s="223"/>
      <c r="AA101" s="223"/>
      <c r="AB101" s="818"/>
      <c r="AC101" s="588" t="s">
        <v>982</v>
      </c>
      <c r="AD101" s="588"/>
      <c r="AE101" s="303"/>
      <c r="AF101" s="303"/>
      <c r="AG101" s="303"/>
      <c r="AH101" s="303"/>
      <c r="AI101" s="303"/>
      <c r="AJ101" s="303"/>
      <c r="AK101" s="303"/>
      <c r="AL101" s="303"/>
      <c r="AM101" s="303"/>
      <c r="AN101" s="303"/>
      <c r="AO101" s="303"/>
      <c r="AP101" s="303"/>
      <c r="AQ101" s="303"/>
      <c r="AR101" s="303"/>
      <c r="AS101" s="303"/>
      <c r="AT101" s="303"/>
      <c r="AU101" s="303"/>
      <c r="AV101" s="303"/>
      <c r="AW101" s="303"/>
      <c r="AX101" s="303"/>
      <c r="AY101" s="303"/>
      <c r="AZ101" s="303"/>
      <c r="BA101" s="303"/>
      <c r="BB101" s="303"/>
      <c r="BC101" s="1100"/>
      <c r="BD101" s="223"/>
      <c r="BE101" s="223"/>
      <c r="BF101" s="1192"/>
      <c r="BG101" s="1192"/>
      <c r="BH101" s="1192"/>
      <c r="BI101" s="1193" t="s">
        <v>976</v>
      </c>
      <c r="BJ101" s="1193"/>
    </row>
    <row s="223" customFormat="1" customHeight="1" ht="14.25">
      <c r="A102" s="223"/>
      <c r="B102" s="223"/>
      <c r="C102" s="223"/>
      <c r="D102" s="223"/>
      <c r="E102" s="924">
        <v>15</v>
      </c>
      <c r="F102" s="922" cm="1" t="str">
        <f t="array" ref="F102:F102">OFFSET(G102,-1,-1)</f>
        <v>1</v>
      </c>
      <c r="G102" s="223"/>
      <c r="H102" s="223"/>
      <c r="I102" s="223"/>
      <c r="J102" s="223"/>
      <c r="K102" s="223"/>
      <c r="L102" s="223"/>
      <c r="M102" s="223"/>
      <c r="N102" s="223"/>
      <c r="O102" s="223"/>
      <c r="P102" s="223"/>
      <c r="Q102" s="223"/>
      <c r="R102" s="223"/>
      <c r="S102" s="223"/>
      <c r="T102" s="923">
        <f>F102&gt;0</f>
        <v>1</v>
      </c>
      <c r="U102" s="223"/>
      <c r="V102" s="223"/>
      <c r="W102" s="223"/>
      <c r="X102" s="223"/>
      <c r="Y102" s="223"/>
      <c r="Z102" s="223"/>
      <c r="AA102" s="223"/>
      <c r="AB102" s="1871"/>
      <c r="AC102" s="343" t="s">
        <v>952</v>
      </c>
      <c r="AD102" s="344"/>
      <c r="AE102" s="345"/>
      <c r="AF102" s="345"/>
      <c r="AG102" s="345"/>
      <c r="AH102" s="345"/>
      <c r="AI102" s="345"/>
      <c r="AJ102" s="345"/>
      <c r="AK102" s="345"/>
      <c r="AL102" s="345"/>
      <c r="AM102" s="345"/>
      <c r="AN102" s="345"/>
      <c r="AO102" s="345"/>
      <c r="AP102" s="345"/>
      <c r="AQ102" s="345"/>
      <c r="AR102" s="345"/>
      <c r="AS102" s="345"/>
      <c r="AT102" s="345"/>
      <c r="AU102" s="345"/>
      <c r="AV102" s="345"/>
      <c r="AW102" s="345"/>
      <c r="AX102" s="345"/>
      <c r="AY102" s="345"/>
      <c r="AZ102" s="345"/>
      <c r="BA102" s="345"/>
      <c r="BB102" s="345"/>
      <c r="BC102" s="1094"/>
      <c r="BD102" s="223"/>
      <c r="BE102" s="223"/>
      <c r="BF102" s="1192"/>
      <c r="BG102" s="1192"/>
      <c r="BH102" s="1192"/>
      <c r="BI102" s="1193"/>
      <c r="BJ102" s="1193"/>
    </row>
    <row s="223" customFormat="1" customHeight="1" ht="17.25" hidden="1">
      <c r="A103" s="223"/>
      <c r="B103" s="223"/>
      <c r="C103" s="223"/>
      <c r="D103" s="223"/>
      <c r="E103" s="924">
        <v>0</v>
      </c>
      <c r="F103" s="922" cm="1" t="str">
        <f t="array" ref="F103:F103">OFFSET(G103,-1,-1)</f>
        <v>1</v>
      </c>
      <c r="G103" s="223"/>
      <c r="H103" s="223"/>
      <c r="I103" s="223"/>
      <c r="J103" s="223"/>
      <c r="K103" s="223"/>
      <c r="L103" s="223"/>
      <c r="M103" s="223"/>
      <c r="N103" s="223"/>
      <c r="O103" s="223"/>
      <c r="P103" s="223"/>
      <c r="Q103" s="223"/>
      <c r="R103" s="223"/>
      <c r="S103" s="223"/>
      <c r="T103" s="923">
        <f>F103&gt;0</f>
        <v>1</v>
      </c>
      <c r="U103" s="223"/>
      <c r="V103" s="223"/>
      <c r="W103" s="223"/>
      <c r="X103" s="223"/>
      <c r="Y103" s="223"/>
      <c r="Z103" s="223"/>
      <c r="AA103" s="223"/>
      <c r="AB103" s="286"/>
      <c r="AC103" s="281"/>
      <c r="AD103" s="280"/>
      <c r="AE103" s="587"/>
      <c r="AF103" s="587"/>
      <c r="AG103" s="587"/>
      <c r="AH103" s="587"/>
      <c r="AI103" s="587"/>
      <c r="AJ103" s="587"/>
      <c r="AK103" s="587"/>
      <c r="AL103" s="587"/>
      <c r="AM103" s="587"/>
      <c r="AN103" s="587"/>
      <c r="AO103" s="587"/>
      <c r="AP103" s="587"/>
      <c r="AQ103" s="587"/>
      <c r="AR103" s="587"/>
      <c r="AS103" s="587"/>
      <c r="AT103" s="587"/>
      <c r="AU103" s="587"/>
      <c r="AV103" s="587"/>
      <c r="AW103" s="587"/>
      <c r="AX103" s="587"/>
      <c r="AY103" s="587"/>
      <c r="AZ103" s="587"/>
      <c r="BA103" s="587"/>
      <c r="BB103" s="587"/>
      <c r="BC103" s="79"/>
      <c r="BD103" s="223"/>
      <c r="BE103" s="223"/>
      <c r="BF103" s="1192"/>
      <c r="BG103" s="1192"/>
      <c r="BH103" s="1192"/>
      <c r="BI103" s="1193"/>
      <c r="BJ103" s="1193"/>
    </row>
    <row s="223" customFormat="1" customHeight="1" ht="14.25" hidden="1">
      <c r="A104" s="223"/>
      <c r="B104" s="223"/>
      <c r="C104" s="223"/>
      <c r="D104" s="223"/>
      <c r="E104" s="924">
        <v>15</v>
      </c>
      <c r="F104" s="922" cm="1" t="str">
        <f t="array" ref="F104:F104">OFFSET(G104,-1,-1)</f>
        <v>1</v>
      </c>
      <c r="G104" s="223"/>
      <c r="H104" s="155" cm="1" t="str">
        <f t="array" ref="H104:H104">AC104</f>
        <v>0</v>
      </c>
      <c r="I104" s="155" t="s">
        <v>930</v>
      </c>
      <c r="J104" s="223"/>
      <c r="K104" s="223"/>
      <c r="L104" s="223"/>
      <c r="M104" s="223"/>
      <c r="N104" s="223"/>
      <c r="O104" s="223"/>
      <c r="P104" s="223"/>
      <c r="Q104" s="223"/>
      <c r="R104" s="223"/>
      <c r="S104" s="223"/>
      <c r="T104" s="923">
        <f>AND(F104&gt;0,Y104&gt;0)</f>
        <v>0</v>
      </c>
      <c r="U104" s="223"/>
      <c r="V104" s="223"/>
      <c r="W104" s="171" t="s">
        <v>234</v>
      </c>
      <c r="X104" s="223"/>
      <c r="Y104" s="183">
        <v>0</v>
      </c>
      <c r="Z104" s="223"/>
      <c r="AA104" s="1536" t="s">
        <v>218</v>
      </c>
      <c r="AB104" s="154" t="str">
        <f>"2.4."&amp;Y104</f>
        <v>2.4.0</v>
      </c>
      <c r="AC104" s="604"/>
      <c r="AD104" s="154" t="s">
        <v>810</v>
      </c>
      <c r="AE104" s="1874">
        <f>AE107+AE109</f>
        <v>0</v>
      </c>
      <c r="AF104" s="1874">
        <f>AF107+AF109</f>
        <v>0</v>
      </c>
      <c r="AG104" s="1874">
        <f>AG107+AG109</f>
        <v>0</v>
      </c>
      <c r="AH104" s="1874">
        <f>AH107+AH109</f>
        <v>0</v>
      </c>
      <c r="AI104" s="1874">
        <f>AI107+AI109</f>
        <v>0</v>
      </c>
      <c r="AJ104" s="1666">
        <f>AJ107+AJ109</f>
        <v>0</v>
      </c>
      <c r="AK104" s="1666">
        <f>AK107+AK109</f>
        <v>0</v>
      </c>
      <c r="AL104" s="1666">
        <f>AL107+AL109</f>
        <v>0</v>
      </c>
      <c r="AM104" s="1666">
        <f>AM107+AM109</f>
        <v>0</v>
      </c>
      <c r="AN104" s="1666">
        <f>AN107+AN109</f>
        <v>0</v>
      </c>
      <c r="AO104" s="1666">
        <f>AO107+AO109</f>
        <v>0</v>
      </c>
      <c r="AP104" s="1666">
        <f>AP107+AP109</f>
        <v>0</v>
      </c>
      <c r="AQ104" s="1666">
        <f>AQ107+AQ109</f>
        <v>0</v>
      </c>
      <c r="AR104" s="1666">
        <f>AR107+AR109</f>
        <v>0</v>
      </c>
      <c r="AS104" s="1874">
        <f>AS107+AS109</f>
        <v>0</v>
      </c>
      <c r="AT104" s="1666">
        <f>AT107+AT109</f>
        <v>0</v>
      </c>
      <c r="AU104" s="1666">
        <f>AU107+AU109</f>
        <v>0</v>
      </c>
      <c r="AV104" s="1666">
        <f>AV107+AV109</f>
        <v>0</v>
      </c>
      <c r="AW104" s="1666">
        <f>AW107+AW109</f>
        <v>0</v>
      </c>
      <c r="AX104" s="1666">
        <f>AX107+AX109</f>
        <v>0</v>
      </c>
      <c r="AY104" s="1666">
        <f>AY107+AY109</f>
        <v>0</v>
      </c>
      <c r="AZ104" s="1666">
        <f>AZ107+AZ109</f>
        <v>0</v>
      </c>
      <c r="BA104" s="1666">
        <f>BA107+BA109</f>
        <v>0</v>
      </c>
      <c r="BB104" s="1666">
        <f>BB107+BB109</f>
        <v>0</v>
      </c>
      <c r="BC104" s="1723"/>
      <c r="BD104" s="223"/>
      <c r="BE104" s="223"/>
      <c r="BF104" s="1192" t="s">
        <v>975</v>
      </c>
      <c r="BG104" s="1192" t="s">
        <v>983</v>
      </c>
      <c r="BH104" s="1192" cm="1" t="str">
        <f t="array" ref="BH104:BH104">AC104</f>
        <v>0</v>
      </c>
      <c r="BI104" s="1193"/>
      <c r="BJ104" s="1193" t="b">
        <v>1</v>
      </c>
    </row>
    <row s="223" customFormat="1" customHeight="1" ht="14.25" hidden="1">
      <c r="A105" s="223"/>
      <c r="B105" s="223"/>
      <c r="C105" s="223"/>
      <c r="D105" s="223"/>
      <c r="E105" s="924">
        <v>15</v>
      </c>
      <c r="F105" s="922" cm="1" t="str">
        <f t="array" ref="F105:F105">OFFSET(G105,-1,-1)</f>
        <v>1</v>
      </c>
      <c r="G105" s="223"/>
      <c r="H105" s="223"/>
      <c r="I105" s="223"/>
      <c r="J105" s="223"/>
      <c r="K105" s="223"/>
      <c r="L105" s="213" cm="1" t="str">
        <f t="array" ref="L105:L105">INDEX('Общие сведения'!$AK$169:$AK$202,MATCH($F105,'Общие сведения'!$Z$169:$Z$202,0))</f>
        <v>одноставочный</v>
      </c>
      <c r="M105" s="223"/>
      <c r="N105" s="223"/>
      <c r="O105" s="223"/>
      <c r="P105" s="223"/>
      <c r="Q105" s="223"/>
      <c r="R105" s="193" t="s">
        <v>967</v>
      </c>
      <c r="S105" s="223"/>
      <c r="T105" s="923">
        <f>AND(T104,L105="двухставочный")</f>
        <v>0</v>
      </c>
      <c r="U105" s="223"/>
      <c r="V105" s="223"/>
      <c r="W105" s="223"/>
      <c r="X105" s="223"/>
      <c r="Y105" s="223"/>
      <c r="Z105" s="223"/>
      <c r="AA105" s="1536"/>
      <c r="AB105" s="288"/>
      <c r="AC105" s="590" t="s">
        <v>969</v>
      </c>
      <c r="AD105" s="610" t="s">
        <v>810</v>
      </c>
      <c r="AE105" s="66"/>
      <c r="AF105" s="66"/>
      <c r="AG105" s="66"/>
      <c r="AH105" s="66"/>
      <c r="AI105" s="1691"/>
      <c r="AJ105" s="66"/>
      <c r="AK105" s="66"/>
      <c r="AL105" s="66"/>
      <c r="AM105" s="66"/>
      <c r="AN105" s="66"/>
      <c r="AO105" s="66"/>
      <c r="AP105" s="66"/>
      <c r="AQ105" s="66"/>
      <c r="AR105" s="66"/>
      <c r="AS105" s="1691"/>
      <c r="AT105" s="66"/>
      <c r="AU105" s="66"/>
      <c r="AV105" s="66"/>
      <c r="AW105" s="66"/>
      <c r="AX105" s="66"/>
      <c r="AY105" s="66"/>
      <c r="AZ105" s="66"/>
      <c r="BA105" s="66"/>
      <c r="BB105" s="66"/>
      <c r="BC105" s="104"/>
      <c r="BD105" s="223"/>
      <c r="BE105" s="223"/>
      <c r="BF105" s="1192" t="s">
        <v>977</v>
      </c>
      <c r="BG105" s="1192" t="s">
        <v>983</v>
      </c>
      <c r="BH105" s="1192" cm="1" t="str">
        <f t="array" ref="BH105:BH105">BH104</f>
        <v>0</v>
      </c>
      <c r="BI105" s="1193"/>
      <c r="BJ105" s="1193"/>
    </row>
    <row s="223" customFormat="1" customHeight="1" ht="14.25" hidden="1">
      <c r="A106" s="223"/>
      <c r="B106" s="223"/>
      <c r="C106" s="223"/>
      <c r="D106" s="223"/>
      <c r="E106" s="924">
        <v>15</v>
      </c>
      <c r="F106" s="922" cm="1" t="str">
        <f t="array" ref="F106:F106">OFFSET(G106,-1,-1)</f>
        <v>1</v>
      </c>
      <c r="G106" s="223"/>
      <c r="H106" s="155" cm="1" t="str">
        <f t="array" ref="H106:H106">H104</f>
        <v>0</v>
      </c>
      <c r="I106" s="223"/>
      <c r="J106" s="223"/>
      <c r="K106" s="223"/>
      <c r="L106" s="223"/>
      <c r="M106" s="223"/>
      <c r="N106" s="223"/>
      <c r="O106" s="223"/>
      <c r="P106" s="223"/>
      <c r="Q106" s="223"/>
      <c r="R106" s="223"/>
      <c r="S106" s="223"/>
      <c r="T106" s="923" cm="1" t="str">
        <f t="array" ref="T106:T106">T104</f>
        <v>false</v>
      </c>
      <c r="U106" s="223"/>
      <c r="V106" s="223"/>
      <c r="W106" s="223"/>
      <c r="X106" s="223"/>
      <c r="Y106" s="223"/>
      <c r="Z106" s="223"/>
      <c r="AA106" s="1536"/>
      <c r="AB106" s="288" t="str">
        <f>AB104&amp;".1"</f>
        <v>2.4.0.1</v>
      </c>
      <c r="AC106" s="590" t="s">
        <v>946</v>
      </c>
      <c r="AD106" s="154" t="s">
        <v>973</v>
      </c>
      <c r="AE106" s="63"/>
      <c r="AF106" s="591">
        <f>IF(AF108=0,0,AF107/AF108*1000)</f>
        <v>0</v>
      </c>
      <c r="AG106" s="591">
        <f>IF(AG108=0,0,AG107/AG108*1000)</f>
        <v>0</v>
      </c>
      <c r="AH106" s="63"/>
      <c r="AI106" s="591">
        <f>IF(AI108=0,0,AI107/AI108*1000)</f>
        <v>0</v>
      </c>
      <c r="AJ106" s="591">
        <f>IF(AJ108=0,0,AJ107/AJ108*1000)</f>
        <v>0</v>
      </c>
      <c r="AK106" s="591">
        <f>IF(AK108=0,0,AK107/AK108*1000)</f>
        <v>0</v>
      </c>
      <c r="AL106" s="591">
        <f>IF(AL108=0,0,AL107/AL108*1000)</f>
        <v>0</v>
      </c>
      <c r="AM106" s="591">
        <f>IF(AM108=0,0,AM107/AM108*1000)</f>
        <v>0</v>
      </c>
      <c r="AN106" s="591">
        <f>IF(AN108=0,0,AN107/AN108*1000)</f>
        <v>0</v>
      </c>
      <c r="AO106" s="591">
        <f>IF(AO108=0,0,AO107/AO108*1000)</f>
        <v>0</v>
      </c>
      <c r="AP106" s="591">
        <f>IF(AP108=0,0,AP107/AP108*1000)</f>
        <v>0</v>
      </c>
      <c r="AQ106" s="591">
        <f>IF(AQ108=0,0,AQ107/AQ108*1000)</f>
        <v>0</v>
      </c>
      <c r="AR106" s="591">
        <f>IF(AR108=0,0,AR107/AR108*1000)</f>
        <v>0</v>
      </c>
      <c r="AS106" s="1666"/>
      <c r="AT106" s="63"/>
      <c r="AU106" s="63"/>
      <c r="AV106" s="63"/>
      <c r="AW106" s="63"/>
      <c r="AX106" s="63"/>
      <c r="AY106" s="63"/>
      <c r="AZ106" s="63"/>
      <c r="BA106" s="63"/>
      <c r="BB106" s="63"/>
      <c r="BC106" s="73"/>
      <c r="BD106" s="223"/>
      <c r="BE106" s="223"/>
      <c r="BF106" s="1192" t="s">
        <v>978</v>
      </c>
      <c r="BG106" s="1192" t="s">
        <v>983</v>
      </c>
      <c r="BH106" s="1192" cm="1" t="str">
        <f t="array" ref="BH106:BH106">BH105</f>
        <v>0</v>
      </c>
      <c r="BI106" s="1193"/>
      <c r="BJ106" s="1193"/>
    </row>
    <row s="223" customFormat="1" customHeight="1" ht="14.25" hidden="1">
      <c r="A107" s="1125" t="str">
        <f>"checkCosts_5."&amp;F107&amp;"."&amp;Y104</f>
        <v>checkCosts_5.1.0</v>
      </c>
      <c r="B107" s="223"/>
      <c r="C107" s="223"/>
      <c r="D107" s="223"/>
      <c r="E107" s="924">
        <v>15</v>
      </c>
      <c r="F107" s="922" cm="1" t="str">
        <f t="array" ref="F107:F107">OFFSET(G107,-1,-1)</f>
        <v>1</v>
      </c>
      <c r="G107" s="223"/>
      <c r="H107" s="223"/>
      <c r="I107" s="223"/>
      <c r="J107" s="223"/>
      <c r="K107" s="223"/>
      <c r="L107" s="223"/>
      <c r="M107" s="223"/>
      <c r="N107" s="223"/>
      <c r="O107" s="223"/>
      <c r="P107" s="223"/>
      <c r="Q107" s="223"/>
      <c r="R107" s="223"/>
      <c r="S107" s="223"/>
      <c r="T107" s="923" cm="1" t="str">
        <f t="array" ref="T107:T107">T104</f>
        <v>false</v>
      </c>
      <c r="U107" s="223"/>
      <c r="V107" s="223"/>
      <c r="W107" s="223"/>
      <c r="X107" s="223"/>
      <c r="Y107" s="223"/>
      <c r="Z107" s="223"/>
      <c r="AA107" s="1536"/>
      <c r="AB107" s="288" t="str">
        <f>AB104&amp;".2"</f>
        <v>2.4.0.2</v>
      </c>
      <c r="AC107" s="590" t="s">
        <v>984</v>
      </c>
      <c r="AD107" s="154" t="s">
        <v>810</v>
      </c>
      <c r="AE107" s="63"/>
      <c r="AF107" s="63"/>
      <c r="AG107" s="63"/>
      <c r="AH107" s="63"/>
      <c r="AI107" s="1666"/>
      <c r="AJ107" s="63"/>
      <c r="AK107" s="63"/>
      <c r="AL107" s="63"/>
      <c r="AM107" s="63"/>
      <c r="AN107" s="63"/>
      <c r="AO107" s="63"/>
      <c r="AP107" s="63"/>
      <c r="AQ107" s="63"/>
      <c r="AR107" s="63"/>
      <c r="AS107" s="1666"/>
      <c r="AT107" s="63"/>
      <c r="AU107" s="63"/>
      <c r="AV107" s="63"/>
      <c r="AW107" s="63"/>
      <c r="AX107" s="63"/>
      <c r="AY107" s="63"/>
      <c r="AZ107" s="63"/>
      <c r="BA107" s="63"/>
      <c r="BB107" s="63"/>
      <c r="BC107" s="73"/>
      <c r="BD107" s="223"/>
      <c r="BE107" s="223"/>
      <c r="BF107" s="1192" t="s">
        <v>985</v>
      </c>
      <c r="BG107" s="1192" t="s">
        <v>983</v>
      </c>
      <c r="BH107" s="1192" cm="1" t="str">
        <f t="array" ref="BH107:BH107">BH105</f>
        <v>0</v>
      </c>
      <c r="BI107" s="1193"/>
      <c r="BJ107" s="1193"/>
    </row>
    <row s="223" customFormat="1" customHeight="1" ht="14.25" hidden="1">
      <c r="A108" s="1125" t="str">
        <f>"checkVolume_5."&amp;F108&amp;"."&amp;Y104</f>
        <v>checkVolume_5.1.0</v>
      </c>
      <c r="B108" s="223"/>
      <c r="C108" s="223"/>
      <c r="D108" s="223"/>
      <c r="E108" s="924">
        <v>15</v>
      </c>
      <c r="F108" s="922" cm="1" t="str">
        <f t="array" ref="F108:F108">OFFSET(G108,-1,-1)</f>
        <v>1</v>
      </c>
      <c r="G108" s="223"/>
      <c r="H108" s="223"/>
      <c r="I108" s="223"/>
      <c r="J108" s="223"/>
      <c r="K108" s="223"/>
      <c r="L108" s="223"/>
      <c r="M108" s="223"/>
      <c r="N108" s="223"/>
      <c r="O108" s="223"/>
      <c r="P108" s="223"/>
      <c r="Q108" s="223"/>
      <c r="R108" s="223"/>
      <c r="S108" s="223"/>
      <c r="T108" s="923" cm="1" t="str">
        <f t="array" ref="T108:T108">T107</f>
        <v>false</v>
      </c>
      <c r="U108" s="223"/>
      <c r="V108" s="223"/>
      <c r="W108" s="223"/>
      <c r="X108" s="223"/>
      <c r="Y108" s="223"/>
      <c r="Z108" s="223"/>
      <c r="AA108" s="1536"/>
      <c r="AB108" s="406" t="str">
        <f>AB107&amp;".1"</f>
        <v>2.4.0.2.1</v>
      </c>
      <c r="AC108" s="605" t="s">
        <v>979</v>
      </c>
      <c r="AD108" s="154" t="s">
        <v>599</v>
      </c>
      <c r="AE108" s="63"/>
      <c r="AF108" s="63"/>
      <c r="AG108" s="63"/>
      <c r="AH108" s="63"/>
      <c r="AI108" s="1666"/>
      <c r="AJ108" s="63"/>
      <c r="AK108" s="63"/>
      <c r="AL108" s="63"/>
      <c r="AM108" s="63"/>
      <c r="AN108" s="63"/>
      <c r="AO108" s="63"/>
      <c r="AP108" s="63"/>
      <c r="AQ108" s="63"/>
      <c r="AR108" s="63"/>
      <c r="AS108" s="1666"/>
      <c r="AT108" s="63"/>
      <c r="AU108" s="63"/>
      <c r="AV108" s="63"/>
      <c r="AW108" s="63"/>
      <c r="AX108" s="63"/>
      <c r="AY108" s="63"/>
      <c r="AZ108" s="63"/>
      <c r="BA108" s="63"/>
      <c r="BB108" s="63"/>
      <c r="BC108" s="73"/>
      <c r="BD108" s="223"/>
      <c r="BE108" s="223"/>
      <c r="BF108" s="1192" t="s">
        <v>986</v>
      </c>
      <c r="BG108" s="1192" t="s">
        <v>983</v>
      </c>
      <c r="BH108" s="1192" cm="1" t="str">
        <f t="array" ref="BH108:BH108">BH107</f>
        <v>0</v>
      </c>
      <c r="BI108" s="1193"/>
      <c r="BJ108" s="1193"/>
    </row>
    <row s="223" customFormat="1" customHeight="1" ht="14.25" hidden="1">
      <c r="A109" s="1125" t="str">
        <f>"checkCosts_6."&amp;F109&amp;"."&amp;Y104</f>
        <v>checkCosts_6.1.0</v>
      </c>
      <c r="B109" s="223"/>
      <c r="C109" s="223"/>
      <c r="D109" s="223"/>
      <c r="E109" s="924">
        <v>15</v>
      </c>
      <c r="F109" s="922" cm="1" t="str">
        <f t="array" ref="F109:F109">OFFSET(G109,-1,-1)</f>
        <v>1</v>
      </c>
      <c r="G109" s="223"/>
      <c r="H109" s="223"/>
      <c r="I109" s="223"/>
      <c r="J109" s="223"/>
      <c r="K109" s="223"/>
      <c r="L109" s="223"/>
      <c r="M109" s="223"/>
      <c r="N109" s="223"/>
      <c r="O109" s="223"/>
      <c r="P109" s="223"/>
      <c r="Q109" s="223"/>
      <c r="R109" s="223"/>
      <c r="S109" s="223"/>
      <c r="T109" s="923" cm="1" t="str">
        <f t="array" ref="T109:T109">T108</f>
        <v>false</v>
      </c>
      <c r="U109" s="223"/>
      <c r="V109" s="223"/>
      <c r="W109" s="223"/>
      <c r="X109" s="223"/>
      <c r="Y109" s="223"/>
      <c r="Z109" s="223"/>
      <c r="AA109" s="1536"/>
      <c r="AB109" s="288" t="str">
        <f>AB104&amp;".3"</f>
        <v>2.4.0.3</v>
      </c>
      <c r="AC109" s="590" t="s">
        <v>987</v>
      </c>
      <c r="AD109" s="154" t="s">
        <v>957</v>
      </c>
      <c r="AE109" s="63"/>
      <c r="AF109" s="63"/>
      <c r="AG109" s="63"/>
      <c r="AH109" s="63"/>
      <c r="AI109" s="1666"/>
      <c r="AJ109" s="63"/>
      <c r="AK109" s="63"/>
      <c r="AL109" s="63"/>
      <c r="AM109" s="63"/>
      <c r="AN109" s="63"/>
      <c r="AO109" s="63"/>
      <c r="AP109" s="63"/>
      <c r="AQ109" s="63"/>
      <c r="AR109" s="63"/>
      <c r="AS109" s="1666"/>
      <c r="AT109" s="63"/>
      <c r="AU109" s="63"/>
      <c r="AV109" s="63"/>
      <c r="AW109" s="63"/>
      <c r="AX109" s="63"/>
      <c r="AY109" s="63"/>
      <c r="AZ109" s="63"/>
      <c r="BA109" s="63"/>
      <c r="BB109" s="63"/>
      <c r="BC109" s="73"/>
      <c r="BD109" s="223"/>
      <c r="BE109" s="223"/>
      <c r="BF109" s="1192" t="s">
        <v>988</v>
      </c>
      <c r="BG109" s="1192" t="s">
        <v>983</v>
      </c>
      <c r="BH109" s="1192" cm="1" t="str">
        <f t="array" ref="BH109:BH109">BH108</f>
        <v>0</v>
      </c>
      <c r="BI109" s="1193"/>
      <c r="BJ109" s="1193"/>
    </row>
    <row s="223" customFormat="1" customHeight="1" ht="14.25" hidden="1">
      <c r="A110" s="1125" t="str">
        <f>"checkVolume_6."&amp;F110&amp;"."&amp;Y104</f>
        <v>checkVolume_6.1.0</v>
      </c>
      <c r="B110" s="223"/>
      <c r="C110" s="223"/>
      <c r="D110" s="223"/>
      <c r="E110" s="924">
        <v>15</v>
      </c>
      <c r="F110" s="922" cm="1" t="str">
        <f t="array" ref="F110:F110">OFFSET(G110,-1,-1)</f>
        <v>1</v>
      </c>
      <c r="G110" s="223"/>
      <c r="H110" s="155" cm="1" t="str">
        <f t="array" ref="H110:H110">H104</f>
        <v>0</v>
      </c>
      <c r="I110" s="223"/>
      <c r="J110" s="223"/>
      <c r="K110" s="223"/>
      <c r="L110" s="223"/>
      <c r="M110" s="223"/>
      <c r="N110" s="223"/>
      <c r="O110" s="223"/>
      <c r="P110" s="223"/>
      <c r="Q110" s="223"/>
      <c r="R110" s="223"/>
      <c r="S110" s="223"/>
      <c r="T110" s="923" cm="1" t="str">
        <f t="array" ref="T110:T110">T109</f>
        <v>false</v>
      </c>
      <c r="U110" s="223"/>
      <c r="V110" s="223"/>
      <c r="W110" s="223"/>
      <c r="X110" s="223"/>
      <c r="Y110" s="223"/>
      <c r="Z110" s="223"/>
      <c r="AA110" s="1536"/>
      <c r="AB110" s="406" t="str">
        <f>AB109&amp;".1"</f>
        <v>2.4.0.3.1</v>
      </c>
      <c r="AC110" s="606" t="s">
        <v>989</v>
      </c>
      <c r="AD110" s="154" t="s">
        <v>695</v>
      </c>
      <c r="AE110" s="63"/>
      <c r="AF110" s="63"/>
      <c r="AG110" s="63"/>
      <c r="AH110" s="63"/>
      <c r="AI110" s="1666"/>
      <c r="AJ110" s="63"/>
      <c r="AK110" s="63"/>
      <c r="AL110" s="63"/>
      <c r="AM110" s="63"/>
      <c r="AN110" s="63"/>
      <c r="AO110" s="63"/>
      <c r="AP110" s="63"/>
      <c r="AQ110" s="63"/>
      <c r="AR110" s="63"/>
      <c r="AS110" s="1666"/>
      <c r="AT110" s="63"/>
      <c r="AU110" s="63"/>
      <c r="AV110" s="63"/>
      <c r="AW110" s="63"/>
      <c r="AX110" s="63"/>
      <c r="AY110" s="63"/>
      <c r="AZ110" s="63"/>
      <c r="BA110" s="63"/>
      <c r="BB110" s="63"/>
      <c r="BC110" s="73"/>
      <c r="BD110" s="223"/>
      <c r="BE110" s="223"/>
      <c r="BF110" s="1192" t="s">
        <v>990</v>
      </c>
      <c r="BG110" s="1192" t="s">
        <v>983</v>
      </c>
      <c r="BH110" s="1192" cm="1" t="str">
        <f t="array" ref="BH110:BH110">BH109</f>
        <v>0</v>
      </c>
      <c r="BI110" s="1193"/>
      <c r="BJ110" s="1193"/>
    </row>
    <row s="223" customFormat="1" customHeight="1" ht="10.5">
      <c r="A111" s="223"/>
      <c r="B111" s="223"/>
      <c r="C111" s="223"/>
      <c r="D111" s="223"/>
      <c r="E111" s="924">
        <v>11.4</v>
      </c>
      <c r="F111" s="922" cm="1" t="str">
        <f t="array" ref="F111:F111">OFFSET(G111,-1,-1)</f>
        <v>1</v>
      </c>
      <c r="G111" s="223"/>
      <c r="H111" s="223"/>
      <c r="I111" s="223"/>
      <c r="J111" s="223"/>
      <c r="K111" s="223"/>
      <c r="L111" s="223"/>
      <c r="M111" s="223"/>
      <c r="N111" s="223"/>
      <c r="O111" s="223"/>
      <c r="P111" s="223"/>
      <c r="Q111" s="223"/>
      <c r="R111" s="223"/>
      <c r="S111" s="223"/>
      <c r="T111" s="923">
        <f>F111&gt;0</f>
        <v>1</v>
      </c>
      <c r="U111" s="223"/>
      <c r="V111" s="223"/>
      <c r="W111" s="374" t="s">
        <v>991</v>
      </c>
      <c r="X111" s="223"/>
      <c r="Y111" s="223"/>
      <c r="Z111" s="223"/>
      <c r="AA111" s="223"/>
      <c r="AB111" s="589"/>
      <c r="AC111" s="576" t="s">
        <v>982</v>
      </c>
      <c r="AD111" s="576"/>
      <c r="AE111" s="303"/>
      <c r="AF111" s="303"/>
      <c r="AG111" s="303"/>
      <c r="AH111" s="303"/>
      <c r="AI111" s="303"/>
      <c r="AJ111" s="303"/>
      <c r="AK111" s="303"/>
      <c r="AL111" s="303"/>
      <c r="AM111" s="303"/>
      <c r="AN111" s="303"/>
      <c r="AO111" s="303"/>
      <c r="AP111" s="303"/>
      <c r="AQ111" s="303"/>
      <c r="AR111" s="303"/>
      <c r="AS111" s="303"/>
      <c r="AT111" s="303"/>
      <c r="AU111" s="303"/>
      <c r="AV111" s="303"/>
      <c r="AW111" s="303"/>
      <c r="AX111" s="303"/>
      <c r="AY111" s="303"/>
      <c r="AZ111" s="303"/>
      <c r="BA111" s="303"/>
      <c r="BB111" s="303"/>
      <c r="BC111" s="1101"/>
      <c r="BD111" s="223"/>
      <c r="BE111" s="223"/>
      <c r="BF111" s="1192"/>
      <c r="BG111" s="1192"/>
      <c r="BH111" s="1192"/>
      <c r="BI111" s="1193" t="s">
        <v>983</v>
      </c>
      <c r="BJ111" s="1193"/>
    </row>
    <row s="965" customFormat="1" customHeight="1" ht="11.115">
      <c r="A112" s="403"/>
      <c r="B112" s="788"/>
      <c r="C112" s="179"/>
      <c r="D112" s="179"/>
      <c r="E112" s="925">
        <v>11.4</v>
      </c>
      <c r="F112" s="922"/>
      <c r="Q112" s="739"/>
      <c r="R112" s="739"/>
      <c r="T112" s="179"/>
      <c r="U112" s="179" t="s">
        <v>236</v>
      </c>
      <c r="V112" s="171" t="s">
        <v>993</v>
      </c>
      <c r="W112" s="179"/>
      <c r="X112" s="179"/>
      <c r="Y112" s="179"/>
      <c r="Z112" s="179"/>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F112" s="1180"/>
      <c r="BG112" s="1180"/>
      <c r="BH112" s="1180"/>
      <c r="BI112" s="1189"/>
      <c r="BJ112" s="1189"/>
    </row>
    <row s="965" customFormat="1" customHeight="1" ht="11.25" hidden="1">
      <c r="A113" s="403"/>
      <c r="B113" s="788"/>
      <c r="C113" s="179"/>
      <c r="D113" s="179"/>
      <c r="E113" s="925">
        <v>0</v>
      </c>
      <c r="F113" s="179"/>
      <c r="Q113" s="739"/>
      <c r="R113" s="739"/>
      <c r="T113" s="179"/>
      <c r="U113" s="179"/>
      <c r="V113" s="171"/>
      <c r="W113" s="179"/>
      <c r="X113" s="179"/>
      <c r="Y113" s="179"/>
      <c r="Z113" s="179"/>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F113" s="1180"/>
      <c r="BG113" s="1180"/>
      <c r="BH113" s="1180"/>
      <c r="BI113" s="1189"/>
      <c r="BJ113" s="1189"/>
    </row>
    <row customHeight="1" ht="14.625">
      <c r="E114" s="797">
        <v>15</v>
      </c>
      <c r="AB114" s="1530" t="s">
        <v>705</v>
      </c>
      <c r="AC114" s="1530"/>
      <c r="AD114" s="1530"/>
      <c r="AE114" s="1530"/>
      <c r="AF114" s="1530"/>
      <c r="AG114" s="1530"/>
      <c r="AH114" s="1530"/>
      <c r="AI114" s="1531"/>
      <c r="AJ114" s="1531"/>
      <c r="AK114" s="1531"/>
      <c r="AL114" s="1531"/>
      <c r="AM114" s="1531"/>
      <c r="AN114" s="1531"/>
      <c r="AO114" s="1531"/>
      <c r="AP114" s="1531"/>
      <c r="AQ114" s="1531"/>
      <c r="AR114" s="1531"/>
      <c r="AS114" s="1531"/>
      <c r="AT114" s="1531"/>
      <c r="AU114" s="1531"/>
      <c r="AV114" s="1531"/>
      <c r="AW114" s="1531"/>
      <c r="AX114" s="1531"/>
      <c r="AY114" s="1531"/>
      <c r="AZ114" s="1531"/>
      <c r="BA114" s="1531"/>
      <c r="BB114" s="1531"/>
      <c r="BC114" s="1531"/>
    </row>
    <row customHeight="1" ht="14.625">
      <c r="E115" s="797">
        <v>15</v>
      </c>
      <c r="AA115" s="921"/>
      <c r="AB115" s="1532"/>
      <c r="AC115" s="1532"/>
      <c r="AD115" s="1532"/>
      <c r="AE115" s="1532"/>
      <c r="AF115" s="1532"/>
      <c r="AG115" s="1532"/>
      <c r="AH115" s="1532"/>
      <c r="AI115" s="1533"/>
      <c r="AJ115" s="1883"/>
      <c r="AK115" s="1883"/>
      <c r="AL115" s="1883"/>
      <c r="AM115" s="1883"/>
      <c r="AN115" s="1883"/>
      <c r="AO115" s="1883"/>
      <c r="AP115" s="1883"/>
      <c r="AQ115" s="1883"/>
      <c r="AR115" s="1883"/>
      <c r="AS115" s="1533"/>
      <c r="AT115" s="1883"/>
      <c r="AU115" s="1883"/>
      <c r="AV115" s="1883"/>
      <c r="AW115" s="1883"/>
      <c r="AX115" s="1883"/>
      <c r="AY115" s="1883"/>
      <c r="AZ115" s="1883"/>
      <c r="BA115" s="1883"/>
      <c r="BB115" s="1883"/>
      <c r="BC115" s="1533"/>
    </row>
    <row customHeight="1" ht="14.625" hidden="1">
      <c r="A116" s="1186"/>
      <c r="B116" s="927"/>
      <c r="C116" s="1582"/>
      <c r="D116" s="1582"/>
      <c r="E116" s="797">
        <v>15</v>
      </c>
      <c r="F116" s="1582"/>
      <c r="G116" s="500"/>
      <c r="H116" s="500"/>
      <c r="I116" s="500"/>
      <c r="J116" s="500"/>
      <c r="K116" s="500"/>
      <c r="L116" s="500"/>
      <c r="M116" s="500"/>
      <c r="N116" s="500"/>
      <c r="O116" s="500"/>
      <c r="P116" s="500"/>
      <c r="Q116" s="928"/>
      <c r="R116" s="928"/>
      <c r="S116" s="500"/>
      <c r="T116" s="808">
        <f>ROW(W116)&gt;ROW(W$116)</f>
        <v>0</v>
      </c>
      <c r="U116" s="1582"/>
      <c r="V116" s="1582"/>
      <c r="W116" s="175" t="s">
        <v>234</v>
      </c>
      <c r="X116" s="1582"/>
      <c r="Y116" s="1582"/>
      <c r="Z116" s="1582"/>
      <c r="AA116" s="917" t="s">
        <v>218</v>
      </c>
      <c r="AB116" s="1884"/>
      <c r="AC116" s="1884"/>
      <c r="AD116" s="1884"/>
      <c r="AE116" s="1884"/>
      <c r="AF116" s="1884"/>
      <c r="AG116" s="1884"/>
      <c r="AH116" s="1884"/>
      <c r="AI116" s="1533"/>
      <c r="AJ116" s="1883"/>
      <c r="AK116" s="1883"/>
      <c r="AL116" s="1883"/>
      <c r="AM116" s="1883"/>
      <c r="AN116" s="1883"/>
      <c r="AO116" s="1883"/>
      <c r="AP116" s="1883"/>
      <c r="AQ116" s="1883"/>
      <c r="AR116" s="1883"/>
      <c r="AS116" s="1533"/>
      <c r="AT116" s="1883"/>
      <c r="AU116" s="1883"/>
      <c r="AV116" s="1883"/>
      <c r="AW116" s="1883"/>
      <c r="AX116" s="1883"/>
      <c r="AY116" s="1883"/>
      <c r="AZ116" s="1883"/>
      <c r="BA116" s="1883"/>
      <c r="BB116" s="1883"/>
      <c r="BC116" s="1883"/>
      <c r="BD116" s="500"/>
      <c r="BE116" s="500"/>
      <c r="BF116" s="1219"/>
      <c r="BG116" s="1219"/>
      <c r="BH116" s="1219"/>
      <c r="BI116" s="1230"/>
      <c r="BJ116" s="1230"/>
    </row>
    <row customHeight="1" ht="14.625">
      <c r="E117" s="797">
        <v>15</v>
      </c>
      <c r="W117" s="171" t="s">
        <v>994</v>
      </c>
      <c r="AB117" s="986" t="s">
        <v>706</v>
      </c>
      <c r="AC117" s="987"/>
      <c r="AD117" s="383"/>
      <c r="AE117" s="383"/>
      <c r="AF117" s="384"/>
      <c r="AG117" s="384"/>
      <c r="AH117" s="384"/>
      <c r="AI117" s="384"/>
      <c r="AJ117" s="384"/>
      <c r="AK117" s="384"/>
      <c r="AL117" s="384"/>
      <c r="AM117" s="384"/>
      <c r="AN117" s="384"/>
      <c r="AO117" s="384"/>
      <c r="AP117" s="384"/>
      <c r="AQ117" s="384"/>
      <c r="AR117" s="384"/>
      <c r="AS117" s="384"/>
      <c r="AT117" s="384"/>
      <c r="AU117" s="384"/>
      <c r="AV117" s="384"/>
      <c r="AW117" s="384"/>
      <c r="AX117" s="384"/>
      <c r="AY117" s="384"/>
      <c r="AZ117" s="384"/>
      <c r="BA117" s="384"/>
      <c r="BB117" s="384"/>
      <c r="BC117" s="385"/>
    </row>
    <row customHeight="1" ht="11.25">
      <c r="AI118" s="500"/>
      <c r="AJ118" s="500"/>
      <c r="AK118" s="500"/>
      <c r="AL118" s="500"/>
      <c r="AM118" s="500"/>
      <c r="AN118" s="500"/>
      <c r="AO118" s="500"/>
      <c r="AP118" s="500"/>
      <c r="AQ118" s="500"/>
      <c r="AR118" s="500"/>
      <c r="AS118" s="500"/>
      <c r="AT118" s="500"/>
      <c r="AU118" s="500"/>
      <c r="AV118" s="500"/>
      <c r="AW118" s="500"/>
      <c r="AX118" s="500"/>
      <c r="AY118" s="500"/>
      <c r="AZ118" s="500"/>
      <c r="BA118" s="500"/>
      <c r="BB118" s="500"/>
      <c r="BD118" s="213"/>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82560B-9B38-C968-FB38-FE8AF988EFF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9" sqref="AS49"/>
    </sheetView>
  </sheetViews>
  <sheetFormatPr defaultColWidth="8.7109375" customHeight="1" defaultRowHeight="11.25"/>
  <cols>
    <col min="1" max="1" style="1428" width="3.57421875" hidden="1" customWidth="1"/>
    <col min="2" max="2" style="927" width="8.57421875" hidden="1" customWidth="1"/>
    <col min="3" max="4" style="1428" width="3.57421875" hidden="1" customWidth="1"/>
    <col min="5" max="5" style="925" width="8.421875" hidden="1" customWidth="1"/>
    <col min="6" max="6" style="1428" width="6.421875" hidden="1" customWidth="1"/>
    <col min="7" max="16" style="1535" width="3.57421875" hidden="1" customWidth="1"/>
    <col min="17" max="18" style="193" width="3.57421875" hidden="1" customWidth="1"/>
    <col min="19" max="19" style="1535" width="3.57421875" hidden="1" customWidth="1"/>
    <col min="20" max="20" style="1443" width="7.851562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223" width="3.00390625" customWidth="1"/>
    <col min="28" max="28" style="223" width="11.0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0" style="1192" width="8.7109375" hidden="1"/>
    <col min="61" max="62" style="1193" width="8.7109375" hidden="1"/>
  </cols>
  <sheetData>
    <row s="1428" customFormat="1" customHeight="1" ht="12" hidden="1">
      <c r="B1" s="788"/>
      <c r="E1" s="788"/>
      <c r="F1" s="819" t="s">
        <v>83</v>
      </c>
      <c r="G1" s="155"/>
      <c r="H1" s="155"/>
      <c r="I1" s="155"/>
      <c r="J1" s="155"/>
      <c r="K1" s="155"/>
      <c r="L1" s="155"/>
      <c r="M1" s="155"/>
      <c r="N1" s="155"/>
      <c r="O1" s="155"/>
      <c r="P1" s="155"/>
      <c r="Q1" s="193"/>
      <c r="R1" s="193"/>
      <c r="S1" s="155"/>
      <c r="T1" s="808" t="s">
        <v>86</v>
      </c>
      <c r="U1" s="808" t="s">
        <v>91</v>
      </c>
      <c r="V1" s="808" t="s">
        <v>87</v>
      </c>
      <c r="W1" s="808" t="s">
        <v>88</v>
      </c>
      <c r="X1" s="808" t="s">
        <v>89</v>
      </c>
      <c r="Y1" s="819" t="s">
        <v>372</v>
      </c>
      <c r="Z1" s="808" t="s">
        <v>93</v>
      </c>
      <c r="AA1" s="819" t="s">
        <v>90</v>
      </c>
      <c r="AB1" s="819" t="s">
        <v>92</v>
      </c>
      <c r="AC1" s="819"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184" t="s">
        <v>373</v>
      </c>
      <c r="BG1" s="1192" t="s">
        <v>374</v>
      </c>
      <c r="BH1" s="1192" t="s">
        <v>375</v>
      </c>
      <c r="BI1" s="1193" t="s">
        <v>378</v>
      </c>
      <c r="BJ1" s="1193" t="s">
        <v>379</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c r="BG2" s="1176"/>
      <c r="BH2" s="1176"/>
      <c r="BI2" s="1188"/>
      <c r="BJ2" s="1188"/>
    </row>
    <row s="1428" customFormat="1" customHeight="1" ht="12" hidden="1">
      <c r="B3" s="788"/>
      <c r="E3" s="788"/>
      <c r="G3" s="155"/>
      <c r="H3" s="155"/>
      <c r="I3" s="155"/>
      <c r="J3" s="155"/>
      <c r="K3" s="155"/>
      <c r="L3" s="155"/>
      <c r="M3" s="155"/>
      <c r="N3" s="155"/>
      <c r="O3" s="155"/>
      <c r="P3" s="155"/>
      <c r="Q3" s="193"/>
      <c r="R3" s="193"/>
      <c r="S3" s="155"/>
      <c r="T3" s="179"/>
      <c r="U3" s="179"/>
      <c r="V3" s="179"/>
      <c r="W3" s="179"/>
      <c r="X3" s="179"/>
      <c r="Y3" s="179"/>
      <c r="Z3" s="179"/>
      <c r="AI3" s="1428"/>
      <c r="AJ3" s="1428"/>
      <c r="AK3" s="1428"/>
      <c r="AL3" s="1428"/>
      <c r="AM3" s="1428"/>
      <c r="AN3" s="1428"/>
      <c r="AO3" s="1428"/>
      <c r="AP3" s="1428"/>
      <c r="AQ3" s="1428"/>
      <c r="AR3" s="1428"/>
      <c r="AS3" s="1428"/>
      <c r="AT3" s="1428"/>
      <c r="AU3" s="1428"/>
      <c r="AV3" s="1428"/>
      <c r="AW3" s="1428"/>
      <c r="AX3" s="1428"/>
      <c r="AY3" s="1428"/>
      <c r="AZ3" s="1428"/>
      <c r="BA3" s="1428"/>
      <c r="BB3" s="1428"/>
      <c r="BF3" s="1192"/>
      <c r="BG3" s="1192"/>
      <c r="BH3" s="1192"/>
      <c r="BI3" s="1193"/>
      <c r="BJ3" s="1193"/>
    </row>
    <row s="1428" customFormat="1" customHeight="1" ht="12" hidden="1">
      <c r="B4" s="788"/>
      <c r="E4" s="788"/>
      <c r="G4" s="155"/>
      <c r="H4" s="155"/>
      <c r="I4" s="155"/>
      <c r="J4" s="155"/>
      <c r="K4" s="155"/>
      <c r="L4" s="155"/>
      <c r="M4" s="155"/>
      <c r="N4" s="155"/>
      <c r="O4" s="155"/>
      <c r="P4" s="155"/>
      <c r="Q4" s="193"/>
      <c r="R4" s="193"/>
      <c r="S4" s="155"/>
      <c r="T4" s="179"/>
      <c r="U4" s="179"/>
      <c r="V4" s="179"/>
      <c r="W4" s="179"/>
      <c r="X4" s="179"/>
      <c r="Y4" s="179"/>
      <c r="Z4" s="179"/>
      <c r="AI4" s="1428"/>
      <c r="AJ4" s="1428"/>
      <c r="AK4" s="1428"/>
      <c r="AL4" s="1428"/>
      <c r="AM4" s="1428"/>
      <c r="AN4" s="1428"/>
      <c r="AO4" s="1428"/>
      <c r="AP4" s="1428"/>
      <c r="AQ4" s="1428"/>
      <c r="AR4" s="1428"/>
      <c r="AS4" s="1428"/>
      <c r="AT4" s="1428"/>
      <c r="AU4" s="1428"/>
      <c r="AV4" s="1428"/>
      <c r="AW4" s="1428"/>
      <c r="AX4" s="1428"/>
      <c r="AY4" s="1428"/>
      <c r="AZ4" s="1428"/>
      <c r="BA4" s="1428"/>
      <c r="BB4" s="1428"/>
      <c r="BF4" s="1192"/>
      <c r="BG4" s="1192"/>
      <c r="BH4" s="1192"/>
      <c r="BI4" s="1193"/>
      <c r="BJ4" s="119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11</v>
      </c>
      <c r="AC5" s="797">
        <v>47.13</v>
      </c>
      <c r="AD5" s="797">
        <v>12.13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176"/>
      <c r="BG5" s="1176"/>
      <c r="BH5" s="1176"/>
      <c r="BI5" s="1188"/>
      <c r="BJ5" s="1188"/>
    </row>
    <row s="1428" customFormat="1" customHeight="1" ht="12" hidden="1">
      <c r="B6" s="788"/>
      <c r="E6" s="797"/>
      <c r="G6" s="155"/>
      <c r="H6" s="155"/>
      <c r="I6" s="155"/>
      <c r="J6" s="155"/>
      <c r="K6" s="155"/>
      <c r="L6" s="155"/>
      <c r="M6" s="155"/>
      <c r="N6" s="155"/>
      <c r="O6" s="155"/>
      <c r="P6" s="155"/>
      <c r="Q6" s="193"/>
      <c r="R6" s="193"/>
      <c r="S6" s="155"/>
      <c r="T6" s="179"/>
      <c r="U6" s="179"/>
      <c r="V6" s="179"/>
      <c r="W6" s="179"/>
      <c r="X6" s="179"/>
      <c r="Y6" s="179"/>
      <c r="Z6" s="179"/>
      <c r="AE6" s="183">
        <f>god-2</f>
        <v>2024</v>
      </c>
      <c r="AF6" s="183">
        <f>god-2</f>
        <v>2024</v>
      </c>
      <c r="AG6" s="183">
        <f>god-2</f>
        <v>2024</v>
      </c>
      <c r="AH6" s="18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92"/>
      <c r="BG6" s="1192"/>
      <c r="BH6" s="1192"/>
      <c r="BI6" s="1193"/>
      <c r="BJ6" s="1193"/>
    </row>
    <row s="1535" customFormat="1" customHeight="1" ht="12" hidden="1">
      <c r="A7" s="183"/>
      <c r="B7" s="788"/>
      <c r="C7" s="183"/>
      <c r="D7" s="183"/>
      <c r="E7" s="797"/>
      <c r="Q7" s="193"/>
      <c r="R7" s="193"/>
      <c r="T7" s="214"/>
      <c r="U7" s="214"/>
      <c r="V7" s="214"/>
      <c r="W7" s="214"/>
      <c r="X7" s="214"/>
      <c r="Y7" s="214"/>
      <c r="Z7" s="214"/>
      <c r="AE7" s="155" cm="1" t="str">
        <f t="array" ref="AE7:AE7">AE25</f>
        <v>Принято органом регулирования</v>
      </c>
      <c r="AF7" s="155" cm="1" t="str">
        <f t="array" ref="AF7:AF7">AF25</f>
        <v>Факт по данным организации</v>
      </c>
      <c r="AG7" s="155" cm="1" t="str">
        <f t="array" ref="AG7:AG7">AG25</f>
        <v>Факт, принятый органом регулирования</v>
      </c>
      <c r="AH7" s="155" cm="1" t="str">
        <f t="array" ref="AH7:AH7">AH25</f>
        <v>Принято органом регулирования</v>
      </c>
      <c r="AI7" s="155" cm="1" t="str">
        <f t="array" ref="AI7:AI7">AI25</f>
        <v>Предложение организации</v>
      </c>
      <c r="AJ7" s="155" cm="1" t="str">
        <f t="array" ref="AJ7:AJ7">AJ25</f>
        <v>Предложение организации</v>
      </c>
      <c r="AK7" s="155" cm="1" t="str">
        <f t="array" ref="AK7:AK7">AK25</f>
        <v>Предложение организации</v>
      </c>
      <c r="AL7" s="155" cm="1" t="str">
        <f t="array" ref="AL7:AL7">AL25</f>
        <v>Предложение организации</v>
      </c>
      <c r="AM7" s="155" cm="1" t="str">
        <f t="array" ref="AM7:AM7">AM25</f>
        <v>Предложение организации</v>
      </c>
      <c r="AN7" s="155" cm="1" t="str">
        <f t="array" ref="AN7:AN7">AN25</f>
        <v>Предложение организации</v>
      </c>
      <c r="AO7" s="155" cm="1" t="str">
        <f t="array" ref="AO7:AO7">AO25</f>
        <v>Предложение организации</v>
      </c>
      <c r="AP7" s="155" cm="1" t="str">
        <f t="array" ref="AP7:AP7">AP25</f>
        <v>Предложение организации</v>
      </c>
      <c r="AQ7" s="155" cm="1" t="str">
        <f t="array" ref="AQ7:AQ7">AQ25</f>
        <v>Предложение организации</v>
      </c>
      <c r="AR7" s="155" cm="1" t="str">
        <f t="array" ref="AR7:AR7">AR25</f>
        <v>Предложение организации</v>
      </c>
      <c r="AS7" s="155" cm="1" t="str">
        <f t="array" ref="AS7:AS7">AS25</f>
        <v>Принято органом регулирования</v>
      </c>
      <c r="AT7" s="155" cm="1" t="str">
        <f t="array" ref="AT7:AT7">AT25</f>
        <v>Принято органом регулирования</v>
      </c>
      <c r="AU7" s="155" cm="1" t="str">
        <f t="array" ref="AU7:AU7">AU25</f>
        <v>Принято органом регулирования</v>
      </c>
      <c r="AV7" s="155" cm="1" t="str">
        <f t="array" ref="AV7:AV7">AV25</f>
        <v>Принято органом регулирования</v>
      </c>
      <c r="AW7" s="155" cm="1" t="str">
        <f t="array" ref="AW7:AW7">AW25</f>
        <v>Принято органом регулирования</v>
      </c>
      <c r="AX7" s="155" cm="1" t="str">
        <f t="array" ref="AX7:AX7">AX25</f>
        <v>Принято органом регулирования</v>
      </c>
      <c r="AY7" s="155" cm="1" t="str">
        <f t="array" ref="AY7:AY7">AY25</f>
        <v>Принято органом регулирования</v>
      </c>
      <c r="AZ7" s="155" cm="1" t="str">
        <f t="array" ref="AZ7:AZ7">AZ25</f>
        <v>Принято органом регулирования</v>
      </c>
      <c r="BA7" s="155" cm="1" t="str">
        <f t="array" ref="BA7:BA7">BA25</f>
        <v>Принято органом регулирования</v>
      </c>
      <c r="BB7" s="155" cm="1" t="str">
        <f t="array" ref="BB7:BB7">BB25</f>
        <v>Принято органом регулирования</v>
      </c>
      <c r="BF7" s="1192"/>
      <c r="BG7" s="1192"/>
      <c r="BH7" s="1192"/>
      <c r="BI7" s="1193"/>
      <c r="BJ7" s="1193"/>
    </row>
    <row s="1535" customFormat="1" customHeight="1" ht="12" hidden="1">
      <c r="A8" s="183"/>
      <c r="B8" s="788"/>
      <c r="C8" s="183"/>
      <c r="D8" s="183"/>
      <c r="E8" s="797"/>
      <c r="Q8" s="193"/>
      <c r="R8" s="193"/>
      <c r="T8" s="214"/>
      <c r="U8" s="214"/>
      <c r="V8" s="214"/>
      <c r="W8" s="214"/>
      <c r="X8" s="214"/>
      <c r="Y8" s="214"/>
      <c r="Z8" s="214"/>
      <c r="AI8" s="1535"/>
      <c r="AJ8" s="1535"/>
      <c r="AK8" s="1535"/>
      <c r="AL8" s="1535"/>
      <c r="AM8" s="1535"/>
      <c r="AN8" s="1535"/>
      <c r="AO8" s="1535"/>
      <c r="AP8" s="1535"/>
      <c r="AQ8" s="1535"/>
      <c r="AR8" s="1535"/>
      <c r="AS8" s="1535"/>
      <c r="AT8" s="1535"/>
      <c r="AU8" s="1535"/>
      <c r="AV8" s="1535"/>
      <c r="AW8" s="1535"/>
      <c r="AX8" s="1535"/>
      <c r="AY8" s="1535"/>
      <c r="AZ8" s="1535"/>
      <c r="BA8" s="1535"/>
      <c r="BB8" s="1535"/>
      <c r="BF8" s="1192"/>
      <c r="BG8" s="1192"/>
      <c r="BH8" s="1192"/>
      <c r="BI8" s="1193"/>
      <c r="BJ8" s="1193"/>
    </row>
    <row s="1211" customFormat="1" customHeight="1" ht="12" hidden="1">
      <c r="A9" s="1183" t="s">
        <v>437</v>
      </c>
      <c r="B9" s="1154"/>
      <c r="E9" s="1154"/>
      <c r="Q9" s="1212"/>
      <c r="R9" s="1212"/>
      <c r="T9" s="1152"/>
      <c r="U9" s="1152"/>
      <c r="V9" s="1152"/>
      <c r="W9" s="1152"/>
      <c r="X9" s="1152"/>
      <c r="Y9" s="1152"/>
      <c r="Z9" s="1152"/>
      <c r="AE9" s="1211">
        <f>god-2</f>
        <v>2024</v>
      </c>
      <c r="AF9" s="1211">
        <f>god-2</f>
        <v>2024</v>
      </c>
      <c r="AG9" s="1211">
        <f>god-2</f>
        <v>2024</v>
      </c>
      <c r="AH9" s="1211">
        <f>god-1</f>
        <v>2025</v>
      </c>
      <c r="AI9" s="1211" cm="1" t="str">
        <f t="array" ref="AI9:AI9">god</f>
        <v>2026</v>
      </c>
      <c r="AJ9" s="1211">
        <f>god+1</f>
        <v>2027</v>
      </c>
      <c r="AK9" s="1211">
        <f>god+2</f>
        <v>2028</v>
      </c>
      <c r="AL9" s="1211">
        <f>god+3</f>
        <v>2029</v>
      </c>
      <c r="AM9" s="1211">
        <f>god+4</f>
        <v>2030</v>
      </c>
      <c r="AN9" s="1211">
        <f>god+5</f>
        <v>2031</v>
      </c>
      <c r="AO9" s="1211">
        <f>god+6</f>
        <v>2032</v>
      </c>
      <c r="AP9" s="1211">
        <f>god+7</f>
        <v>2033</v>
      </c>
      <c r="AQ9" s="1211">
        <f>god+8</f>
        <v>2034</v>
      </c>
      <c r="AR9" s="1211">
        <f>god+9</f>
        <v>2035</v>
      </c>
      <c r="AS9" s="1211" cm="1" t="str">
        <f t="array" ref="AS9:AS9">god</f>
        <v>2026</v>
      </c>
      <c r="AT9" s="1211">
        <f>god+1</f>
        <v>2027</v>
      </c>
      <c r="AU9" s="1211">
        <f>god+2</f>
        <v>2028</v>
      </c>
      <c r="AV9" s="1211">
        <f>god+3</f>
        <v>2029</v>
      </c>
      <c r="AW9" s="1211">
        <f>god+4</f>
        <v>2030</v>
      </c>
      <c r="AX9" s="1211">
        <f>god+5</f>
        <v>2031</v>
      </c>
      <c r="AY9" s="1211">
        <f>god+6</f>
        <v>2032</v>
      </c>
      <c r="AZ9" s="1211">
        <f>god+7</f>
        <v>2033</v>
      </c>
      <c r="BA9" s="1211">
        <f>god+8</f>
        <v>2034</v>
      </c>
      <c r="BB9" s="1211">
        <f>god+9</f>
        <v>2035</v>
      </c>
      <c r="BF9" s="1192"/>
      <c r="BG9" s="1192"/>
      <c r="BH9" s="1192"/>
      <c r="BI9" s="1193"/>
      <c r="BJ9" s="1193"/>
    </row>
    <row s="1211" customFormat="1" customHeight="1" ht="12" hidden="1">
      <c r="A10" s="1183" t="s">
        <v>438</v>
      </c>
      <c r="B10" s="1154"/>
      <c r="E10" s="1154"/>
      <c r="Q10" s="1212"/>
      <c r="R10" s="1212"/>
      <c r="T10" s="1152"/>
      <c r="U10" s="1152"/>
      <c r="V10" s="1152"/>
      <c r="W10" s="1152"/>
      <c r="X10" s="1152"/>
      <c r="Y10" s="1152"/>
      <c r="Z10" s="1152"/>
      <c r="AE10" s="1211" cm="1" t="str">
        <f t="array" ref="AE10:AE10">AE25</f>
        <v>Принято органом регулирования</v>
      </c>
      <c r="AF10" s="1211" cm="1" t="str">
        <f t="array" ref="AF10:AF10">AF25</f>
        <v>Факт по данным организации</v>
      </c>
      <c r="AG10" s="1211" cm="1" t="str">
        <f t="array" ref="AG10:AG10">AG25</f>
        <v>Факт, принятый органом регулирования</v>
      </c>
      <c r="AH10" s="1211" cm="1" t="str">
        <f t="array" ref="AH10:AH10">AH25</f>
        <v>Принято органом регулирования</v>
      </c>
      <c r="AI10" s="1211" cm="1" t="str">
        <f t="array" ref="AI10:AI10">AI25</f>
        <v>Предложение организации</v>
      </c>
      <c r="AJ10" s="1211" cm="1" t="str">
        <f t="array" ref="AJ10:AJ10">AJ25</f>
        <v>Предложение организации</v>
      </c>
      <c r="AK10" s="1211" cm="1" t="str">
        <f t="array" ref="AK10:AK10">AK25</f>
        <v>Предложение организации</v>
      </c>
      <c r="AL10" s="1211" cm="1" t="str">
        <f t="array" ref="AL10:AL10">AL25</f>
        <v>Предложение организации</v>
      </c>
      <c r="AM10" s="1211" cm="1" t="str">
        <f t="array" ref="AM10:AM10">AM25</f>
        <v>Предложение организации</v>
      </c>
      <c r="AN10" s="1211" cm="1" t="str">
        <f t="array" ref="AN10:AN10">AN25</f>
        <v>Предложение организации</v>
      </c>
      <c r="AO10" s="1211" cm="1" t="str">
        <f t="array" ref="AO10:AO10">AO25</f>
        <v>Предложение организации</v>
      </c>
      <c r="AP10" s="1211" cm="1" t="str">
        <f t="array" ref="AP10:AP10">AP25</f>
        <v>Предложение организации</v>
      </c>
      <c r="AQ10" s="1211" cm="1" t="str">
        <f t="array" ref="AQ10:AQ10">AQ25</f>
        <v>Предложение организации</v>
      </c>
      <c r="AR10" s="1211" cm="1" t="str">
        <f t="array" ref="AR10:AR10">AR25</f>
        <v>Предложение организации</v>
      </c>
      <c r="AS10" s="1211" cm="1" t="str">
        <f t="array" ref="AS10:AS10">AS25</f>
        <v>Принято органом регулирования</v>
      </c>
      <c r="AT10" s="1211" cm="1" t="str">
        <f t="array" ref="AT10:AT10">AT25</f>
        <v>Принято органом регулирования</v>
      </c>
      <c r="AU10" s="1211" cm="1" t="str">
        <f t="array" ref="AU10:AU10">AU25</f>
        <v>Принято органом регулирования</v>
      </c>
      <c r="AV10" s="1211" cm="1" t="str">
        <f t="array" ref="AV10:AV10">AV25</f>
        <v>Принято органом регулирования</v>
      </c>
      <c r="AW10" s="1211" cm="1" t="str">
        <f t="array" ref="AW10:AW10">AW25</f>
        <v>Принято органом регулирования</v>
      </c>
      <c r="AX10" s="1211" cm="1" t="str">
        <f t="array" ref="AX10:AX10">AX25</f>
        <v>Принято органом регулирования</v>
      </c>
      <c r="AY10" s="1211" cm="1" t="str">
        <f t="array" ref="AY10:AY10">AY25</f>
        <v>Принято органом регулирования</v>
      </c>
      <c r="AZ10" s="1211" cm="1" t="str">
        <f t="array" ref="AZ10:AZ10">AZ25</f>
        <v>Принято органом регулирования</v>
      </c>
      <c r="BA10" s="1211" cm="1" t="str">
        <f t="array" ref="BA10:BA10">BA25</f>
        <v>Принято органом регулирования</v>
      </c>
      <c r="BB10" s="1211" cm="1" t="str">
        <f t="array" ref="BB10:BB10">BB25</f>
        <v>Принято органом регулирования</v>
      </c>
      <c r="BF10" s="1192"/>
      <c r="BG10" s="1192"/>
      <c r="BH10" s="1192"/>
      <c r="BI10" s="1193"/>
      <c r="BJ10" s="1193"/>
    </row>
    <row s="1211" customFormat="1" customHeight="1" ht="12" hidden="1">
      <c r="A11" s="1171" t="s">
        <v>439</v>
      </c>
      <c r="B11" s="1154"/>
      <c r="E11" s="1154"/>
      <c r="G11" s="1213"/>
      <c r="H11" s="1213"/>
      <c r="I11" s="1213"/>
      <c r="J11" s="1213"/>
      <c r="K11" s="1213"/>
      <c r="L11" s="1213"/>
      <c r="M11" s="1213"/>
      <c r="N11" s="1213"/>
      <c r="O11" s="1213"/>
      <c r="P11" s="1213"/>
      <c r="Q11" s="1214"/>
      <c r="R11" s="1214"/>
      <c r="S11" s="1213"/>
      <c r="T11" s="1152"/>
      <c r="U11" s="1152"/>
      <c r="V11" s="1152"/>
      <c r="W11" s="1152"/>
      <c r="X11" s="1152"/>
      <c r="Y11" s="1152"/>
      <c r="Z11" s="1152"/>
      <c r="AI11" s="1211"/>
      <c r="AJ11" s="1211"/>
      <c r="AK11" s="1211"/>
      <c r="AL11" s="1211"/>
      <c r="AM11" s="1211"/>
      <c r="AN11" s="1211"/>
      <c r="AO11" s="1211"/>
      <c r="AP11" s="1211"/>
      <c r="AQ11" s="1211"/>
      <c r="AR11" s="1211"/>
      <c r="AS11" s="1211"/>
      <c r="AT11" s="1211"/>
      <c r="AU11" s="1211"/>
      <c r="AV11" s="1211"/>
      <c r="AW11" s="1211"/>
      <c r="AX11" s="1211"/>
      <c r="AY11" s="1211"/>
      <c r="AZ11" s="1211"/>
      <c r="BA11" s="1211"/>
      <c r="BB11" s="1211"/>
      <c r="BC11" s="1211" cm="1" t="str">
        <f t="array" ref="BC11:BC11">BC24</f>
        <v>Ссылка на правовую норму (основание для принятия показателя в расчет тарифа)</v>
      </c>
      <c r="BF11" s="1192"/>
      <c r="BG11" s="1192"/>
      <c r="BH11" s="1192"/>
      <c r="BI11" s="1192"/>
      <c r="BJ11" s="1192"/>
    </row>
    <row s="1211" customFormat="1" customHeight="1" ht="12" hidden="1">
      <c r="A12" s="1171" t="s">
        <v>384</v>
      </c>
      <c r="B12" s="1154"/>
      <c r="E12" s="1154"/>
      <c r="G12" s="1213"/>
      <c r="H12" s="1213"/>
      <c r="I12" s="1213"/>
      <c r="J12" s="1213"/>
      <c r="K12" s="1213"/>
      <c r="L12" s="1213"/>
      <c r="M12" s="1213"/>
      <c r="N12" s="1213"/>
      <c r="O12" s="1213"/>
      <c r="P12" s="1213"/>
      <c r="Q12" s="1214"/>
      <c r="R12" s="1214"/>
      <c r="S12" s="1213"/>
      <c r="T12" s="1152"/>
      <c r="U12" s="1152"/>
      <c r="V12" s="1152"/>
      <c r="W12" s="1152"/>
      <c r="X12" s="1152"/>
      <c r="Y12" s="1152"/>
      <c r="Z12" s="1152"/>
      <c r="AC12" s="1211" t="s">
        <v>375</v>
      </c>
      <c r="AI12" s="1211"/>
      <c r="AJ12" s="1211"/>
      <c r="AK12" s="1211"/>
      <c r="AL12" s="1211"/>
      <c r="AM12" s="1211"/>
      <c r="AN12" s="1211"/>
      <c r="AO12" s="1211"/>
      <c r="AP12" s="1211"/>
      <c r="AQ12" s="1211"/>
      <c r="AR12" s="1211"/>
      <c r="AS12" s="1211"/>
      <c r="AT12" s="1211"/>
      <c r="AU12" s="1211"/>
      <c r="AV12" s="1211"/>
      <c r="AW12" s="1211"/>
      <c r="AX12" s="1211"/>
      <c r="AY12" s="1211"/>
      <c r="AZ12" s="1211"/>
      <c r="BA12" s="1211"/>
      <c r="BB12" s="1211"/>
      <c r="BF12" s="1192"/>
      <c r="BG12" s="1192"/>
      <c r="BH12" s="1192"/>
      <c r="BI12" s="1192"/>
      <c r="BJ12" s="1192"/>
    </row>
    <row s="1428" customFormat="1" customHeight="1" ht="12" hidden="1">
      <c r="B13" s="788"/>
      <c r="E13" s="797"/>
      <c r="G13" s="155"/>
      <c r="H13" s="155"/>
      <c r="I13" s="155"/>
      <c r="J13" s="155"/>
      <c r="K13" s="155"/>
      <c r="L13" s="155"/>
      <c r="M13" s="155"/>
      <c r="N13" s="155"/>
      <c r="O13" s="155"/>
      <c r="P13" s="155"/>
      <c r="Q13" s="193"/>
      <c r="R13" s="193"/>
      <c r="S13" s="155"/>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92"/>
      <c r="BG13" s="1192"/>
      <c r="BH13" s="1192"/>
      <c r="BI13" s="1193"/>
      <c r="BJ13" s="1193"/>
    </row>
    <row s="1428" customFormat="1" customHeight="1" ht="12" hidden="1">
      <c r="B14" s="788"/>
      <c r="E14" s="797"/>
      <c r="G14" s="155"/>
      <c r="H14" s="155"/>
      <c r="I14" s="155"/>
      <c r="J14" s="155"/>
      <c r="K14" s="155"/>
      <c r="L14" s="155"/>
      <c r="M14" s="155"/>
      <c r="N14" s="155"/>
      <c r="O14" s="155"/>
      <c r="P14" s="155"/>
      <c r="Q14" s="193"/>
      <c r="R14" s="193"/>
      <c r="S14" s="155"/>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92"/>
      <c r="BG14" s="1192"/>
      <c r="BH14" s="1192"/>
      <c r="BI14" s="1193"/>
      <c r="BJ14" s="1193"/>
    </row>
    <row s="1428" customFormat="1" customHeight="1" ht="12" hidden="1">
      <c r="B15" s="788"/>
      <c r="E15" s="797"/>
      <c r="G15" s="155"/>
      <c r="H15" s="155"/>
      <c r="I15" s="155"/>
      <c r="J15" s="155"/>
      <c r="K15" s="155"/>
      <c r="L15" s="155"/>
      <c r="M15" s="155"/>
      <c r="N15" s="155"/>
      <c r="O15" s="155"/>
      <c r="P15" s="155"/>
      <c r="Q15" s="193"/>
      <c r="R15" s="193"/>
      <c r="S15" s="155"/>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92"/>
      <c r="BG15" s="1192"/>
      <c r="BH15" s="1192"/>
      <c r="BI15" s="1193"/>
      <c r="BJ15" s="1193"/>
    </row>
    <row s="1428" customFormat="1" customHeight="1" ht="12" hidden="1">
      <c r="B16" s="788"/>
      <c r="E16" s="797"/>
      <c r="G16" s="155"/>
      <c r="H16" s="155"/>
      <c r="I16" s="155"/>
      <c r="J16" s="155"/>
      <c r="K16" s="155"/>
      <c r="L16" s="155"/>
      <c r="M16" s="155"/>
      <c r="N16" s="155"/>
      <c r="O16" s="155"/>
      <c r="P16" s="155"/>
      <c r="Q16" s="193"/>
      <c r="R16" s="193"/>
      <c r="S16" s="155"/>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92"/>
      <c r="BG16" s="1192"/>
      <c r="BH16" s="1192"/>
      <c r="BI16" s="1193"/>
      <c r="BJ16" s="1193"/>
    </row>
    <row s="1428" customFormat="1" customHeight="1" ht="12" hidden="1">
      <c r="B17" s="788"/>
      <c r="E17" s="797"/>
      <c r="G17" s="155"/>
      <c r="H17" s="155"/>
      <c r="I17" s="155"/>
      <c r="J17" s="155"/>
      <c r="K17" s="155"/>
      <c r="L17" s="155"/>
      <c r="M17" s="155"/>
      <c r="N17" s="155"/>
      <c r="O17" s="155"/>
      <c r="P17" s="155"/>
      <c r="Q17" s="193"/>
      <c r="R17" s="193"/>
      <c r="S17" s="155"/>
      <c r="T17" s="179"/>
      <c r="U17" s="179"/>
      <c r="V17" s="179"/>
      <c r="W17" s="179"/>
      <c r="X17" s="179"/>
      <c r="Y17" s="179"/>
      <c r="Z17" s="179"/>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192"/>
      <c r="BG17" s="1192"/>
      <c r="BH17" s="1192"/>
      <c r="BI17" s="1193"/>
      <c r="BJ17" s="1193"/>
    </row>
    <row s="1428" customFormat="1" customHeight="1" ht="12" hidden="1">
      <c r="A18" s="1020" t="s">
        <v>495</v>
      </c>
      <c r="B18" s="788"/>
      <c r="E18" s="797"/>
      <c r="G18" s="155"/>
      <c r="H18" s="155"/>
      <c r="I18" s="155"/>
      <c r="J18" s="155"/>
      <c r="K18" s="155"/>
      <c r="L18" s="155"/>
      <c r="M18" s="155"/>
      <c r="N18" s="155"/>
      <c r="O18" s="155"/>
      <c r="P18" s="155"/>
      <c r="Q18" s="193"/>
      <c r="R18" s="193"/>
      <c r="S18" s="155"/>
      <c r="T18" s="179"/>
      <c r="U18" s="179"/>
      <c r="V18" s="179"/>
      <c r="W18" s="179"/>
      <c r="X18" s="179"/>
      <c r="Y18" s="179"/>
      <c r="Z18" s="179"/>
      <c r="AC18" s="183" t="s">
        <v>225</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92"/>
      <c r="BG18" s="1192"/>
      <c r="BH18" s="1192"/>
      <c r="BI18" s="1193"/>
      <c r="BJ18" s="1193"/>
    </row>
    <row s="1428" customFormat="1" customHeight="1" ht="12" hidden="1">
      <c r="B19" s="788"/>
      <c r="E19" s="797"/>
      <c r="G19" s="155"/>
      <c r="H19" s="155"/>
      <c r="I19" s="155"/>
      <c r="J19" s="155"/>
      <c r="K19" s="155"/>
      <c r="L19" s="155"/>
      <c r="M19" s="155"/>
      <c r="N19" s="155"/>
      <c r="O19" s="155"/>
      <c r="P19" s="155"/>
      <c r="Q19" s="193"/>
      <c r="R19" s="193"/>
      <c r="S19" s="155"/>
      <c r="T19" s="179"/>
      <c r="U19" s="179"/>
      <c r="V19" s="179"/>
      <c r="W19" s="179"/>
      <c r="X19" s="179"/>
      <c r="Y19" s="179"/>
      <c r="Z19" s="17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92"/>
      <c r="BG19" s="1192"/>
      <c r="BH19" s="1192"/>
      <c r="BI19" s="1193"/>
      <c r="BJ19" s="1193"/>
    </row>
    <row s="1428" customFormat="1" customHeight="1" ht="12" hidden="1">
      <c r="B20" s="788"/>
      <c r="E20" s="797"/>
      <c r="G20" s="155"/>
      <c r="H20" s="155"/>
      <c r="I20" s="155"/>
      <c r="J20" s="155"/>
      <c r="K20" s="155"/>
      <c r="L20" s="155"/>
      <c r="M20" s="155"/>
      <c r="N20" s="155"/>
      <c r="O20" s="155"/>
      <c r="P20" s="155"/>
      <c r="Q20" s="193"/>
      <c r="R20" s="193"/>
      <c r="S20" s="155"/>
      <c r="T20" s="179"/>
      <c r="U20" s="179"/>
      <c r="V20" s="179"/>
      <c r="W20" s="179"/>
      <c r="X20" s="179"/>
      <c r="Y20" s="179"/>
      <c r="Z20" s="17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92"/>
      <c r="BG20" s="1192"/>
      <c r="BH20" s="1192"/>
      <c r="BI20" s="1193"/>
      <c r="BJ20" s="1193"/>
    </row>
    <row customHeight="1" ht="14.625">
      <c r="E21" s="797">
        <v>15</v>
      </c>
      <c r="AA21" s="820"/>
      <c r="AC21" s="403" cm="1" t="str">
        <f t="array" ref="AC21:AC21">tpl_title</f>
        <v>Кемеровская область / 2026 / ООО "ВЕЛЕС" (ИНН:4212036655, КПП:421201001) / ДПР: 2016-2025</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97">
        <v>20.1</v>
      </c>
      <c r="AB22" s="392" t="s">
        <v>41</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97">
        <v>11.3</v>
      </c>
      <c r="AB23" s="224"/>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97">
        <v>15</v>
      </c>
      <c r="AB24" s="1530" t="s">
        <v>995</v>
      </c>
      <c r="AC24" s="1538" t="s">
        <v>225</v>
      </c>
      <c r="AD24" s="1530" t="s">
        <v>441</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5" t="s">
        <v>595</v>
      </c>
    </row>
    <row customHeight="1" ht="48.847500000000004">
      <c r="E25" s="797">
        <v>50.1</v>
      </c>
      <c r="AB25" s="1537"/>
      <c r="AC25" s="1537"/>
      <c r="AD25" s="1537"/>
      <c r="AE25" s="170" t="s">
        <v>402</v>
      </c>
      <c r="AF25" s="1356" t="s">
        <v>596</v>
      </c>
      <c r="AG25" s="170" t="s">
        <v>597</v>
      </c>
      <c r="AH25" s="170" t="s">
        <v>402</v>
      </c>
      <c r="AI25" s="1357" t="s">
        <v>403</v>
      </c>
      <c r="AJ25" s="1357" t="s">
        <v>403</v>
      </c>
      <c r="AK25" s="1357" t="s">
        <v>403</v>
      </c>
      <c r="AL25" s="1357" t="s">
        <v>403</v>
      </c>
      <c r="AM25" s="1357" t="s">
        <v>403</v>
      </c>
      <c r="AN25" s="1357" t="s">
        <v>403</v>
      </c>
      <c r="AO25" s="1357" t="s">
        <v>403</v>
      </c>
      <c r="AP25" s="1357" t="s">
        <v>403</v>
      </c>
      <c r="AQ25" s="1357" t="s">
        <v>403</v>
      </c>
      <c r="AR25" s="1357" t="s">
        <v>403</v>
      </c>
      <c r="AS25" s="413" t="s">
        <v>402</v>
      </c>
      <c r="AT25" s="413" t="s">
        <v>402</v>
      </c>
      <c r="AU25" s="413" t="s">
        <v>402</v>
      </c>
      <c r="AV25" s="413" t="s">
        <v>402</v>
      </c>
      <c r="AW25" s="413" t="s">
        <v>402</v>
      </c>
      <c r="AX25" s="413" t="s">
        <v>402</v>
      </c>
      <c r="AY25" s="413" t="s">
        <v>402</v>
      </c>
      <c r="AZ25" s="413" t="s">
        <v>402</v>
      </c>
      <c r="BA25" s="413" t="s">
        <v>402</v>
      </c>
      <c r="BB25" s="413" t="s">
        <v>402</v>
      </c>
      <c r="BC25" s="1537"/>
    </row>
    <row customHeight="1" ht="50.25" hidden="1">
      <c r="E26" s="797">
        <v>0</v>
      </c>
      <c r="AB26" s="506"/>
      <c r="AC26" s="507"/>
      <c r="AD26" s="507"/>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08"/>
    </row>
    <row customHeight="1" ht="14.625" hidden="1">
      <c r="E27" s="797">
        <v>15</v>
      </c>
      <c r="F27" s="922" cm="1" t="str">
        <f t="array" ref="F27:F27">X27</f>
        <v>0</v>
      </c>
      <c r="T27" s="808">
        <f>X27&gt;0</f>
        <v>0</v>
      </c>
      <c r="V27" s="175" t="s">
        <v>310</v>
      </c>
      <c r="X27" s="159">
        <v>0</v>
      </c>
      <c r="AB27" s="290" cm="1" t="str">
        <f t="array" ref="AB27:AB27">INDEX('Общие сведения'!$AG$169:$AG$202,MATCH($F27,'Общие сведения'!$Z$169:$Z$202,0))</f>
        <v>Тариф 0 (Теплоснабжение) - </v>
      </c>
      <c r="AC27" s="260"/>
      <c r="AD27" s="260"/>
      <c r="AE27" s="380">
        <f>AE28+AE34</f>
        <v>0</v>
      </c>
      <c r="AF27" s="380">
        <f>AF28+AF34</f>
        <v>0</v>
      </c>
      <c r="AG27" s="380">
        <f>AG28+AG34</f>
        <v>0</v>
      </c>
      <c r="AH27" s="380">
        <f>AH28+AH34</f>
        <v>0</v>
      </c>
      <c r="AI27" s="380">
        <f>AI28+AI34</f>
        <v>0</v>
      </c>
      <c r="AJ27" s="380">
        <f>AJ28+AJ34</f>
        <v>0</v>
      </c>
      <c r="AK27" s="380">
        <f>AK28+AK34</f>
        <v>0</v>
      </c>
      <c r="AL27" s="380">
        <f>AL28+AL34</f>
        <v>0</v>
      </c>
      <c r="AM27" s="380">
        <f>AM28+AM34</f>
        <v>0</v>
      </c>
      <c r="AN27" s="380">
        <f>AN28+AN34</f>
        <v>0</v>
      </c>
      <c r="AO27" s="380">
        <f>AO28+AO34</f>
        <v>0</v>
      </c>
      <c r="AP27" s="380">
        <f>AP28+AP34</f>
        <v>0</v>
      </c>
      <c r="AQ27" s="380">
        <f>AQ28+AQ34</f>
        <v>0</v>
      </c>
      <c r="AR27" s="380">
        <f>AR28+AR34</f>
        <v>0</v>
      </c>
      <c r="AS27" s="380">
        <f>AS28+AS34</f>
        <v>0</v>
      </c>
      <c r="AT27" s="380">
        <f>AT28+AT34</f>
        <v>0</v>
      </c>
      <c r="AU27" s="380">
        <f>AU28+AU34</f>
        <v>0</v>
      </c>
      <c r="AV27" s="380">
        <f>AV28+AV34</f>
        <v>0</v>
      </c>
      <c r="AW27" s="380">
        <f>AW28+AW34</f>
        <v>0</v>
      </c>
      <c r="AX27" s="380">
        <f>AX28+AX34</f>
        <v>0</v>
      </c>
      <c r="AY27" s="380">
        <f>AY28+AY34</f>
        <v>0</v>
      </c>
      <c r="AZ27" s="380">
        <f>AZ28+AZ34</f>
        <v>0</v>
      </c>
      <c r="BA27" s="380">
        <f>BA28+BA34</f>
        <v>0</v>
      </c>
      <c r="BB27" s="380">
        <f>BB28+BB34</f>
        <v>0</v>
      </c>
      <c r="BC27" s="292"/>
    </row>
    <row customHeight="1" ht="14.625" hidden="1">
      <c r="E28" s="797">
        <v>15</v>
      </c>
      <c r="F28" s="922" cm="1" t="str">
        <f t="array" ref="F28:F28">F27</f>
        <v>0</v>
      </c>
      <c r="G28" s="193" t="s">
        <v>996</v>
      </c>
      <c r="T28" s="819" cm="1" t="str">
        <f t="array" ref="T28:T28">T27</f>
        <v>false</v>
      </c>
      <c r="AB28" s="286">
        <v>1</v>
      </c>
      <c r="AC28" s="281" t="s">
        <v>997</v>
      </c>
      <c r="AD28" s="280" t="s">
        <v>810</v>
      </c>
      <c r="AE28" s="282">
        <f>SUMIF($AD29:$AD33,$AD28,AE29:AE33)</f>
        <v>0</v>
      </c>
      <c r="AF28" s="282">
        <f>SUMIF($AD29:$AD33,$AD28,AF29:AF33)</f>
        <v>0</v>
      </c>
      <c r="AG28" s="282">
        <f>SUMIF($AD29:$AD33,$AD28,AG29:AG33)</f>
        <v>0</v>
      </c>
      <c r="AH28" s="282">
        <f>SUMIF($AD29:$AD33,$AD28,AH29:AH33)</f>
        <v>0</v>
      </c>
      <c r="AI28" s="282">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2">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3" t="s">
        <v>998</v>
      </c>
    </row>
    <row customHeight="1" ht="0.19499999999999998" hidden="1">
      <c r="E29" s="797">
        <v>0.2</v>
      </c>
      <c r="F29" s="922" cm="1" t="str">
        <f t="array" ref="F29:F29">F28</f>
        <v>0</v>
      </c>
      <c r="T29" s="819" cm="1" t="str">
        <f t="array" ref="T29:T29">T28</f>
        <v>false</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173" t="str">
        <f>IF(AND(ISNUMBER(VALUE(TRIM(SUBSTITUTE(AB29,".","")))),TRIM(SUBSTITUTE(AB29,".",""))&lt;&gt;""),"P"&amp;SUBSTITUTE(AB29,".",""),"")</f>
        <v/>
      </c>
    </row>
    <row customHeight="1" ht="14.625" hidden="1">
      <c r="A30" s="1125" t="str">
        <f>"checkCosts_1."&amp;F30&amp;"."&amp;Y30</f>
        <v>checkCosts_1.0.0</v>
      </c>
      <c r="E30" s="797">
        <v>15</v>
      </c>
      <c r="F30" s="922" cm="1" t="str">
        <f t="array" ref="F30:F30">OFFSET(G30,-1,-1)</f>
        <v>0</v>
      </c>
      <c r="H30" s="155" cm="1" t="str">
        <f t="array" ref="H30:H30">AC30</f>
        <v>0</v>
      </c>
      <c r="T30" s="923">
        <f>AND(F30&gt;0,Y30&gt;0)</f>
        <v>0</v>
      </c>
      <c r="W30" s="159" t="s">
        <v>234</v>
      </c>
      <c r="Y30" s="159">
        <v>0</v>
      </c>
      <c r="AA30" s="1536" t="s">
        <v>218</v>
      </c>
      <c r="AB30" s="288" t="str">
        <f>"1."&amp;Y30</f>
        <v>1.0</v>
      </c>
      <c r="AC30" s="463"/>
      <c r="AD30" s="280" t="s">
        <v>810</v>
      </c>
      <c r="AE30" s="1872">
        <f>AE31*AE32</f>
        <v>0</v>
      </c>
      <c r="AF30" s="1665"/>
      <c r="AG30" s="1665"/>
      <c r="AH30" s="1872">
        <f>AH31*AH32</f>
        <v>0</v>
      </c>
      <c r="AI30" s="1665"/>
      <c r="AJ30" s="1665"/>
      <c r="AK30" s="1665"/>
      <c r="AL30" s="1665"/>
      <c r="AM30" s="1665"/>
      <c r="AN30" s="1665"/>
      <c r="AO30" s="1665"/>
      <c r="AP30" s="1665"/>
      <c r="AQ30" s="1665"/>
      <c r="AR30" s="1665"/>
      <c r="AS30" s="1872">
        <f>AS31*AS32</f>
        <v>0</v>
      </c>
      <c r="AT30" s="1872">
        <f>AT31*AT32</f>
        <v>0</v>
      </c>
      <c r="AU30" s="1872">
        <f>AU31*AU32</f>
        <v>0</v>
      </c>
      <c r="AV30" s="1872">
        <f>AV31*AV32</f>
        <v>0</v>
      </c>
      <c r="AW30" s="1872">
        <f>AW31*AW32</f>
        <v>0</v>
      </c>
      <c r="AX30" s="1872">
        <f>AX31*AX32</f>
        <v>0</v>
      </c>
      <c r="AY30" s="1872">
        <f>AY31*AY32</f>
        <v>0</v>
      </c>
      <c r="AZ30" s="1872">
        <f>AZ31*AZ32</f>
        <v>0</v>
      </c>
      <c r="BA30" s="1872">
        <f>BA31*BA32</f>
        <v>0</v>
      </c>
      <c r="BB30" s="1872">
        <f>BB31*BB32</f>
        <v>0</v>
      </c>
      <c r="BC30" s="1719"/>
      <c r="BF30" s="1173" t="s">
        <v>999</v>
      </c>
      <c r="BG30" s="1192" t="s">
        <v>1000</v>
      </c>
      <c r="BH30" s="1192" cm="1" t="str">
        <f t="array" ref="BH30:BH30">AC30</f>
        <v>0</v>
      </c>
      <c r="BJ30" s="1193" t="b">
        <v>1</v>
      </c>
    </row>
    <row s="1390" customFormat="1" customHeight="1" ht="14.625" hidden="1">
      <c r="E31" s="797">
        <v>15</v>
      </c>
      <c r="F31" s="922" cm="1" t="str">
        <f t="array" ref="F31:F31">F29</f>
        <v>0</v>
      </c>
      <c r="H31" s="155" cm="1" t="str">
        <f t="array" ref="H31:H31">H30</f>
        <v>0</v>
      </c>
      <c r="T31" s="923" cm="1" t="str">
        <f t="array" ref="T31:T31">T30</f>
        <v>false</v>
      </c>
      <c r="AA31" s="1536"/>
      <c r="AB31" s="288" t="str">
        <f>AB30&amp;".1"</f>
        <v>1.0.1</v>
      </c>
      <c r="AC31" s="294" t="s">
        <v>946</v>
      </c>
      <c r="AD31" s="154" t="s">
        <v>1001</v>
      </c>
      <c r="AE31" s="61"/>
      <c r="AF31" s="335">
        <f>IF(AF32=0,0,AF30/AF32)</f>
        <v>0</v>
      </c>
      <c r="AG31" s="335">
        <f>IF(AG32=0,0,AG30/AG32)</f>
        <v>0</v>
      </c>
      <c r="AH31" s="61"/>
      <c r="AI31" s="335">
        <f>IF(AI32=0,0,AI30/AI32)</f>
        <v>0</v>
      </c>
      <c r="AJ31" s="335">
        <f>IF(AJ32=0,0,AJ30/AJ32)</f>
        <v>0</v>
      </c>
      <c r="AK31" s="335">
        <f>IF(AK32=0,0,AK30/AK32)</f>
        <v>0</v>
      </c>
      <c r="AL31" s="335">
        <f>IF(AL32=0,0,AL30/AL32)</f>
        <v>0</v>
      </c>
      <c r="AM31" s="335">
        <f>IF(AM32=0,0,AM30/AM32)</f>
        <v>0</v>
      </c>
      <c r="AN31" s="335">
        <f>IF(AN32=0,0,AN30/AN32)</f>
        <v>0</v>
      </c>
      <c r="AO31" s="335">
        <f>IF(AO32=0,0,AO30/AO32)</f>
        <v>0</v>
      </c>
      <c r="AP31" s="335">
        <f>IF(AP32=0,0,AP30/AP32)</f>
        <v>0</v>
      </c>
      <c r="AQ31" s="335">
        <f>IF(AQ32=0,0,AQ30/AQ32)</f>
        <v>0</v>
      </c>
      <c r="AR31" s="335">
        <f>IF(AR32=0,0,AR30/AR32)</f>
        <v>0</v>
      </c>
      <c r="AS31" s="1665"/>
      <c r="AT31" s="61"/>
      <c r="AU31" s="61"/>
      <c r="AV31" s="61"/>
      <c r="AW31" s="61"/>
      <c r="AX31" s="61"/>
      <c r="AY31" s="61"/>
      <c r="AZ31" s="61"/>
      <c r="BA31" s="61"/>
      <c r="BB31" s="61"/>
      <c r="BC31" s="73"/>
      <c r="BF31" s="1173" t="s">
        <v>1002</v>
      </c>
      <c r="BG31" s="1192" t="s">
        <v>1000</v>
      </c>
      <c r="BH31" s="1192" cm="1" t="str">
        <f t="array" ref="BH31:BH31">BH30</f>
        <v>0</v>
      </c>
      <c r="BI31" s="1193"/>
      <c r="BJ31" s="1193"/>
    </row>
    <row customHeight="1" ht="14.625" hidden="1">
      <c r="A32" s="1125" t="str">
        <f>"checkVolume_1."&amp;F32&amp;"."&amp;Y30</f>
        <v>checkVolume_1.0.0</v>
      </c>
      <c r="E32" s="797">
        <v>15</v>
      </c>
      <c r="F32" s="922" cm="1" t="str">
        <f t="array" ref="F32:F32">F30</f>
        <v>0</v>
      </c>
      <c r="H32" s="155" cm="1" t="str">
        <f t="array" ref="H32:H32">H30</f>
        <v>0</v>
      </c>
      <c r="T32" s="923" cm="1" t="str">
        <f t="array" ref="T32:T32">T30</f>
        <v>false</v>
      </c>
      <c r="AA32" s="1536"/>
      <c r="AB32" s="288" t="str">
        <f>AB30&amp;".2"</f>
        <v>1.0.2</v>
      </c>
      <c r="AC32" s="294" t="s">
        <v>1003</v>
      </c>
      <c r="AD32" s="154" t="s">
        <v>1004</v>
      </c>
      <c r="AE32" s="61"/>
      <c r="AF32" s="61"/>
      <c r="AG32" s="61"/>
      <c r="AH32" s="61"/>
      <c r="AI32" s="1665"/>
      <c r="AJ32" s="61"/>
      <c r="AK32" s="61"/>
      <c r="AL32" s="61"/>
      <c r="AM32" s="61"/>
      <c r="AN32" s="61"/>
      <c r="AO32" s="61"/>
      <c r="AP32" s="61"/>
      <c r="AQ32" s="61"/>
      <c r="AR32" s="61"/>
      <c r="AS32" s="1665"/>
      <c r="AT32" s="61"/>
      <c r="AU32" s="61"/>
      <c r="AV32" s="61"/>
      <c r="AW32" s="61"/>
      <c r="AX32" s="61"/>
      <c r="AY32" s="61"/>
      <c r="AZ32" s="61"/>
      <c r="BA32" s="61"/>
      <c r="BB32" s="61"/>
      <c r="BC32" s="73"/>
      <c r="BF32" s="1173" t="s">
        <v>1005</v>
      </c>
      <c r="BG32" s="1192" t="s">
        <v>1000</v>
      </c>
      <c r="BH32" s="1192" cm="1" t="str">
        <f t="array" ref="BH32:BH32">BH30</f>
        <v>0</v>
      </c>
    </row>
    <row customHeight="1" ht="14.625" hidden="1">
      <c r="E33" s="797">
        <v>15</v>
      </c>
      <c r="F33" s="922" cm="1" t="str">
        <f t="array" ref="F33:F33">F29</f>
        <v>0</v>
      </c>
      <c r="T33" s="819">
        <f>F33&gt;0</f>
        <v>0</v>
      </c>
      <c r="W33" s="374" t="s">
        <v>1006</v>
      </c>
      <c r="AB33" s="302"/>
      <c r="AC33" s="303" t="s">
        <v>982</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101"/>
      <c r="BF33" s="1173" t="str">
        <f>IF(AND(ISNUMBER(VALUE(TRIM(SUBSTITUTE(AB33,".","")))),TRIM(SUBSTITUTE(AB33,".",""))&lt;&gt;""),"P"&amp;SUBSTITUTE(AB33,".",""),"")</f>
        <v/>
      </c>
      <c r="BI33" s="1193" t="s">
        <v>1000</v>
      </c>
    </row>
    <row customHeight="1" ht="14.625" hidden="1">
      <c r="E34" s="797">
        <v>15</v>
      </c>
      <c r="F34" s="922" cm="1" t="str">
        <f t="array" ref="F34:F34">F33</f>
        <v>0</v>
      </c>
      <c r="G34" s="193" t="s">
        <v>1007</v>
      </c>
      <c r="T34" s="819">
        <f>F34&gt;0</f>
        <v>0</v>
      </c>
      <c r="AB34" s="286">
        <v>2</v>
      </c>
      <c r="AC34" s="281" t="s">
        <v>1008</v>
      </c>
      <c r="AD34" s="280" t="s">
        <v>810</v>
      </c>
      <c r="AE34" s="282">
        <f>SUMIF($AD35:$AD39,$AD34,AE35:AE39)</f>
        <v>0</v>
      </c>
      <c r="AF34" s="282">
        <f>SUMIF($AD35:$AD39,$AD34,AF35:AF39)</f>
        <v>0</v>
      </c>
      <c r="AG34" s="282">
        <f>SUMIF($AD35:$AD39,$AD34,AG35:AG39)</f>
        <v>0</v>
      </c>
      <c r="AH34" s="282">
        <f>SUMIF($AD35:$AD39,$AD34,AH35:AH39)</f>
        <v>0</v>
      </c>
      <c r="AI34" s="282">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2">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3" t="s">
        <v>1009</v>
      </c>
    </row>
    <row customHeight="1" ht="0.19499999999999998" hidden="1">
      <c r="E35" s="797">
        <v>0.2</v>
      </c>
      <c r="F35" s="922" cm="1" t="str">
        <f t="array" ref="F35:F35">OFFSET(G35,-1,-1)</f>
        <v>0</v>
      </c>
      <c r="T35" s="819">
        <f>F35&gt;0</f>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173" t="str">
        <f>IF(AND(ISNUMBER(VALUE(TRIM(SUBSTITUTE(AB35,".","")))),TRIM(SUBSTITUTE(AB35,".",""))&lt;&gt;""),"P"&amp;SUBSTITUTE(AB35,".",""),"")</f>
        <v/>
      </c>
    </row>
    <row customHeight="1" ht="14.625" hidden="1">
      <c r="A36" s="1125" t="str">
        <f>"checkCosts_2."&amp;F36&amp;"."&amp;Y36</f>
        <v>checkCosts_2.0.0</v>
      </c>
      <c r="E36" s="797">
        <v>15</v>
      </c>
      <c r="F36" s="922" cm="1" t="str">
        <f t="array" ref="F36:F36">OFFSET(G36,-1,-1)</f>
        <v>0</v>
      </c>
      <c r="H36" s="155" cm="1" t="str">
        <f t="array" ref="H36:H36">AC36</f>
        <v>0</v>
      </c>
      <c r="T36" s="923">
        <f>AND(F36&gt;0,Y36&gt;0)</f>
        <v>0</v>
      </c>
      <c r="W36" s="159" t="s">
        <v>234</v>
      </c>
      <c r="Y36" s="159">
        <v>0</v>
      </c>
      <c r="AA36" s="1536" t="s">
        <v>218</v>
      </c>
      <c r="AB36" s="288" t="str">
        <f>"2."&amp;Y36</f>
        <v>2.0</v>
      </c>
      <c r="AC36" s="463"/>
      <c r="AD36" s="280" t="s">
        <v>810</v>
      </c>
      <c r="AE36" s="1872">
        <f>AE37*AE38</f>
        <v>0</v>
      </c>
      <c r="AF36" s="1665"/>
      <c r="AG36" s="1665"/>
      <c r="AH36" s="1872">
        <f>AH37*AH38</f>
        <v>0</v>
      </c>
      <c r="AI36" s="1665"/>
      <c r="AJ36" s="1665"/>
      <c r="AK36" s="1665"/>
      <c r="AL36" s="1665"/>
      <c r="AM36" s="1665"/>
      <c r="AN36" s="1665"/>
      <c r="AO36" s="1665"/>
      <c r="AP36" s="1665"/>
      <c r="AQ36" s="1665"/>
      <c r="AR36" s="1665"/>
      <c r="AS36" s="1872">
        <f>AS37*AS38</f>
        <v>0</v>
      </c>
      <c r="AT36" s="1872">
        <f>AT37*AT38</f>
        <v>0</v>
      </c>
      <c r="AU36" s="1872">
        <f>AU37*AU38</f>
        <v>0</v>
      </c>
      <c r="AV36" s="1872">
        <f>AV37*AV38</f>
        <v>0</v>
      </c>
      <c r="AW36" s="1872">
        <f>AW37*AW38</f>
        <v>0</v>
      </c>
      <c r="AX36" s="1872">
        <f>AX37*AX38</f>
        <v>0</v>
      </c>
      <c r="AY36" s="1872">
        <f>AY37*AY38</f>
        <v>0</v>
      </c>
      <c r="AZ36" s="1872">
        <f>AZ37*AZ38</f>
        <v>0</v>
      </c>
      <c r="BA36" s="1872">
        <f>BA37*BA38</f>
        <v>0</v>
      </c>
      <c r="BB36" s="1872">
        <f>BB37*BB38</f>
        <v>0</v>
      </c>
      <c r="BC36" s="1719"/>
      <c r="BF36" s="1173" t="s">
        <v>1010</v>
      </c>
      <c r="BG36" s="1192" t="s">
        <v>1011</v>
      </c>
      <c r="BH36" s="1192" cm="1" t="str">
        <f t="array" ref="BH36:BH36">AC36</f>
        <v>0</v>
      </c>
      <c r="BJ36" s="1193" t="b">
        <v>1</v>
      </c>
    </row>
    <row s="1390" customFormat="1" customHeight="1" ht="14.625" hidden="1">
      <c r="E37" s="797">
        <v>15</v>
      </c>
      <c r="F37" s="922" cm="1" t="str">
        <f t="array" ref="F37:F37">OFFSET(G37,-1,-1)</f>
        <v>0</v>
      </c>
      <c r="H37" s="155" cm="1" t="str">
        <f t="array" ref="H37:H37">H36</f>
        <v>0</v>
      </c>
      <c r="T37" s="923" cm="1" t="str">
        <f t="array" ref="T37:T37">T36</f>
        <v>false</v>
      </c>
      <c r="AA37" s="1536"/>
      <c r="AB37" s="288" t="str">
        <f>AB36&amp;".1"</f>
        <v>2.0.1</v>
      </c>
      <c r="AC37" s="294" t="s">
        <v>946</v>
      </c>
      <c r="AD37" s="154" t="s">
        <v>1001</v>
      </c>
      <c r="AE37" s="61"/>
      <c r="AF37" s="335">
        <f>IF(AF38=0,0,AF36/AF38)</f>
        <v>0</v>
      </c>
      <c r="AG37" s="335">
        <f>IF(AG38=0,0,AG36/AG38)</f>
        <v>0</v>
      </c>
      <c r="AH37" s="61"/>
      <c r="AI37" s="335">
        <f>IF(AI38=0,0,AI36/AI38)</f>
        <v>0</v>
      </c>
      <c r="AJ37" s="335">
        <f>IF(AJ38=0,0,AJ36/AJ38)</f>
        <v>0</v>
      </c>
      <c r="AK37" s="335">
        <f>IF(AK38=0,0,AK36/AK38)</f>
        <v>0</v>
      </c>
      <c r="AL37" s="335">
        <f>IF(AL38=0,0,AL36/AL38)</f>
        <v>0</v>
      </c>
      <c r="AM37" s="335">
        <f>IF(AM38=0,0,AM36/AM38)</f>
        <v>0</v>
      </c>
      <c r="AN37" s="335">
        <f>IF(AN38=0,0,AN36/AN38)</f>
        <v>0</v>
      </c>
      <c r="AO37" s="335">
        <f>IF(AO38=0,0,AO36/AO38)</f>
        <v>0</v>
      </c>
      <c r="AP37" s="335">
        <f>IF(AP38=0,0,AP36/AP38)</f>
        <v>0</v>
      </c>
      <c r="AQ37" s="335">
        <f>IF(AQ38=0,0,AQ36/AQ38)</f>
        <v>0</v>
      </c>
      <c r="AR37" s="335">
        <f>IF(AR38=0,0,AR36/AR38)</f>
        <v>0</v>
      </c>
      <c r="AS37" s="1665"/>
      <c r="AT37" s="61"/>
      <c r="AU37" s="61"/>
      <c r="AV37" s="61"/>
      <c r="AW37" s="61"/>
      <c r="AX37" s="61"/>
      <c r="AY37" s="61"/>
      <c r="AZ37" s="61"/>
      <c r="BA37" s="61"/>
      <c r="BB37" s="61"/>
      <c r="BC37" s="73"/>
      <c r="BF37" s="1173" t="s">
        <v>1012</v>
      </c>
      <c r="BG37" s="1192" t="s">
        <v>1011</v>
      </c>
      <c r="BH37" s="1192" cm="1" t="str">
        <f t="array" ref="BH37:BH37">BH36</f>
        <v>0</v>
      </c>
      <c r="BI37" s="1193"/>
      <c r="BJ37" s="1193"/>
    </row>
    <row customHeight="1" ht="14.625" hidden="1">
      <c r="A38" s="1125" t="str">
        <f>"checkVolume_2."&amp;F38&amp;"."&amp;Y36</f>
        <v>checkVolume_2.0.0</v>
      </c>
      <c r="E38" s="797">
        <v>15</v>
      </c>
      <c r="F38" s="922" cm="1" t="str">
        <f t="array" ref="F38:F38">OFFSET(G38,-1,-1)</f>
        <v>0</v>
      </c>
      <c r="H38" s="155" cm="1" t="str">
        <f t="array" ref="H38:H38">H36</f>
        <v>0</v>
      </c>
      <c r="T38" s="923" cm="1" t="str">
        <f t="array" ref="T38:T38">T36</f>
        <v>false</v>
      </c>
      <c r="AA38" s="1536"/>
      <c r="AB38" s="288" t="str">
        <f>AB36&amp;".2"</f>
        <v>2.0.2</v>
      </c>
      <c r="AC38" s="294" t="s">
        <v>1013</v>
      </c>
      <c r="AD38" s="154" t="s">
        <v>1004</v>
      </c>
      <c r="AE38" s="61"/>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73"/>
      <c r="BF38" s="1173" t="s">
        <v>1014</v>
      </c>
      <c r="BG38" s="1192" t="s">
        <v>1011</v>
      </c>
      <c r="BH38" s="1192" cm="1" t="str">
        <f t="array" ref="BH38:BH38">BH36</f>
        <v>0</v>
      </c>
    </row>
    <row customHeight="1" ht="14.625" hidden="1">
      <c r="E39" s="797">
        <v>15</v>
      </c>
      <c r="F39" s="922" cm="1" t="str">
        <f t="array" ref="F39:F39">OFFSET(G39,-1,-1)</f>
        <v>0</v>
      </c>
      <c r="T39" s="819">
        <f>F39&gt;0</f>
        <v>0</v>
      </c>
      <c r="W39" s="374" t="s">
        <v>1015</v>
      </c>
      <c r="AB39" s="302"/>
      <c r="AC39" s="303" t="s">
        <v>982</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4"/>
      <c r="BI39" s="1193" t="s">
        <v>1011</v>
      </c>
    </row>
    <row s="1632" customFormat="1" customHeight="1" ht="14.25">
      <c r="A40" s="1428"/>
      <c r="B40" s="927"/>
      <c r="C40" s="1428"/>
      <c r="D40" s="1428"/>
      <c r="E40" s="797">
        <v>15</v>
      </c>
      <c r="F40" s="922" cm="1" t="str">
        <f t="array" ref="F40:F40">X40</f>
        <v>1</v>
      </c>
      <c r="G40" s="1535"/>
      <c r="H40" s="1535"/>
      <c r="I40" s="1535"/>
      <c r="J40" s="1535"/>
      <c r="K40" s="1535"/>
      <c r="L40" s="1535"/>
      <c r="M40" s="1535"/>
      <c r="N40" s="1535"/>
      <c r="O40" s="1535"/>
      <c r="P40" s="1535"/>
      <c r="Q40" s="193"/>
      <c r="R40" s="193"/>
      <c r="S40" s="1535"/>
      <c r="T40" s="808">
        <f>X40&gt;0</f>
        <v>1</v>
      </c>
      <c r="U40" s="1443"/>
      <c r="V40" s="175" cm="1" t="str">
        <f t="array" ref="V40:V40">ЭнергоРесурсы!$AB$68</f>
        <v>Тариф 1 (Теплоснабжение) - Тариф на тепловую энергию (мощность), поставляемую потребителям (Не определено)</v>
      </c>
      <c r="W40" s="1443"/>
      <c r="X40" s="159" t="s">
        <v>336</v>
      </c>
      <c r="Y40" s="1443"/>
      <c r="Z40" s="1443"/>
      <c r="AA40" s="223"/>
      <c r="AB40" s="290"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0"/>
      <c r="AD40" s="260"/>
      <c r="AE40" s="380">
        <f>AE41+AE50</f>
        <v>265.11205</v>
      </c>
      <c r="AF40" s="380">
        <f>AF41+AF50</f>
        <v>265.12</v>
      </c>
      <c r="AG40" s="380">
        <f>AG41+AG50</f>
        <v>283.72</v>
      </c>
      <c r="AH40" s="380">
        <f>AH41+AH50</f>
        <v>254.7558</v>
      </c>
      <c r="AI40" s="380">
        <f>AI41+AI50</f>
        <v>277.96</v>
      </c>
      <c r="AJ40" s="380">
        <f>AJ41+AJ50</f>
        <v>0</v>
      </c>
      <c r="AK40" s="380">
        <f>AK41+AK50</f>
        <v>0</v>
      </c>
      <c r="AL40" s="380">
        <f>AL41+AL50</f>
        <v>0</v>
      </c>
      <c r="AM40" s="380">
        <f>AM41+AM50</f>
        <v>0</v>
      </c>
      <c r="AN40" s="380">
        <f>AN41+AN50</f>
        <v>0</v>
      </c>
      <c r="AO40" s="380">
        <f>AO41+AO50</f>
        <v>0</v>
      </c>
      <c r="AP40" s="380">
        <f>AP41+AP50</f>
        <v>0</v>
      </c>
      <c r="AQ40" s="380">
        <f>AQ41+AQ50</f>
        <v>0</v>
      </c>
      <c r="AR40" s="380">
        <f>AR41+AR50</f>
        <v>0</v>
      </c>
      <c r="AS40" s="380">
        <f>AS41+AS50</f>
        <v>265.319769</v>
      </c>
      <c r="AT40" s="380">
        <f>AT41+AT50</f>
        <v>0</v>
      </c>
      <c r="AU40" s="380">
        <f>AU41+AU50</f>
        <v>0</v>
      </c>
      <c r="AV40" s="380">
        <f>AV41+AV50</f>
        <v>0</v>
      </c>
      <c r="AW40" s="380">
        <f>AW41+AW50</f>
        <v>0</v>
      </c>
      <c r="AX40" s="380">
        <f>AX41+AX50</f>
        <v>0</v>
      </c>
      <c r="AY40" s="380">
        <f>AY41+AY50</f>
        <v>0</v>
      </c>
      <c r="AZ40" s="380">
        <f>AZ41+AZ50</f>
        <v>0</v>
      </c>
      <c r="BA40" s="380">
        <f>BA41+BA50</f>
        <v>0</v>
      </c>
      <c r="BB40" s="380">
        <f>BB41+BB50</f>
        <v>0</v>
      </c>
      <c r="BC40" s="292"/>
      <c r="BD40" s="223"/>
      <c r="BE40" s="223"/>
      <c r="BF40" s="1192"/>
      <c r="BG40" s="1192"/>
      <c r="BH40" s="1192"/>
      <c r="BI40" s="1193"/>
      <c r="BJ40" s="1193"/>
    </row>
    <row s="1632" customFormat="1" customHeight="1" ht="14.25">
      <c r="A41" s="1428"/>
      <c r="B41" s="927"/>
      <c r="C41" s="1428"/>
      <c r="D41" s="1428"/>
      <c r="E41" s="797">
        <v>15</v>
      </c>
      <c r="F41" s="922" cm="1" t="str">
        <f t="array" ref="F41:F41">F40</f>
        <v>1</v>
      </c>
      <c r="G41" s="193" t="s">
        <v>996</v>
      </c>
      <c r="H41" s="1535"/>
      <c r="I41" s="1535"/>
      <c r="J41" s="1535"/>
      <c r="K41" s="1535"/>
      <c r="L41" s="1535"/>
      <c r="M41" s="1535"/>
      <c r="N41" s="1535"/>
      <c r="O41" s="1535"/>
      <c r="P41" s="1535"/>
      <c r="Q41" s="193"/>
      <c r="R41" s="193"/>
      <c r="S41" s="1535"/>
      <c r="T41" s="819" cm="1" t="str">
        <f t="array" ref="T41:T41">T40</f>
        <v>true</v>
      </c>
      <c r="U41" s="1443"/>
      <c r="V41" s="1443"/>
      <c r="W41" s="1443"/>
      <c r="X41" s="1443"/>
      <c r="Y41" s="1443"/>
      <c r="Z41" s="1443"/>
      <c r="AA41" s="223"/>
      <c r="AB41" s="286">
        <v>1</v>
      </c>
      <c r="AC41" s="281" t="s">
        <v>997</v>
      </c>
      <c r="AD41" s="280" t="s">
        <v>810</v>
      </c>
      <c r="AE41" s="282">
        <f>SUMIF($AD42:$AD49,$AD41,AE42:AE49)</f>
        <v>265.11205</v>
      </c>
      <c r="AF41" s="282">
        <f>SUMIF($AD42:$AD49,$AD41,AF42:AF49)</f>
        <v>265.12</v>
      </c>
      <c r="AG41" s="282">
        <f>SUMIF($AD42:$AD49,$AD41,AG42:AG49)</f>
        <v>283.72</v>
      </c>
      <c r="AH41" s="282">
        <f>SUMIF($AD42:$AD49,$AD41,AH42:AH49)</f>
        <v>254.7558</v>
      </c>
      <c r="AI41" s="282">
        <f>SUMIF($AD42:$AD49,$AD41,AI42:AI49)</f>
        <v>277.96</v>
      </c>
      <c r="AJ41" s="1880">
        <f>SUMIF($AD42:$AD49,$AD41,AJ42:AJ49)</f>
        <v>0</v>
      </c>
      <c r="AK41" s="1880">
        <f>SUMIF($AD42:$AD49,$AD41,AK42:AK49)</f>
        <v>0</v>
      </c>
      <c r="AL41" s="1880">
        <f>SUMIF($AD42:$AD49,$AD41,AL42:AL49)</f>
        <v>0</v>
      </c>
      <c r="AM41" s="1880">
        <f>SUMIF($AD42:$AD49,$AD41,AM42:AM49)</f>
        <v>0</v>
      </c>
      <c r="AN41" s="1880">
        <f>SUMIF($AD42:$AD49,$AD41,AN42:AN49)</f>
        <v>0</v>
      </c>
      <c r="AO41" s="1880">
        <f>SUMIF($AD42:$AD49,$AD41,AO42:AO49)</f>
        <v>0</v>
      </c>
      <c r="AP41" s="1880">
        <f>SUMIF($AD42:$AD49,$AD41,AP42:AP49)</f>
        <v>0</v>
      </c>
      <c r="AQ41" s="1880">
        <f>SUMIF($AD42:$AD49,$AD41,AQ42:AQ49)</f>
        <v>0</v>
      </c>
      <c r="AR41" s="1880">
        <f>SUMIF($AD42:$AD49,$AD41,AR42:AR49)</f>
        <v>0</v>
      </c>
      <c r="AS41" s="282">
        <f>SUMIF($AD42:$AD49,$AD41,AS42:AS49)</f>
        <v>265.319769</v>
      </c>
      <c r="AT41" s="1880">
        <f>SUMIF($AD42:$AD49,$AD41,AT42:AT49)</f>
        <v>0</v>
      </c>
      <c r="AU41" s="1880">
        <f>SUMIF($AD42:$AD49,$AD41,AU42:AU49)</f>
        <v>0</v>
      </c>
      <c r="AV41" s="1880">
        <f>SUMIF($AD42:$AD49,$AD41,AV42:AV49)</f>
        <v>0</v>
      </c>
      <c r="AW41" s="1880">
        <f>SUMIF($AD42:$AD49,$AD41,AW42:AW49)</f>
        <v>0</v>
      </c>
      <c r="AX41" s="1880">
        <f>SUMIF($AD42:$AD49,$AD41,AX42:AX49)</f>
        <v>0</v>
      </c>
      <c r="AY41" s="1880">
        <f>SUMIF($AD42:$AD49,$AD41,AY42:AY49)</f>
        <v>0</v>
      </c>
      <c r="AZ41" s="1880">
        <f>SUMIF($AD42:$AD49,$AD41,AZ42:AZ49)</f>
        <v>0</v>
      </c>
      <c r="BA41" s="1880">
        <f>SUMIF($AD42:$AD49,$AD41,BA42:BA49)</f>
        <v>0</v>
      </c>
      <c r="BB41" s="1880">
        <f>SUMIF($AD42:$AD49,$AD41,BB42:BB49)</f>
        <v>0</v>
      </c>
      <c r="BC41" s="1719"/>
      <c r="BD41" s="223"/>
      <c r="BE41" s="223"/>
      <c r="BF41" s="1173" t="s">
        <v>998</v>
      </c>
      <c r="BG41" s="1192"/>
      <c r="BH41" s="1192"/>
      <c r="BI41" s="1193"/>
      <c r="BJ41" s="1193"/>
    </row>
    <row s="1632" customFormat="1" customHeight="1" ht="0">
      <c r="A42" s="1428"/>
      <c r="B42" s="927"/>
      <c r="C42" s="1428"/>
      <c r="D42" s="1428"/>
      <c r="E42" s="797">
        <v>0.2</v>
      </c>
      <c r="F42" s="922" cm="1" t="str">
        <f t="array" ref="F42:F42">F41</f>
        <v>1</v>
      </c>
      <c r="G42" s="1535"/>
      <c r="H42" s="1535"/>
      <c r="I42" s="1535"/>
      <c r="J42" s="1535"/>
      <c r="K42" s="1535"/>
      <c r="L42" s="1535"/>
      <c r="M42" s="1535"/>
      <c r="N42" s="1535"/>
      <c r="O42" s="1535"/>
      <c r="P42" s="1535"/>
      <c r="Q42" s="193"/>
      <c r="R42" s="193"/>
      <c r="S42" s="1535"/>
      <c r="T42" s="819" cm="1" t="str">
        <f t="array" ref="T42:T42">T41</f>
        <v>true</v>
      </c>
      <c r="U42" s="1443"/>
      <c r="V42" s="1443"/>
      <c r="W42" s="1443"/>
      <c r="X42" s="1443"/>
      <c r="Y42" s="1443"/>
      <c r="Z42" s="1443"/>
      <c r="AA42" s="223"/>
      <c r="AB42" s="286"/>
      <c r="AC42" s="281"/>
      <c r="AD42" s="280"/>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93"/>
      <c r="BD42" s="223"/>
      <c r="BE42" s="223"/>
      <c r="BF42" s="1173" t="str">
        <f>IF(AND(ISNUMBER(VALUE(TRIM(SUBSTITUTE(AB42,".","")))),TRIM(SUBSTITUTE(AB42,".",""))&lt;&gt;""),"P"&amp;SUBSTITUTE(AB42,".",""),"")</f>
        <v/>
      </c>
      <c r="BG42" s="1192"/>
      <c r="BH42" s="1192"/>
      <c r="BI42" s="1193"/>
      <c r="BJ42" s="1193"/>
    </row>
    <row s="1632" customFormat="1" customHeight="1" ht="14.25" hidden="1">
      <c r="A43" s="1125" t="str">
        <f>"checkCosts_1."&amp;F43&amp;"."&amp;Y43</f>
        <v>checkCosts_1.1.0</v>
      </c>
      <c r="E43" s="797">
        <v>15</v>
      </c>
      <c r="F43" s="922" cm="1" t="str">
        <f t="array" ref="F43:F43">OFFSET(G43,-1,-1)</f>
        <v>1</v>
      </c>
      <c r="H43" s="155" cm="1" t="str">
        <f t="array" ref="H43:H43">AC43</f>
        <v>0</v>
      </c>
      <c r="T43" s="923">
        <f>AND(F43&gt;0,Y43&gt;0)</f>
        <v>0</v>
      </c>
      <c r="W43" s="159" t="s">
        <v>234</v>
      </c>
      <c r="Y43" s="159">
        <v>0</v>
      </c>
      <c r="AA43" s="1536" t="s">
        <v>218</v>
      </c>
      <c r="AB43" s="288" t="str">
        <f>"1."&amp;Y43</f>
        <v>1.0</v>
      </c>
      <c r="AC43" s="463"/>
      <c r="AD43" s="280" t="s">
        <v>810</v>
      </c>
      <c r="AE43" s="1872">
        <f>AE44*AE45</f>
        <v>0</v>
      </c>
      <c r="AF43" s="1665"/>
      <c r="AG43" s="1665"/>
      <c r="AH43" s="1872">
        <f>AH44*AH45</f>
        <v>0</v>
      </c>
      <c r="AI43" s="283"/>
      <c r="AJ43" s="1665"/>
      <c r="AK43" s="1665"/>
      <c r="AL43" s="1665"/>
      <c r="AM43" s="1665"/>
      <c r="AN43" s="1665"/>
      <c r="AO43" s="1665"/>
      <c r="AP43" s="1665"/>
      <c r="AQ43" s="1665"/>
      <c r="AR43" s="1665"/>
      <c r="AS43" s="1872">
        <f>AS44*AS45</f>
        <v>0</v>
      </c>
      <c r="AT43" s="1872">
        <f>AT44*AT45</f>
        <v>0</v>
      </c>
      <c r="AU43" s="1872">
        <f>AU44*AU45</f>
        <v>0</v>
      </c>
      <c r="AV43" s="1872">
        <f>AV44*AV45</f>
        <v>0</v>
      </c>
      <c r="AW43" s="1872">
        <f>AW44*AW45</f>
        <v>0</v>
      </c>
      <c r="AX43" s="1872">
        <f>AX44*AX45</f>
        <v>0</v>
      </c>
      <c r="AY43" s="1872">
        <f>AY44*AY45</f>
        <v>0</v>
      </c>
      <c r="AZ43" s="1872">
        <f>AZ44*AZ45</f>
        <v>0</v>
      </c>
      <c r="BA43" s="1872">
        <f>BA44*BA45</f>
        <v>0</v>
      </c>
      <c r="BB43" s="1872">
        <f>BB44*BB45</f>
        <v>0</v>
      </c>
      <c r="BC43" s="1719"/>
      <c r="BF43" s="1173" t="s">
        <v>999</v>
      </c>
      <c r="BG43" s="1192" t="s">
        <v>1000</v>
      </c>
      <c r="BH43" s="1192" cm="1" t="str">
        <f t="array" ref="BH43:BH43">AC43</f>
        <v>0</v>
      </c>
      <c r="BI43" s="1193"/>
      <c r="BJ43" s="1193" t="b">
        <v>1</v>
      </c>
    </row>
    <row s="1390" customFormat="1" customHeight="1" ht="14.25" hidden="1">
      <c r="E44" s="797">
        <v>15</v>
      </c>
      <c r="F44" s="922" cm="1" t="str">
        <f t="array" ref="F44:F44">F42</f>
        <v>1</v>
      </c>
      <c r="H44" s="155" cm="1" t="str">
        <f t="array" ref="H44:H44">H43</f>
        <v>0</v>
      </c>
      <c r="T44" s="923" cm="1" t="str">
        <f t="array" ref="T44:T44">T43</f>
        <v>false</v>
      </c>
      <c r="AA44" s="1536"/>
      <c r="AB44" s="288" t="str">
        <f>AB43&amp;".1"</f>
        <v>1.0.1</v>
      </c>
      <c r="AC44" s="294" t="s">
        <v>946</v>
      </c>
      <c r="AD44" s="154" t="s">
        <v>1001</v>
      </c>
      <c r="AE44" s="61"/>
      <c r="AF44" s="335">
        <f>IF(AF45=0,0,AF43/AF45)</f>
        <v>0</v>
      </c>
      <c r="AG44" s="335">
        <f>IF(AG45=0,0,AG43/AG45)</f>
        <v>0</v>
      </c>
      <c r="AH44" s="61"/>
      <c r="AI44" s="335">
        <f>IF(AI45=0,0,AI43/AI45)</f>
        <v>0</v>
      </c>
      <c r="AJ44" s="335">
        <f>IF(AJ45=0,0,AJ43/AJ45)</f>
        <v>0</v>
      </c>
      <c r="AK44" s="335">
        <f>IF(AK45=0,0,AK43/AK45)</f>
        <v>0</v>
      </c>
      <c r="AL44" s="335">
        <f>IF(AL45=0,0,AL43/AL45)</f>
        <v>0</v>
      </c>
      <c r="AM44" s="335">
        <f>IF(AM45=0,0,AM43/AM45)</f>
        <v>0</v>
      </c>
      <c r="AN44" s="335">
        <f>IF(AN45=0,0,AN43/AN45)</f>
        <v>0</v>
      </c>
      <c r="AO44" s="335">
        <f>IF(AO45=0,0,AO43/AO45)</f>
        <v>0</v>
      </c>
      <c r="AP44" s="335">
        <f>IF(AP45=0,0,AP43/AP45)</f>
        <v>0</v>
      </c>
      <c r="AQ44" s="335">
        <f>IF(AQ45=0,0,AQ43/AQ45)</f>
        <v>0</v>
      </c>
      <c r="AR44" s="335">
        <f>IF(AR45=0,0,AR43/AR45)</f>
        <v>0</v>
      </c>
      <c r="AS44" s="283"/>
      <c r="AT44" s="61"/>
      <c r="AU44" s="61"/>
      <c r="AV44" s="61"/>
      <c r="AW44" s="61"/>
      <c r="AX44" s="61"/>
      <c r="AY44" s="61"/>
      <c r="AZ44" s="61"/>
      <c r="BA44" s="61"/>
      <c r="BB44" s="61"/>
      <c r="BC44" s="73"/>
      <c r="BF44" s="1173" t="s">
        <v>1002</v>
      </c>
      <c r="BG44" s="1192" t="s">
        <v>1000</v>
      </c>
      <c r="BH44" s="1192" cm="1" t="str">
        <f t="array" ref="BH44:BH44">BH43</f>
        <v>0</v>
      </c>
      <c r="BI44" s="1193"/>
      <c r="BJ44" s="1193"/>
    </row>
    <row s="1632" customFormat="1" customHeight="1" ht="14.25" hidden="1">
      <c r="A45" s="1125" t="str">
        <f>"checkVolume_1."&amp;F45&amp;"."&amp;Y43</f>
        <v>checkVolume_1.1.0</v>
      </c>
      <c r="E45" s="797">
        <v>15</v>
      </c>
      <c r="F45" s="922" cm="1" t="str">
        <f t="array" ref="F45:F45">F43</f>
        <v>1</v>
      </c>
      <c r="H45" s="155" cm="1" t="str">
        <f t="array" ref="H45:H45">H43</f>
        <v>0</v>
      </c>
      <c r="T45" s="923" cm="1" t="str">
        <f t="array" ref="T45:T45">T43</f>
        <v>false</v>
      </c>
      <c r="AA45" s="1536"/>
      <c r="AB45" s="288" t="str">
        <f>AB43&amp;".2"</f>
        <v>1.0.2</v>
      </c>
      <c r="AC45" s="294" t="s">
        <v>1003</v>
      </c>
      <c r="AD45" s="154" t="s">
        <v>1004</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3"/>
      <c r="BF45" s="1173" t="s">
        <v>1005</v>
      </c>
      <c r="BG45" s="1192" t="s">
        <v>1000</v>
      </c>
      <c r="BH45" s="1192" cm="1" t="str">
        <f t="array" ref="BH45:BH45">BH43</f>
        <v>0</v>
      </c>
      <c r="BI45" s="1193"/>
      <c r="BJ45" s="1193"/>
    </row>
    <row s="1632" customFormat="1" customHeight="1" ht="14.25">
      <c r="A46" s="1125" t="str">
        <f>"checkCosts_1."&amp;F46&amp;"."&amp;Y46</f>
        <v>checkCosts_1.1.1</v>
      </c>
      <c r="B46" s="1632"/>
      <c r="C46" s="1632"/>
      <c r="D46" s="1632"/>
      <c r="E46" s="797">
        <v>15</v>
      </c>
      <c r="F46" s="922" cm="1" t="str">
        <f t="array" ref="F46:F46">OFFSET(G46,-1,-1)</f>
        <v>1</v>
      </c>
      <c r="G46" s="1632"/>
      <c r="H46" s="155" cm="1" t="str">
        <f t="array" ref="H46:H46">AC46</f>
        <v>ООО "Энергоресурс"::4205284720::420501001</v>
      </c>
      <c r="I46" s="1632"/>
      <c r="J46" s="1632"/>
      <c r="K46" s="1632"/>
      <c r="L46" s="1632"/>
      <c r="M46" s="1632"/>
      <c r="N46" s="1632"/>
      <c r="O46" s="1632"/>
      <c r="P46" s="1632"/>
      <c r="Q46" s="1632"/>
      <c r="R46" s="1632"/>
      <c r="S46" s="1632"/>
      <c r="T46" s="923">
        <f>AND(F46&gt;0,Y46&gt;0)</f>
        <v>1</v>
      </c>
      <c r="U46" s="1632"/>
      <c r="V46" s="1632"/>
      <c r="W46" s="159"/>
      <c r="X46" s="1632"/>
      <c r="Y46" s="159" t="s">
        <v>336</v>
      </c>
      <c r="Z46" s="1632"/>
      <c r="AA46" s="1536" t="s">
        <v>218</v>
      </c>
      <c r="AB46" s="288" t="str">
        <f>"1."&amp;Y46</f>
        <v>1.1</v>
      </c>
      <c r="AC46" s="463" t="s">
        <v>1016</v>
      </c>
      <c r="AD46" s="280" t="s">
        <v>810</v>
      </c>
      <c r="AE46" s="1872">
        <f>AE47*AE48</f>
        <v>265.11205</v>
      </c>
      <c r="AF46" s="1665">
        <v>265.12</v>
      </c>
      <c r="AG46" s="1665">
        <v>283.72</v>
      </c>
      <c r="AH46" s="1872">
        <f>AH47*AH48</f>
        <v>254.7558</v>
      </c>
      <c r="AI46" s="283">
        <v>277.96</v>
      </c>
      <c r="AJ46" s="1665"/>
      <c r="AK46" s="1665"/>
      <c r="AL46" s="1665"/>
      <c r="AM46" s="1665"/>
      <c r="AN46" s="1665"/>
      <c r="AO46" s="1665"/>
      <c r="AP46" s="1665"/>
      <c r="AQ46" s="1665"/>
      <c r="AR46" s="1665"/>
      <c r="AS46" s="1872">
        <f>AS47*AS48</f>
        <v>265.319769</v>
      </c>
      <c r="AT46" s="1872">
        <f>AT47*AT48</f>
        <v>0</v>
      </c>
      <c r="AU46" s="1872">
        <f>AU47*AU48</f>
        <v>0</v>
      </c>
      <c r="AV46" s="1872">
        <f>AV47*AV48</f>
        <v>0</v>
      </c>
      <c r="AW46" s="1872">
        <f>AW47*AW48</f>
        <v>0</v>
      </c>
      <c r="AX46" s="1872">
        <f>AX47*AX48</f>
        <v>0</v>
      </c>
      <c r="AY46" s="1872">
        <f>AY47*AY48</f>
        <v>0</v>
      </c>
      <c r="AZ46" s="1872">
        <f>AZ47*AZ48</f>
        <v>0</v>
      </c>
      <c r="BA46" s="1872">
        <f>BA47*BA48</f>
        <v>0</v>
      </c>
      <c r="BB46" s="1872">
        <f>BB47*BB48</f>
        <v>0</v>
      </c>
      <c r="BC46" s="1719"/>
      <c r="BD46" s="1632"/>
      <c r="BE46" s="1632"/>
      <c r="BF46" s="1173" t="s">
        <v>999</v>
      </c>
      <c r="BG46" s="1192" t="s">
        <v>1000</v>
      </c>
      <c r="BH46" s="1192" cm="1" t="str">
        <f t="array" ref="BH46:BH46">AC46</f>
        <v>ООО "Энергоресурс"::4205284720::420501001</v>
      </c>
      <c r="BI46" s="1193"/>
      <c r="BJ46" s="1193" t="b">
        <v>1</v>
      </c>
    </row>
    <row s="1390" customFormat="1" customHeight="1" ht="14.25">
      <c r="A47" s="1390"/>
      <c r="B47" s="1390"/>
      <c r="C47" s="1390"/>
      <c r="D47" s="1390"/>
      <c r="E47" s="797">
        <v>15</v>
      </c>
      <c r="F47" s="922" cm="1" t="str">
        <f t="array" ref="F47:F47">F45</f>
        <v>1</v>
      </c>
      <c r="G47" s="1390"/>
      <c r="H47" s="155" cm="1" t="str">
        <f t="array" ref="H47:H47">H46</f>
        <v>ООО "Энергоресурс"::4205284720::420501001</v>
      </c>
      <c r="I47" s="1390"/>
      <c r="J47" s="1390"/>
      <c r="K47" s="1390"/>
      <c r="L47" s="1390"/>
      <c r="M47" s="1390"/>
      <c r="N47" s="1390"/>
      <c r="O47" s="1390"/>
      <c r="P47" s="1390"/>
      <c r="Q47" s="1390"/>
      <c r="R47" s="1390"/>
      <c r="S47" s="1390"/>
      <c r="T47" s="923" cm="1" t="str">
        <f t="array" ref="T47:T47">T46</f>
        <v>true</v>
      </c>
      <c r="U47" s="1390"/>
      <c r="V47" s="1390"/>
      <c r="W47" s="1390"/>
      <c r="X47" s="1390"/>
      <c r="Y47" s="1390"/>
      <c r="Z47" s="1390"/>
      <c r="AA47" s="1536"/>
      <c r="AB47" s="288" t="str">
        <f>AB46&amp;".1"</f>
        <v>1.1.1</v>
      </c>
      <c r="AC47" s="294" t="s">
        <v>946</v>
      </c>
      <c r="AD47" s="154" t="s">
        <v>1001</v>
      </c>
      <c r="AE47" s="1665">
        <v>60.25</v>
      </c>
      <c r="AF47" s="335">
        <f>IF(AF48=0,0,AF46/AF48)</f>
        <v>66.28</v>
      </c>
      <c r="AG47" s="335">
        <f>IF(AG48=0,0,AG46/AG48)</f>
        <v>64.3356009070295</v>
      </c>
      <c r="AH47" s="1665">
        <v>66.69</v>
      </c>
      <c r="AI47" s="335">
        <f>IF(AI48=0,0,AI46/AI48)</f>
        <v>69.49</v>
      </c>
      <c r="AJ47" s="335">
        <f>IF(AJ48=0,0,AJ46/AJ48)</f>
        <v>0</v>
      </c>
      <c r="AK47" s="335">
        <f>IF(AK48=0,0,AK46/AK48)</f>
        <v>0</v>
      </c>
      <c r="AL47" s="335">
        <f>IF(AL48=0,0,AL46/AL48)</f>
        <v>0</v>
      </c>
      <c r="AM47" s="335">
        <f>IF(AM48=0,0,AM46/AM48)</f>
        <v>0</v>
      </c>
      <c r="AN47" s="335">
        <f>IF(AN48=0,0,AN46/AN48)</f>
        <v>0</v>
      </c>
      <c r="AO47" s="335">
        <f>IF(AO48=0,0,AO46/AO48)</f>
        <v>0</v>
      </c>
      <c r="AP47" s="335">
        <f>IF(AP48=0,0,AP46/AP48)</f>
        <v>0</v>
      </c>
      <c r="AQ47" s="335">
        <f>IF(AQ48=0,0,AQ46/AQ48)</f>
        <v>0</v>
      </c>
      <c r="AR47" s="335">
        <f>IF(AR48=0,0,AR46/AR48)</f>
        <v>0</v>
      </c>
      <c r="AS47" s="283">
        <v>69.49</v>
      </c>
      <c r="AT47" s="1665"/>
      <c r="AU47" s="1665"/>
      <c r="AV47" s="1665"/>
      <c r="AW47" s="1665"/>
      <c r="AX47" s="1665"/>
      <c r="AY47" s="1665"/>
      <c r="AZ47" s="1665"/>
      <c r="BA47" s="1665"/>
      <c r="BB47" s="1665"/>
      <c r="BC47" s="1719"/>
      <c r="BD47" s="1390"/>
      <c r="BE47" s="1390"/>
      <c r="BF47" s="1173" t="s">
        <v>1002</v>
      </c>
      <c r="BG47" s="1192" t="s">
        <v>1000</v>
      </c>
      <c r="BH47" s="1192" cm="1" t="str">
        <f t="array" ref="BH47:BH47">BH46</f>
        <v>ООО "Энергоресурс"::4205284720::420501001</v>
      </c>
      <c r="BI47" s="1193"/>
      <c r="BJ47" s="1193"/>
    </row>
    <row s="1632" customFormat="1" customHeight="1" ht="14.25">
      <c r="A48" s="1125" t="str">
        <f>"checkVolume_1."&amp;F48&amp;"."&amp;Y46</f>
        <v>checkVolume_1.1.1</v>
      </c>
      <c r="B48" s="1632"/>
      <c r="C48" s="1632"/>
      <c r="D48" s="1632"/>
      <c r="E48" s="797">
        <v>15</v>
      </c>
      <c r="F48" s="922" cm="1" t="str">
        <f t="array" ref="F48:F48">F46</f>
        <v>1</v>
      </c>
      <c r="G48" s="1632"/>
      <c r="H48" s="155" cm="1" t="str">
        <f t="array" ref="H48:H48">H46</f>
        <v>ООО "Энергоресурс"::4205284720::420501001</v>
      </c>
      <c r="I48" s="1632"/>
      <c r="J48" s="1632"/>
      <c r="K48" s="1632"/>
      <c r="L48" s="1632"/>
      <c r="M48" s="1632"/>
      <c r="N48" s="1632"/>
      <c r="O48" s="1632"/>
      <c r="P48" s="1632"/>
      <c r="Q48" s="1632"/>
      <c r="R48" s="1632"/>
      <c r="S48" s="1632"/>
      <c r="T48" s="923" cm="1" t="str">
        <f t="array" ref="T48:T48">T46</f>
        <v>true</v>
      </c>
      <c r="U48" s="1632"/>
      <c r="V48" s="1632"/>
      <c r="W48" s="1632"/>
      <c r="X48" s="1632"/>
      <c r="Y48" s="1632"/>
      <c r="Z48" s="1632"/>
      <c r="AA48" s="1536"/>
      <c r="AB48" s="288" t="str">
        <f>AB46&amp;".2"</f>
        <v>1.1.2</v>
      </c>
      <c r="AC48" s="294" t="s">
        <v>1003</v>
      </c>
      <c r="AD48" s="154" t="s">
        <v>1004</v>
      </c>
      <c r="AE48" s="1665">
        <v>4.4002</v>
      </c>
      <c r="AF48" s="1665">
        <v>4</v>
      </c>
      <c r="AG48" s="1665">
        <v>4.41</v>
      </c>
      <c r="AH48" s="1665">
        <v>3.82</v>
      </c>
      <c r="AI48" s="283">
        <v>4</v>
      </c>
      <c r="AJ48" s="1665"/>
      <c r="AK48" s="1665"/>
      <c r="AL48" s="1665"/>
      <c r="AM48" s="1665"/>
      <c r="AN48" s="1665"/>
      <c r="AO48" s="1665"/>
      <c r="AP48" s="1665"/>
      <c r="AQ48" s="1665"/>
      <c r="AR48" s="1665"/>
      <c r="AS48" s="283">
        <v>3.8181</v>
      </c>
      <c r="AT48" s="1665"/>
      <c r="AU48" s="1665"/>
      <c r="AV48" s="1665"/>
      <c r="AW48" s="1665"/>
      <c r="AX48" s="1665"/>
      <c r="AY48" s="1665"/>
      <c r="AZ48" s="1665"/>
      <c r="BA48" s="1665"/>
      <c r="BB48" s="1665"/>
      <c r="BC48" s="1719"/>
      <c r="BD48" s="1632"/>
      <c r="BE48" s="1632"/>
      <c r="BF48" s="1173" t="s">
        <v>1005</v>
      </c>
      <c r="BG48" s="1192" t="s">
        <v>1000</v>
      </c>
      <c r="BH48" s="1192" cm="1" t="str">
        <f t="array" ref="BH48:BH48">BH46</f>
        <v>ООО "Энергоресурс"::4205284720::420501001</v>
      </c>
      <c r="BI48" s="1193"/>
      <c r="BJ48" s="1193"/>
    </row>
    <row s="1632" customFormat="1" customHeight="1" ht="14.25">
      <c r="A49" s="1428"/>
      <c r="B49" s="927"/>
      <c r="C49" s="1428"/>
      <c r="D49" s="1428"/>
      <c r="E49" s="797">
        <v>15</v>
      </c>
      <c r="F49" s="922" cm="1" t="str">
        <f t="array" ref="F49:F49">F42</f>
        <v>1</v>
      </c>
      <c r="G49" s="1535"/>
      <c r="H49" s="1535"/>
      <c r="I49" s="1535"/>
      <c r="J49" s="1535"/>
      <c r="K49" s="1535"/>
      <c r="L49" s="1535"/>
      <c r="M49" s="1535"/>
      <c r="N49" s="1535"/>
      <c r="O49" s="1535"/>
      <c r="P49" s="1535"/>
      <c r="Q49" s="193"/>
      <c r="R49" s="193"/>
      <c r="S49" s="1535"/>
      <c r="T49" s="819">
        <f>F49&gt;0</f>
        <v>1</v>
      </c>
      <c r="U49" s="1443"/>
      <c r="V49" s="1443"/>
      <c r="W49" s="374" t="s">
        <v>1006</v>
      </c>
      <c r="X49" s="1443"/>
      <c r="Y49" s="1443"/>
      <c r="Z49" s="1443"/>
      <c r="AA49" s="223"/>
      <c r="AB49" s="302"/>
      <c r="AC49" s="303" t="s">
        <v>982</v>
      </c>
      <c r="AD49" s="303"/>
      <c r="AE49" s="303"/>
      <c r="AF49" s="303"/>
      <c r="AG49" s="303"/>
      <c r="AH49" s="303"/>
      <c r="AI49" s="303"/>
      <c r="AJ49" s="303"/>
      <c r="AK49" s="303"/>
      <c r="AL49" s="303"/>
      <c r="AM49" s="303"/>
      <c r="AN49" s="303"/>
      <c r="AO49" s="303"/>
      <c r="AP49" s="303"/>
      <c r="AQ49" s="303"/>
      <c r="AR49" s="303"/>
      <c r="AS49" s="303"/>
      <c r="AT49" s="303"/>
      <c r="AU49" s="303"/>
      <c r="AV49" s="303"/>
      <c r="AW49" s="303"/>
      <c r="AX49" s="303"/>
      <c r="AY49" s="303"/>
      <c r="AZ49" s="303"/>
      <c r="BA49" s="303"/>
      <c r="BB49" s="303"/>
      <c r="BC49" s="1101"/>
      <c r="BD49" s="223"/>
      <c r="BE49" s="223"/>
      <c r="BF49" s="1173" t="str">
        <f>IF(AND(ISNUMBER(VALUE(TRIM(SUBSTITUTE(AB49,".","")))),TRIM(SUBSTITUTE(AB49,".",""))&lt;&gt;""),"P"&amp;SUBSTITUTE(AB49,".",""),"")</f>
        <v/>
      </c>
      <c r="BG49" s="1192"/>
      <c r="BH49" s="1192"/>
      <c r="BI49" s="1193" t="s">
        <v>1000</v>
      </c>
      <c r="BJ49" s="1193"/>
    </row>
    <row s="1632" customFormat="1" customHeight="1" ht="14.25">
      <c r="A50" s="1428"/>
      <c r="B50" s="927"/>
      <c r="C50" s="1428"/>
      <c r="D50" s="1428"/>
      <c r="E50" s="797">
        <v>15</v>
      </c>
      <c r="F50" s="922" cm="1" t="str">
        <f t="array" ref="F50:F50">F49</f>
        <v>1</v>
      </c>
      <c r="G50" s="193" t="s">
        <v>1007</v>
      </c>
      <c r="H50" s="1535"/>
      <c r="I50" s="1535"/>
      <c r="J50" s="1535"/>
      <c r="K50" s="1535"/>
      <c r="L50" s="1535"/>
      <c r="M50" s="1535"/>
      <c r="N50" s="1535"/>
      <c r="O50" s="1535"/>
      <c r="P50" s="1535"/>
      <c r="Q50" s="193"/>
      <c r="R50" s="193"/>
      <c r="S50" s="1535"/>
      <c r="T50" s="819">
        <f>F50&gt;0</f>
        <v>1</v>
      </c>
      <c r="U50" s="1443"/>
      <c r="V50" s="1443"/>
      <c r="W50" s="1443"/>
      <c r="X50" s="1443"/>
      <c r="Y50" s="1443"/>
      <c r="Z50" s="1443"/>
      <c r="AA50" s="223"/>
      <c r="AB50" s="286">
        <v>2</v>
      </c>
      <c r="AC50" s="281" t="s">
        <v>1008</v>
      </c>
      <c r="AD50" s="280" t="s">
        <v>810</v>
      </c>
      <c r="AE50" s="282">
        <f>SUMIF($AD51:$AD55,$AD50,AE51:AE55)</f>
        <v>0</v>
      </c>
      <c r="AF50" s="282">
        <f>SUMIF($AD51:$AD55,$AD50,AF51:AF55)</f>
        <v>0</v>
      </c>
      <c r="AG50" s="282">
        <f>SUMIF($AD51:$AD55,$AD50,AG51:AG55)</f>
        <v>0</v>
      </c>
      <c r="AH50" s="282">
        <f>SUMIF($AD51:$AD55,$AD50,AH51:AH55)</f>
        <v>0</v>
      </c>
      <c r="AI50" s="282">
        <f>SUMIF($AD51:$AD55,$AD50,AI51:AI55)</f>
        <v>0</v>
      </c>
      <c r="AJ50" s="1880">
        <f>SUMIF($AD51:$AD55,$AD50,AJ51:AJ55)</f>
        <v>0</v>
      </c>
      <c r="AK50" s="1880">
        <f>SUMIF($AD51:$AD55,$AD50,AK51:AK55)</f>
        <v>0</v>
      </c>
      <c r="AL50" s="1880">
        <f>SUMIF($AD51:$AD55,$AD50,AL51:AL55)</f>
        <v>0</v>
      </c>
      <c r="AM50" s="1880">
        <f>SUMIF($AD51:$AD55,$AD50,AM51:AM55)</f>
        <v>0</v>
      </c>
      <c r="AN50" s="1880">
        <f>SUMIF($AD51:$AD55,$AD50,AN51:AN55)</f>
        <v>0</v>
      </c>
      <c r="AO50" s="1880">
        <f>SUMIF($AD51:$AD55,$AD50,AO51:AO55)</f>
        <v>0</v>
      </c>
      <c r="AP50" s="1880">
        <f>SUMIF($AD51:$AD55,$AD50,AP51:AP55)</f>
        <v>0</v>
      </c>
      <c r="AQ50" s="1880">
        <f>SUMIF($AD51:$AD55,$AD50,AQ51:AQ55)</f>
        <v>0</v>
      </c>
      <c r="AR50" s="1880">
        <f>SUMIF($AD51:$AD55,$AD50,AR51:AR55)</f>
        <v>0</v>
      </c>
      <c r="AS50" s="282">
        <f>SUMIF($AD51:$AD55,$AD50,AS51:AS55)</f>
        <v>0</v>
      </c>
      <c r="AT50" s="1880">
        <f>SUMIF($AD51:$AD55,$AD50,AT51:AT55)</f>
        <v>0</v>
      </c>
      <c r="AU50" s="1880">
        <f>SUMIF($AD51:$AD55,$AD50,AU51:AU55)</f>
        <v>0</v>
      </c>
      <c r="AV50" s="1880">
        <f>SUMIF($AD51:$AD55,$AD50,AV51:AV55)</f>
        <v>0</v>
      </c>
      <c r="AW50" s="1880">
        <f>SUMIF($AD51:$AD55,$AD50,AW51:AW55)</f>
        <v>0</v>
      </c>
      <c r="AX50" s="1880">
        <f>SUMIF($AD51:$AD55,$AD50,AX51:AX55)</f>
        <v>0</v>
      </c>
      <c r="AY50" s="1880">
        <f>SUMIF($AD51:$AD55,$AD50,AY51:AY55)</f>
        <v>0</v>
      </c>
      <c r="AZ50" s="1880">
        <f>SUMIF($AD51:$AD55,$AD50,AZ51:AZ55)</f>
        <v>0</v>
      </c>
      <c r="BA50" s="1880">
        <f>SUMIF($AD51:$AD55,$AD50,BA51:BA55)</f>
        <v>0</v>
      </c>
      <c r="BB50" s="1880">
        <f>SUMIF($AD51:$AD55,$AD50,BB51:BB55)</f>
        <v>0</v>
      </c>
      <c r="BC50" s="1719"/>
      <c r="BD50" s="223"/>
      <c r="BE50" s="223"/>
      <c r="BF50" s="1173" t="s">
        <v>1009</v>
      </c>
      <c r="BG50" s="1192"/>
      <c r="BH50" s="1192"/>
      <c r="BI50" s="1193"/>
      <c r="BJ50" s="1193"/>
    </row>
    <row s="1632" customFormat="1" customHeight="1" ht="0">
      <c r="A51" s="1428"/>
      <c r="B51" s="927"/>
      <c r="C51" s="1428"/>
      <c r="D51" s="1428"/>
      <c r="E51" s="797">
        <v>0.2</v>
      </c>
      <c r="F51" s="922" cm="1" t="str">
        <f t="array" ref="F51:F51">OFFSET(G51,-1,-1)</f>
        <v>1</v>
      </c>
      <c r="G51" s="1535"/>
      <c r="H51" s="1535"/>
      <c r="I51" s="1535"/>
      <c r="J51" s="1535"/>
      <c r="K51" s="1535"/>
      <c r="L51" s="1535"/>
      <c r="M51" s="1535"/>
      <c r="N51" s="1535"/>
      <c r="O51" s="1535"/>
      <c r="P51" s="1535"/>
      <c r="Q51" s="193"/>
      <c r="R51" s="193"/>
      <c r="S51" s="1535"/>
      <c r="T51" s="819">
        <f>F51&gt;0</f>
        <v>1</v>
      </c>
      <c r="U51" s="1443"/>
      <c r="V51" s="1443"/>
      <c r="W51" s="1443"/>
      <c r="X51" s="1443"/>
      <c r="Y51" s="1443"/>
      <c r="Z51" s="1443"/>
      <c r="AA51" s="223"/>
      <c r="AB51" s="286"/>
      <c r="AC51" s="281"/>
      <c r="AD51" s="280"/>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93"/>
      <c r="BD51" s="223"/>
      <c r="BE51" s="223"/>
      <c r="BF51" s="1173" t="str">
        <f>IF(AND(ISNUMBER(VALUE(TRIM(SUBSTITUTE(AB51,".","")))),TRIM(SUBSTITUTE(AB51,".",""))&lt;&gt;""),"P"&amp;SUBSTITUTE(AB51,".",""),"")</f>
        <v/>
      </c>
      <c r="BG51" s="1192"/>
      <c r="BH51" s="1192"/>
      <c r="BI51" s="1193"/>
      <c r="BJ51" s="1193"/>
    </row>
    <row s="1632" customFormat="1" customHeight="1" ht="14.25" hidden="1">
      <c r="A52" s="1125" t="str">
        <f>"checkCosts_2."&amp;F52&amp;"."&amp;Y52</f>
        <v>checkCosts_2.1.0</v>
      </c>
      <c r="B52" s="927"/>
      <c r="C52" s="1428"/>
      <c r="D52" s="1428"/>
      <c r="E52" s="797">
        <v>15</v>
      </c>
      <c r="F52" s="922" cm="1" t="str">
        <f t="array" ref="F52:F52">OFFSET(G52,-1,-1)</f>
        <v>1</v>
      </c>
      <c r="G52" s="1535"/>
      <c r="H52" s="155" cm="1" t="str">
        <f t="array" ref="H52:H52">AC52</f>
        <v>0</v>
      </c>
      <c r="I52" s="1535"/>
      <c r="J52" s="1535"/>
      <c r="K52" s="1535"/>
      <c r="L52" s="1535"/>
      <c r="M52" s="1535"/>
      <c r="N52" s="1535"/>
      <c r="O52" s="1535"/>
      <c r="P52" s="1535"/>
      <c r="Q52" s="193"/>
      <c r="R52" s="193"/>
      <c r="S52" s="1535"/>
      <c r="T52" s="923">
        <f>AND(F52&gt;0,Y52&gt;0)</f>
        <v>0</v>
      </c>
      <c r="U52" s="1443"/>
      <c r="V52" s="1443"/>
      <c r="W52" s="159" t="s">
        <v>234</v>
      </c>
      <c r="X52" s="1443"/>
      <c r="Y52" s="159">
        <v>0</v>
      </c>
      <c r="Z52" s="1443"/>
      <c r="AA52" s="1536" t="s">
        <v>218</v>
      </c>
      <c r="AB52" s="288" t="str">
        <f>"2."&amp;Y52</f>
        <v>2.0</v>
      </c>
      <c r="AC52" s="463"/>
      <c r="AD52" s="280" t="s">
        <v>810</v>
      </c>
      <c r="AE52" s="1872">
        <f>AE53*AE54</f>
        <v>0</v>
      </c>
      <c r="AF52" s="1665"/>
      <c r="AG52" s="1665"/>
      <c r="AH52" s="1872">
        <f>AH53*AH54</f>
        <v>0</v>
      </c>
      <c r="AI52" s="1665"/>
      <c r="AJ52" s="1665"/>
      <c r="AK52" s="1665"/>
      <c r="AL52" s="1665"/>
      <c r="AM52" s="1665"/>
      <c r="AN52" s="1665"/>
      <c r="AO52" s="1665"/>
      <c r="AP52" s="1665"/>
      <c r="AQ52" s="1665"/>
      <c r="AR52" s="1665"/>
      <c r="AS52" s="1872">
        <f>AS53*AS54</f>
        <v>0</v>
      </c>
      <c r="AT52" s="1872">
        <f>AT53*AT54</f>
        <v>0</v>
      </c>
      <c r="AU52" s="1872">
        <f>AU53*AU54</f>
        <v>0</v>
      </c>
      <c r="AV52" s="1872">
        <f>AV53*AV54</f>
        <v>0</v>
      </c>
      <c r="AW52" s="1872">
        <f>AW53*AW54</f>
        <v>0</v>
      </c>
      <c r="AX52" s="1872">
        <f>AX53*AX54</f>
        <v>0</v>
      </c>
      <c r="AY52" s="1872">
        <f>AY53*AY54</f>
        <v>0</v>
      </c>
      <c r="AZ52" s="1872">
        <f>AZ53*AZ54</f>
        <v>0</v>
      </c>
      <c r="BA52" s="1872">
        <f>BA53*BA54</f>
        <v>0</v>
      </c>
      <c r="BB52" s="1872">
        <f>BB53*BB54</f>
        <v>0</v>
      </c>
      <c r="BC52" s="1719"/>
      <c r="BD52" s="223"/>
      <c r="BE52" s="223"/>
      <c r="BF52" s="1173" t="s">
        <v>1010</v>
      </c>
      <c r="BG52" s="1192" t="s">
        <v>1011</v>
      </c>
      <c r="BH52" s="1192" cm="1" t="str">
        <f t="array" ref="BH52:BH52">AC52</f>
        <v>0</v>
      </c>
      <c r="BI52" s="1193"/>
      <c r="BJ52" s="1193" t="b">
        <v>1</v>
      </c>
    </row>
    <row s="1390" customFormat="1" customHeight="1" ht="14.25" hidden="1">
      <c r="A53" s="1390"/>
      <c r="B53" s="1390"/>
      <c r="C53" s="1390"/>
      <c r="D53" s="1390"/>
      <c r="E53" s="797">
        <v>15</v>
      </c>
      <c r="F53" s="922" cm="1" t="str">
        <f t="array" ref="F53:F53">OFFSET(G53,-1,-1)</f>
        <v>1</v>
      </c>
      <c r="G53" s="1390"/>
      <c r="H53" s="155" cm="1" t="str">
        <f t="array" ref="H53:H53">H52</f>
        <v>0</v>
      </c>
      <c r="I53" s="1390"/>
      <c r="J53" s="1390"/>
      <c r="K53" s="1390"/>
      <c r="L53" s="1390"/>
      <c r="M53" s="1390"/>
      <c r="N53" s="1390"/>
      <c r="O53" s="1390"/>
      <c r="P53" s="1390"/>
      <c r="Q53" s="1390"/>
      <c r="R53" s="1390"/>
      <c r="S53" s="1390"/>
      <c r="T53" s="923" cm="1" t="str">
        <f t="array" ref="T53:T53">T52</f>
        <v>false</v>
      </c>
      <c r="U53" s="1390"/>
      <c r="V53" s="1390"/>
      <c r="W53" s="1390"/>
      <c r="X53" s="1390"/>
      <c r="Y53" s="1390"/>
      <c r="Z53" s="1390"/>
      <c r="AA53" s="1536"/>
      <c r="AB53" s="288" t="str">
        <f>AB52&amp;".1"</f>
        <v>2.0.1</v>
      </c>
      <c r="AC53" s="294" t="s">
        <v>946</v>
      </c>
      <c r="AD53" s="154" t="s">
        <v>1001</v>
      </c>
      <c r="AE53" s="61"/>
      <c r="AF53" s="335">
        <f>IF(AF54=0,0,AF52/AF54)</f>
        <v>0</v>
      </c>
      <c r="AG53" s="335">
        <f>IF(AG54=0,0,AG52/AG54)</f>
        <v>0</v>
      </c>
      <c r="AH53" s="61"/>
      <c r="AI53" s="335">
        <f>IF(AI54=0,0,AI52/AI54)</f>
        <v>0</v>
      </c>
      <c r="AJ53" s="335">
        <f>IF(AJ54=0,0,AJ52/AJ54)</f>
        <v>0</v>
      </c>
      <c r="AK53" s="335">
        <f>IF(AK54=0,0,AK52/AK54)</f>
        <v>0</v>
      </c>
      <c r="AL53" s="335">
        <f>IF(AL54=0,0,AL52/AL54)</f>
        <v>0</v>
      </c>
      <c r="AM53" s="335">
        <f>IF(AM54=0,0,AM52/AM54)</f>
        <v>0</v>
      </c>
      <c r="AN53" s="335">
        <f>IF(AN54=0,0,AN52/AN54)</f>
        <v>0</v>
      </c>
      <c r="AO53" s="335">
        <f>IF(AO54=0,0,AO52/AO54)</f>
        <v>0</v>
      </c>
      <c r="AP53" s="335">
        <f>IF(AP54=0,0,AP52/AP54)</f>
        <v>0</v>
      </c>
      <c r="AQ53" s="335">
        <f>IF(AQ54=0,0,AQ52/AQ54)</f>
        <v>0</v>
      </c>
      <c r="AR53" s="335">
        <f>IF(AR54=0,0,AR52/AR54)</f>
        <v>0</v>
      </c>
      <c r="AS53" s="1665"/>
      <c r="AT53" s="61"/>
      <c r="AU53" s="61"/>
      <c r="AV53" s="61"/>
      <c r="AW53" s="61"/>
      <c r="AX53" s="61"/>
      <c r="AY53" s="61"/>
      <c r="AZ53" s="61"/>
      <c r="BA53" s="61"/>
      <c r="BB53" s="61"/>
      <c r="BC53" s="73"/>
      <c r="BD53" s="1390"/>
      <c r="BE53" s="1390"/>
      <c r="BF53" s="1173" t="s">
        <v>1012</v>
      </c>
      <c r="BG53" s="1192" t="s">
        <v>1011</v>
      </c>
      <c r="BH53" s="1192" cm="1" t="str">
        <f t="array" ref="BH53:BH53">BH52</f>
        <v>0</v>
      </c>
      <c r="BI53" s="1193"/>
      <c r="BJ53" s="1193"/>
    </row>
    <row s="1632" customFormat="1" customHeight="1" ht="14.25" hidden="1">
      <c r="A54" s="1125" t="str">
        <f>"checkVolume_2."&amp;F54&amp;"."&amp;Y52</f>
        <v>checkVolume_2.1.0</v>
      </c>
      <c r="B54" s="927"/>
      <c r="C54" s="1428"/>
      <c r="D54" s="1428"/>
      <c r="E54" s="797">
        <v>15</v>
      </c>
      <c r="F54" s="922" cm="1" t="str">
        <f t="array" ref="F54:F54">OFFSET(G54,-1,-1)</f>
        <v>1</v>
      </c>
      <c r="G54" s="1535"/>
      <c r="H54" s="155" cm="1" t="str">
        <f t="array" ref="H54:H54">H52</f>
        <v>0</v>
      </c>
      <c r="I54" s="1535"/>
      <c r="J54" s="1535"/>
      <c r="K54" s="1535"/>
      <c r="L54" s="1535"/>
      <c r="M54" s="1535"/>
      <c r="N54" s="1535"/>
      <c r="O54" s="1535"/>
      <c r="P54" s="1535"/>
      <c r="Q54" s="193"/>
      <c r="R54" s="193"/>
      <c r="S54" s="1535"/>
      <c r="T54" s="923" cm="1" t="str">
        <f t="array" ref="T54:T54">T52</f>
        <v>false</v>
      </c>
      <c r="U54" s="1443"/>
      <c r="V54" s="1443"/>
      <c r="W54" s="1443"/>
      <c r="X54" s="1443"/>
      <c r="Y54" s="1443"/>
      <c r="Z54" s="1443"/>
      <c r="AA54" s="1536"/>
      <c r="AB54" s="288" t="str">
        <f>AB52&amp;".2"</f>
        <v>2.0.2</v>
      </c>
      <c r="AC54" s="294" t="s">
        <v>1013</v>
      </c>
      <c r="AD54" s="154" t="s">
        <v>1004</v>
      </c>
      <c r="AE54" s="61"/>
      <c r="AF54" s="61"/>
      <c r="AG54" s="61"/>
      <c r="AH54" s="61"/>
      <c r="AI54" s="1665"/>
      <c r="AJ54" s="61"/>
      <c r="AK54" s="61"/>
      <c r="AL54" s="61"/>
      <c r="AM54" s="61"/>
      <c r="AN54" s="61"/>
      <c r="AO54" s="61"/>
      <c r="AP54" s="61"/>
      <c r="AQ54" s="61"/>
      <c r="AR54" s="61"/>
      <c r="AS54" s="1665"/>
      <c r="AT54" s="61"/>
      <c r="AU54" s="61"/>
      <c r="AV54" s="61"/>
      <c r="AW54" s="61"/>
      <c r="AX54" s="61"/>
      <c r="AY54" s="61"/>
      <c r="AZ54" s="61"/>
      <c r="BA54" s="61"/>
      <c r="BB54" s="61"/>
      <c r="BC54" s="73"/>
      <c r="BD54" s="223"/>
      <c r="BE54" s="223"/>
      <c r="BF54" s="1173" t="s">
        <v>1014</v>
      </c>
      <c r="BG54" s="1192" t="s">
        <v>1011</v>
      </c>
      <c r="BH54" s="1192" cm="1" t="str">
        <f t="array" ref="BH54:BH54">BH52</f>
        <v>0</v>
      </c>
      <c r="BI54" s="1193"/>
      <c r="BJ54" s="1193"/>
    </row>
    <row s="1632" customFormat="1" customHeight="1" ht="14.25">
      <c r="A55" s="1428"/>
      <c r="B55" s="927"/>
      <c r="C55" s="1428"/>
      <c r="D55" s="1428"/>
      <c r="E55" s="797">
        <v>15</v>
      </c>
      <c r="F55" s="922" cm="1" t="str">
        <f t="array" ref="F55:F55">OFFSET(G55,-1,-1)</f>
        <v>1</v>
      </c>
      <c r="G55" s="1535"/>
      <c r="H55" s="1535"/>
      <c r="I55" s="1535"/>
      <c r="J55" s="1535"/>
      <c r="K55" s="1535"/>
      <c r="L55" s="1535"/>
      <c r="M55" s="1535"/>
      <c r="N55" s="1535"/>
      <c r="O55" s="1535"/>
      <c r="P55" s="1535"/>
      <c r="Q55" s="193"/>
      <c r="R55" s="193"/>
      <c r="S55" s="1535"/>
      <c r="T55" s="819">
        <f>F55&gt;0</f>
        <v>1</v>
      </c>
      <c r="U55" s="1443"/>
      <c r="V55" s="1443"/>
      <c r="W55" s="374" t="s">
        <v>1015</v>
      </c>
      <c r="X55" s="1443"/>
      <c r="Y55" s="1443"/>
      <c r="Z55" s="1443"/>
      <c r="AA55" s="223"/>
      <c r="AB55" s="302"/>
      <c r="AC55" s="303" t="s">
        <v>982</v>
      </c>
      <c r="AD55" s="303"/>
      <c r="AE55" s="303"/>
      <c r="AF55" s="303"/>
      <c r="AG55" s="303"/>
      <c r="AH55" s="303"/>
      <c r="AI55" s="303"/>
      <c r="AJ55" s="303"/>
      <c r="AK55" s="303"/>
      <c r="AL55" s="303"/>
      <c r="AM55" s="303"/>
      <c r="AN55" s="303"/>
      <c r="AO55" s="303"/>
      <c r="AP55" s="303"/>
      <c r="AQ55" s="303"/>
      <c r="AR55" s="303"/>
      <c r="AS55" s="303"/>
      <c r="AT55" s="303"/>
      <c r="AU55" s="303"/>
      <c r="AV55" s="303"/>
      <c r="AW55" s="303"/>
      <c r="AX55" s="303"/>
      <c r="AY55" s="303"/>
      <c r="AZ55" s="303"/>
      <c r="BA55" s="303"/>
      <c r="BB55" s="303"/>
      <c r="BC55" s="304"/>
      <c r="BD55" s="223"/>
      <c r="BE55" s="223"/>
      <c r="BF55" s="1192"/>
      <c r="BG55" s="1192"/>
      <c r="BH55" s="1192"/>
      <c r="BI55" s="1193" t="s">
        <v>1011</v>
      </c>
      <c r="BJ55" s="1193"/>
    </row>
    <row customHeight="1" ht="11.115">
      <c r="E56" s="925">
        <v>11.4</v>
      </c>
      <c r="Q56" s="739"/>
      <c r="U56" s="179" t="s">
        <v>236</v>
      </c>
      <c r="V56" s="171" t="s">
        <v>1017</v>
      </c>
      <c r="AI56" s="223"/>
      <c r="AJ56" s="223"/>
      <c r="AK56" s="223"/>
      <c r="AL56" s="223"/>
      <c r="AM56" s="223"/>
      <c r="AN56" s="223"/>
      <c r="AO56" s="223"/>
      <c r="AP56" s="223"/>
      <c r="AQ56" s="223"/>
      <c r="AR56" s="223"/>
      <c r="AS56" s="223"/>
      <c r="AT56" s="223"/>
      <c r="AU56" s="223"/>
      <c r="AV56" s="223"/>
      <c r="AW56" s="223"/>
      <c r="AX56" s="223"/>
      <c r="AY56" s="223"/>
      <c r="AZ56" s="223"/>
      <c r="BA56" s="223"/>
      <c r="BB56" s="223"/>
    </row>
    <row customHeight="1" ht="11.25" hidden="1">
      <c r="E57" s="925">
        <v>0</v>
      </c>
      <c r="Q57" s="739"/>
      <c r="V57" s="171"/>
      <c r="AI57" s="223"/>
      <c r="AJ57" s="223"/>
      <c r="AK57" s="223"/>
      <c r="AL57" s="223"/>
      <c r="AM57" s="223"/>
      <c r="AN57" s="223"/>
      <c r="AO57" s="223"/>
      <c r="AP57" s="223"/>
      <c r="AQ57" s="223"/>
      <c r="AR57" s="223"/>
      <c r="AS57" s="223"/>
      <c r="AT57" s="223"/>
      <c r="AU57" s="223"/>
      <c r="AV57" s="223"/>
      <c r="AW57" s="223"/>
      <c r="AX57" s="223"/>
      <c r="AY57" s="223"/>
      <c r="AZ57" s="223"/>
      <c r="BA57" s="223"/>
      <c r="BB57" s="223"/>
    </row>
    <row s="500" customFormat="1" customHeight="1" ht="14.625">
      <c r="A58" s="175"/>
      <c r="B58" s="788"/>
      <c r="C58" s="175"/>
      <c r="D58" s="175"/>
      <c r="E58" s="797">
        <v>15</v>
      </c>
      <c r="F58" s="175"/>
      <c r="Q58" s="739"/>
      <c r="R58" s="739"/>
      <c r="T58" s="175"/>
      <c r="U58" s="175"/>
      <c r="V58" s="175"/>
      <c r="W58" s="175"/>
      <c r="X58" s="175"/>
      <c r="Y58" s="175"/>
      <c r="Z58" s="175"/>
      <c r="AB58" s="1530" t="s">
        <v>705</v>
      </c>
      <c r="AC58" s="1530"/>
      <c r="AD58" s="1530"/>
      <c r="AE58" s="1530"/>
      <c r="AF58" s="1530"/>
      <c r="AG58" s="1530"/>
      <c r="AH58" s="1530"/>
      <c r="AI58" s="1531"/>
      <c r="AJ58" s="1531"/>
      <c r="AK58" s="1531"/>
      <c r="AL58" s="1531"/>
      <c r="AM58" s="1531"/>
      <c r="AN58" s="1531"/>
      <c r="AO58" s="1531"/>
      <c r="AP58" s="1531"/>
      <c r="AQ58" s="1531"/>
      <c r="AR58" s="1531"/>
      <c r="AS58" s="1531"/>
      <c r="AT58" s="1531"/>
      <c r="AU58" s="1531"/>
      <c r="AV58" s="1531"/>
      <c r="AW58" s="1531"/>
      <c r="AX58" s="1531"/>
      <c r="AY58" s="1531"/>
      <c r="AZ58" s="1531"/>
      <c r="BA58" s="1531"/>
      <c r="BB58" s="1531"/>
      <c r="BC58" s="1531"/>
      <c r="BF58" s="1184"/>
      <c r="BG58" s="1184"/>
      <c r="BH58" s="1184"/>
      <c r="BI58" s="1187"/>
      <c r="BJ58" s="1187"/>
    </row>
    <row s="500" customFormat="1" customHeight="1" ht="14.625">
      <c r="A59" s="175"/>
      <c r="B59" s="788"/>
      <c r="C59" s="175"/>
      <c r="D59" s="175"/>
      <c r="E59" s="797">
        <v>15</v>
      </c>
      <c r="F59" s="175"/>
      <c r="Q59" s="739"/>
      <c r="R59" s="739"/>
      <c r="T59" s="175"/>
      <c r="U59" s="175"/>
      <c r="V59" s="175"/>
      <c r="W59" s="175"/>
      <c r="X59" s="175"/>
      <c r="Y59" s="175"/>
      <c r="Z59" s="175"/>
      <c r="AA59" s="921"/>
      <c r="AB59" s="1532"/>
      <c r="AC59" s="1532"/>
      <c r="AD59" s="1532"/>
      <c r="AE59" s="1532"/>
      <c r="AF59" s="1532"/>
      <c r="AG59" s="1532"/>
      <c r="AH59" s="1532"/>
      <c r="AI59" s="1533"/>
      <c r="AJ59" s="1883"/>
      <c r="AK59" s="1883"/>
      <c r="AL59" s="1883"/>
      <c r="AM59" s="1883"/>
      <c r="AN59" s="1883"/>
      <c r="AO59" s="1883"/>
      <c r="AP59" s="1883"/>
      <c r="AQ59" s="1883"/>
      <c r="AR59" s="1883"/>
      <c r="AS59" s="1533"/>
      <c r="AT59" s="1883"/>
      <c r="AU59" s="1883"/>
      <c r="AV59" s="1883"/>
      <c r="AW59" s="1883"/>
      <c r="AX59" s="1883"/>
      <c r="AY59" s="1883"/>
      <c r="AZ59" s="1883"/>
      <c r="BA59" s="1883"/>
      <c r="BB59" s="1883"/>
      <c r="BC59" s="1533"/>
      <c r="BF59" s="1184"/>
      <c r="BG59" s="1184"/>
      <c r="BH59" s="1184"/>
      <c r="BI59" s="1187"/>
      <c r="BJ59" s="1187"/>
    </row>
    <row s="500" customFormat="1" customHeight="1" ht="14.625" hidden="1">
      <c r="A60" s="175"/>
      <c r="B60" s="788"/>
      <c r="C60" s="175"/>
      <c r="D60" s="175"/>
      <c r="E60" s="797">
        <v>15</v>
      </c>
      <c r="F60" s="175"/>
      <c r="G60" s="500"/>
      <c r="H60" s="500"/>
      <c r="I60" s="500"/>
      <c r="J60" s="500"/>
      <c r="K60" s="500"/>
      <c r="L60" s="500"/>
      <c r="M60" s="500"/>
      <c r="N60" s="500"/>
      <c r="O60" s="500"/>
      <c r="P60" s="500"/>
      <c r="Q60" s="739"/>
      <c r="R60" s="739"/>
      <c r="S60" s="500"/>
      <c r="T60" s="808">
        <f>ROW(W60)&gt;ROW(W$60)</f>
        <v>0</v>
      </c>
      <c r="U60" s="175"/>
      <c r="V60" s="175"/>
      <c r="W60" s="175" t="s">
        <v>234</v>
      </c>
      <c r="X60" s="175"/>
      <c r="Y60" s="175"/>
      <c r="Z60" s="175"/>
      <c r="AA60" s="917" t="s">
        <v>218</v>
      </c>
      <c r="AB60" s="1884"/>
      <c r="AC60" s="1884"/>
      <c r="AD60" s="1884"/>
      <c r="AE60" s="1884"/>
      <c r="AF60" s="1884"/>
      <c r="AG60" s="1884"/>
      <c r="AH60" s="1884"/>
      <c r="AI60" s="1533"/>
      <c r="AJ60" s="1883"/>
      <c r="AK60" s="1883"/>
      <c r="AL60" s="1883"/>
      <c r="AM60" s="1883"/>
      <c r="AN60" s="1883"/>
      <c r="AO60" s="1883"/>
      <c r="AP60" s="1883"/>
      <c r="AQ60" s="1883"/>
      <c r="AR60" s="1883"/>
      <c r="AS60" s="1533"/>
      <c r="AT60" s="1883"/>
      <c r="AU60" s="1883"/>
      <c r="AV60" s="1883"/>
      <c r="AW60" s="1883"/>
      <c r="AX60" s="1883"/>
      <c r="AY60" s="1883"/>
      <c r="AZ60" s="1883"/>
      <c r="BA60" s="1883"/>
      <c r="BB60" s="1883"/>
      <c r="BC60" s="1883"/>
      <c r="BD60" s="500"/>
      <c r="BE60" s="500"/>
      <c r="BF60" s="1184"/>
      <c r="BG60" s="1184"/>
      <c r="BH60" s="1184"/>
      <c r="BI60" s="1187"/>
      <c r="BJ60" s="1187"/>
    </row>
    <row s="500" customFormat="1" customHeight="1" ht="14.625">
      <c r="A61" s="175"/>
      <c r="B61" s="788"/>
      <c r="C61" s="175"/>
      <c r="D61" s="175"/>
      <c r="E61" s="797">
        <v>15</v>
      </c>
      <c r="F61" s="175"/>
      <c r="Q61" s="739"/>
      <c r="R61" s="739"/>
      <c r="T61" s="175"/>
      <c r="U61" s="175"/>
      <c r="V61" s="175"/>
      <c r="W61" s="171" t="s">
        <v>1018</v>
      </c>
      <c r="X61" s="175"/>
      <c r="Y61" s="175"/>
      <c r="Z61" s="175"/>
      <c r="AB61" s="1478" t="s">
        <v>706</v>
      </c>
      <c r="AC61" s="1479"/>
      <c r="AD61" s="383"/>
      <c r="AE61" s="383"/>
      <c r="AF61" s="384"/>
      <c r="AG61" s="384"/>
      <c r="AH61" s="384"/>
      <c r="AI61" s="384"/>
      <c r="AJ61" s="384"/>
      <c r="AK61" s="384"/>
      <c r="AL61" s="384"/>
      <c r="AM61" s="384"/>
      <c r="AN61" s="384"/>
      <c r="AO61" s="384"/>
      <c r="AP61" s="384"/>
      <c r="AQ61" s="384"/>
      <c r="AR61" s="384"/>
      <c r="AS61" s="384"/>
      <c r="AT61" s="384"/>
      <c r="AU61" s="384"/>
      <c r="AV61" s="384"/>
      <c r="AW61" s="384"/>
      <c r="AX61" s="384"/>
      <c r="AY61" s="384"/>
      <c r="AZ61" s="384"/>
      <c r="BA61" s="384"/>
      <c r="BB61" s="384"/>
      <c r="BC61" s="385"/>
      <c r="BF61" s="1184"/>
      <c r="BG61" s="1184"/>
      <c r="BH61" s="1184"/>
      <c r="BI61" s="1187"/>
      <c r="BJ61" s="1187"/>
    </row>
    <row customHeight="1" ht="11.25">
      <c r="AI62" s="223"/>
      <c r="AJ62" s="223"/>
      <c r="AK62" s="223"/>
      <c r="AL62" s="223"/>
      <c r="AM62" s="223"/>
      <c r="AN62" s="223"/>
      <c r="AO62" s="223"/>
      <c r="AP62" s="223"/>
      <c r="AQ62" s="223"/>
      <c r="AR62" s="223"/>
      <c r="AS62" s="223"/>
      <c r="AT62" s="223"/>
      <c r="AU62" s="223"/>
      <c r="AV62" s="223"/>
      <c r="AW62" s="223"/>
      <c r="AX62" s="223"/>
      <c r="AY62" s="223"/>
      <c r="AZ62" s="223"/>
      <c r="BA62" s="223"/>
      <c r="BB62" s="223"/>
      <c r="BD62" s="223"/>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B4748-92D8-4BD8-7B18-506A6CBDE0F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3" width="3.57421875" hidden="1" customWidth="1"/>
    <col min="2" max="2" style="927" width="8.57421875" hidden="1" customWidth="1"/>
    <col min="3" max="4" style="1443" width="3.57421875" hidden="1" customWidth="1"/>
    <col min="5" max="5" style="925" width="8.421875" hidden="1" customWidth="1"/>
    <col min="6" max="6" style="1443" width="6.421875" hidden="1" customWidth="1"/>
    <col min="7" max="16" style="965" width="3.57421875" hidden="1" customWidth="1"/>
    <col min="17" max="18" style="928" width="3.57421875" hidden="1" customWidth="1"/>
    <col min="19" max="19" style="965" width="3.57421875" hidden="1" customWidth="1"/>
    <col min="20" max="20" style="1443" width="9.5742187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937" width="3.00390625" customWidth="1"/>
    <col min="28" max="28" style="937" width="7.25390625" customWidth="1"/>
    <col min="29" max="29" style="937" width="41.75390625" customWidth="1"/>
    <col min="30" max="30" style="202" width="11.1328125" customWidth="1"/>
    <col min="31" max="35" style="202" width="12.6328125" customWidth="1"/>
    <col min="36" max="44" style="202" width="12.6328125" hidden="1" customWidth="1"/>
    <col min="45" max="45" style="202" width="12.6328125" customWidth="1"/>
    <col min="46" max="54" style="202" width="12.6328125" hidden="1" customWidth="1"/>
    <col min="55" max="55" style="937" width="20.1328125" customWidth="1"/>
    <col min="56" max="56" style="937" width="3.00390625" customWidth="1"/>
    <col min="57" max="57" style="937" width="8.7109375" hidden="1"/>
    <col min="58" max="58" style="1180" width="10.00390625" hidden="1" customWidth="1"/>
  </cols>
  <sheetData>
    <row s="1443" customFormat="1" customHeight="1" ht="12" hidden="1">
      <c r="B1" s="788"/>
      <c r="E1" s="788"/>
      <c r="F1" s="819" t="s">
        <v>83</v>
      </c>
      <c r="G1" s="214"/>
      <c r="H1" s="214"/>
      <c r="I1" s="214"/>
      <c r="J1" s="214"/>
      <c r="K1" s="214"/>
      <c r="L1" s="214"/>
      <c r="M1" s="214"/>
      <c r="N1" s="214"/>
      <c r="O1" s="214"/>
      <c r="P1" s="214"/>
      <c r="Q1" s="739"/>
      <c r="R1" s="739"/>
      <c r="S1" s="214"/>
      <c r="T1" s="808" t="s">
        <v>86</v>
      </c>
      <c r="U1" s="808" t="s">
        <v>91</v>
      </c>
      <c r="V1" s="808" t="s">
        <v>87</v>
      </c>
      <c r="W1" s="808" t="s">
        <v>88</v>
      </c>
      <c r="X1" s="808" t="s">
        <v>89</v>
      </c>
      <c r="Y1" s="819" t="s">
        <v>372</v>
      </c>
      <c r="Z1" s="808" t="s">
        <v>93</v>
      </c>
      <c r="AA1" s="819" t="s">
        <v>90</v>
      </c>
      <c r="AB1" s="819" t="s">
        <v>92</v>
      </c>
      <c r="AI1" s="1443"/>
      <c r="AJ1" s="1443"/>
      <c r="AK1" s="1443"/>
      <c r="AL1" s="1443"/>
      <c r="AM1" s="1443"/>
      <c r="AN1" s="1443"/>
      <c r="AO1" s="1443"/>
      <c r="AP1" s="1443"/>
      <c r="AQ1" s="1443"/>
      <c r="AR1" s="1443"/>
      <c r="AS1" s="1443"/>
      <c r="AT1" s="1443"/>
      <c r="AU1" s="1443"/>
      <c r="AV1" s="1443"/>
      <c r="AW1" s="1443"/>
      <c r="AX1" s="1443"/>
      <c r="AY1" s="1443"/>
      <c r="AZ1" s="1443"/>
      <c r="BA1" s="1443"/>
      <c r="BB1" s="1443"/>
      <c r="BF1" s="1173" t="s">
        <v>373</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row>
    <row s="1443" customFormat="1" customHeight="1" ht="12" hidden="1">
      <c r="B3" s="788"/>
      <c r="E3" s="788"/>
      <c r="G3" s="214"/>
      <c r="H3" s="214"/>
      <c r="I3" s="214"/>
      <c r="J3" s="214"/>
      <c r="K3" s="214"/>
      <c r="L3" s="214"/>
      <c r="M3" s="214"/>
      <c r="N3" s="214"/>
      <c r="O3" s="214"/>
      <c r="P3" s="214"/>
      <c r="Q3" s="739"/>
      <c r="R3" s="739"/>
      <c r="S3" s="214"/>
      <c r="AI3" s="1443"/>
      <c r="AJ3" s="1443"/>
      <c r="AK3" s="1443"/>
      <c r="AL3" s="1443"/>
      <c r="AM3" s="1443"/>
      <c r="AN3" s="1443"/>
      <c r="AO3" s="1443"/>
      <c r="AP3" s="1443"/>
      <c r="AQ3" s="1443"/>
      <c r="AR3" s="1443"/>
      <c r="AS3" s="1443"/>
      <c r="AT3" s="1443"/>
      <c r="AU3" s="1443"/>
      <c r="AV3" s="1443"/>
      <c r="AW3" s="1443"/>
      <c r="AX3" s="1443"/>
      <c r="AY3" s="1443"/>
      <c r="AZ3" s="1443"/>
      <c r="BA3" s="1443"/>
      <c r="BB3" s="1443"/>
      <c r="BF3" s="1173"/>
    </row>
    <row s="1443" customFormat="1" customHeight="1" ht="12" hidden="1">
      <c r="B4" s="788"/>
      <c r="E4" s="788"/>
      <c r="G4" s="214"/>
      <c r="H4" s="214"/>
      <c r="I4" s="214"/>
      <c r="J4" s="214"/>
      <c r="K4" s="214"/>
      <c r="L4" s="214"/>
      <c r="M4" s="214"/>
      <c r="N4" s="214"/>
      <c r="O4" s="214"/>
      <c r="P4" s="214"/>
      <c r="Q4" s="739"/>
      <c r="R4" s="739"/>
      <c r="S4" s="214"/>
      <c r="AI4" s="1443"/>
      <c r="AJ4" s="1443"/>
      <c r="AK4" s="1443"/>
      <c r="AL4" s="1443"/>
      <c r="AM4" s="1443"/>
      <c r="AN4" s="1443"/>
      <c r="AO4" s="1443"/>
      <c r="AP4" s="1443"/>
      <c r="AQ4" s="1443"/>
      <c r="AR4" s="1443"/>
      <c r="AS4" s="1443"/>
      <c r="AT4" s="1443"/>
      <c r="AU4" s="1443"/>
      <c r="AV4" s="1443"/>
      <c r="AW4" s="1443"/>
      <c r="AX4" s="1443"/>
      <c r="AY4" s="1443"/>
      <c r="AZ4" s="1443"/>
      <c r="BA4" s="1443"/>
      <c r="BB4" s="1443"/>
      <c r="BF4" s="117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7.25</v>
      </c>
      <c r="AC5" s="797">
        <v>41.75</v>
      </c>
      <c r="AD5" s="797">
        <v>11.13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176"/>
    </row>
    <row s="1443" customFormat="1" customHeight="1" ht="12" hidden="1">
      <c r="B6" s="788"/>
      <c r="E6" s="797"/>
      <c r="G6" s="214"/>
      <c r="H6" s="214"/>
      <c r="I6" s="214"/>
      <c r="J6" s="214"/>
      <c r="K6" s="214"/>
      <c r="L6" s="214"/>
      <c r="M6" s="214"/>
      <c r="N6" s="214"/>
      <c r="O6" s="214"/>
      <c r="P6" s="214"/>
      <c r="Q6" s="739"/>
      <c r="R6" s="739"/>
      <c r="S6" s="214"/>
      <c r="AE6" s="179">
        <f>god-2</f>
        <v>2024</v>
      </c>
      <c r="AF6" s="179">
        <f>god-2</f>
        <v>2024</v>
      </c>
      <c r="AG6" s="179">
        <f>god-2</f>
        <v>2024</v>
      </c>
      <c r="AH6" s="179">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73"/>
    </row>
    <row s="965" customFormat="1" customHeight="1" ht="12" hidden="1">
      <c r="A7" s="179"/>
      <c r="B7" s="788"/>
      <c r="C7" s="179"/>
      <c r="D7" s="179"/>
      <c r="E7" s="797"/>
      <c r="Q7" s="739"/>
      <c r="R7" s="739"/>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Предложение организации</v>
      </c>
      <c r="AQ7" s="214" cm="1" t="str">
        <f t="array" ref="AQ7:AQ7">AQ25</f>
        <v>Предложение организации</v>
      </c>
      <c r="AR7" s="214" cm="1" t="str">
        <f t="array" ref="AR7:AR7">AR25</f>
        <v>Предложение организации</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AZ7" s="214" cm="1" t="str">
        <f t="array" ref="AZ7:AZ7">AZ25</f>
        <v>Принято органом регулирования</v>
      </c>
      <c r="BA7" s="214" cm="1" t="str">
        <f t="array" ref="BA7:BA7">BA25</f>
        <v>Принято органом регулирования</v>
      </c>
      <c r="BB7" s="214" cm="1" t="str">
        <f t="array" ref="BB7:BB7">BB25</f>
        <v>Принято органом регулирования</v>
      </c>
      <c r="BF7" s="1173"/>
    </row>
    <row s="965" customFormat="1" customHeight="1" ht="12" hidden="1">
      <c r="A8" s="179"/>
      <c r="B8" s="788"/>
      <c r="C8" s="179"/>
      <c r="D8" s="179"/>
      <c r="E8" s="797"/>
      <c r="Q8" s="739"/>
      <c r="R8" s="739"/>
      <c r="AI8" s="965"/>
      <c r="AJ8" s="965"/>
      <c r="AK8" s="965"/>
      <c r="AL8" s="965"/>
      <c r="AM8" s="965"/>
      <c r="AN8" s="965"/>
      <c r="AO8" s="965"/>
      <c r="AP8" s="965"/>
      <c r="AQ8" s="965"/>
      <c r="AR8" s="965"/>
      <c r="AS8" s="965"/>
      <c r="AT8" s="965"/>
      <c r="AU8" s="965"/>
      <c r="AV8" s="965"/>
      <c r="AW8" s="965"/>
      <c r="AX8" s="965"/>
      <c r="AY8" s="965"/>
      <c r="AZ8" s="965"/>
      <c r="BA8" s="965"/>
      <c r="BB8" s="965"/>
      <c r="BF8" s="1173"/>
    </row>
    <row s="1172" customFormat="1" customHeight="1" ht="12" hidden="1">
      <c r="A9" s="1158" t="s">
        <v>437</v>
      </c>
      <c r="B9" s="1154"/>
      <c r="E9" s="1154"/>
      <c r="Q9" s="1163"/>
      <c r="R9" s="1163"/>
      <c r="AE9" s="1152">
        <f>god-2</f>
        <v>2024</v>
      </c>
      <c r="AF9" s="1152">
        <f>god-2</f>
        <v>2024</v>
      </c>
      <c r="AG9" s="1152">
        <f>god-2</f>
        <v>2024</v>
      </c>
      <c r="AH9" s="1152">
        <f>god-1</f>
        <v>2025</v>
      </c>
      <c r="AI9" s="1152" cm="1" t="str">
        <f t="array" ref="AI9:AI9">god</f>
        <v>2026</v>
      </c>
      <c r="AJ9" s="1152">
        <f>god+1</f>
        <v>2027</v>
      </c>
      <c r="AK9" s="1152">
        <f>god+2</f>
        <v>2028</v>
      </c>
      <c r="AL9" s="1152">
        <f>god+3</f>
        <v>2029</v>
      </c>
      <c r="AM9" s="1152">
        <f>god+4</f>
        <v>2030</v>
      </c>
      <c r="AN9" s="1152">
        <f>god+5</f>
        <v>2031</v>
      </c>
      <c r="AO9" s="1152">
        <f>god+6</f>
        <v>2032</v>
      </c>
      <c r="AP9" s="1152">
        <f>god+7</f>
        <v>2033</v>
      </c>
      <c r="AQ9" s="1152">
        <f>god+8</f>
        <v>2034</v>
      </c>
      <c r="AR9" s="1152">
        <f>god+9</f>
        <v>2035</v>
      </c>
      <c r="AS9" s="1152" cm="1" t="str">
        <f t="array" ref="AS9:AS9">god</f>
        <v>2026</v>
      </c>
      <c r="AT9" s="1152">
        <f>god+1</f>
        <v>2027</v>
      </c>
      <c r="AU9" s="1152">
        <f>god+2</f>
        <v>2028</v>
      </c>
      <c r="AV9" s="1152">
        <f>god+3</f>
        <v>2029</v>
      </c>
      <c r="AW9" s="1152">
        <f>god+4</f>
        <v>2030</v>
      </c>
      <c r="AX9" s="1152">
        <f>god+5</f>
        <v>2031</v>
      </c>
      <c r="AY9" s="1152">
        <f>god+6</f>
        <v>2032</v>
      </c>
      <c r="AZ9" s="1152">
        <f>god+7</f>
        <v>2033</v>
      </c>
      <c r="BA9" s="1152">
        <f>god+8</f>
        <v>2034</v>
      </c>
      <c r="BB9" s="1152">
        <f>god+9</f>
        <v>2035</v>
      </c>
      <c r="BF9" s="1173"/>
    </row>
    <row s="1172" customFormat="1" customHeight="1" ht="12" hidden="1">
      <c r="A10" s="1158" t="s">
        <v>438</v>
      </c>
      <c r="B10" s="1154"/>
      <c r="E10" s="1154"/>
      <c r="Q10" s="1163"/>
      <c r="R10" s="1163"/>
      <c r="AE10" s="1152" cm="1" t="str">
        <f t="array" ref="AE10:AE10">AE25</f>
        <v>Принято органом регулирования</v>
      </c>
      <c r="AF10" s="1152" cm="1" t="str">
        <f t="array" ref="AF10:AF10">AF25</f>
        <v>Факт по данным организации</v>
      </c>
      <c r="AG10" s="1152" cm="1" t="str">
        <f t="array" ref="AG10:AG10">AG25</f>
        <v>Факт, принятый органом регулирования</v>
      </c>
      <c r="AH10" s="1152" cm="1" t="str">
        <f t="array" ref="AH10:AH10">AH25</f>
        <v>Принято органом регулирования</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Предложение организации</v>
      </c>
      <c r="AQ10" s="1152" cm="1" t="str">
        <f t="array" ref="AQ10:AQ10">AQ25</f>
        <v>Предложение организации</v>
      </c>
      <c r="AR10" s="1152" cm="1" t="str">
        <f t="array" ref="AR10:AR10">AR25</f>
        <v>Предложение организации</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AZ10" s="1152" cm="1" t="str">
        <f t="array" ref="AZ10:AZ10">AZ25</f>
        <v>Принято органом регулирования</v>
      </c>
      <c r="BA10" s="1152" cm="1" t="str">
        <f t="array" ref="BA10:BA10">BA25</f>
        <v>Принято органом регулирования</v>
      </c>
      <c r="BB10" s="1152" cm="1" t="str">
        <f t="array" ref="BB10:BB10">BB25</f>
        <v>Принято органом регулирования</v>
      </c>
      <c r="BF10" s="1173"/>
    </row>
    <row s="1172" customFormat="1" customHeight="1" ht="11.25" hidden="1">
      <c r="A11" s="1158" t="s">
        <v>439</v>
      </c>
      <c r="B11" s="1154"/>
      <c r="E11" s="1154"/>
      <c r="G11" s="1159"/>
      <c r="H11" s="1159"/>
      <c r="I11" s="1159"/>
      <c r="J11" s="1159"/>
      <c r="K11" s="1159"/>
      <c r="L11" s="1159"/>
      <c r="M11" s="1159"/>
      <c r="N11" s="1159"/>
      <c r="O11" s="1159"/>
      <c r="P11" s="1159"/>
      <c r="Q11" s="1185"/>
      <c r="R11" s="1185"/>
      <c r="S11" s="1159"/>
      <c r="AI11" s="1172"/>
      <c r="AJ11" s="1172"/>
      <c r="AK11" s="1172"/>
      <c r="AL11" s="1172"/>
      <c r="AM11" s="1172"/>
      <c r="AN11" s="1172"/>
      <c r="AO11" s="1172"/>
      <c r="AP11" s="1172"/>
      <c r="AQ11" s="1172"/>
      <c r="AR11" s="1172"/>
      <c r="AS11" s="1172"/>
      <c r="AT11" s="1172"/>
      <c r="AU11" s="1172"/>
      <c r="AV11" s="1172"/>
      <c r="AW11" s="1172"/>
      <c r="AX11" s="1172"/>
      <c r="AY11" s="1172"/>
      <c r="AZ11" s="1172"/>
      <c r="BA11" s="1172"/>
      <c r="BB11" s="1172"/>
      <c r="BC11" s="1152" cm="1" t="str">
        <f t="array" ref="BC11:BC11">BC24</f>
        <v>Ссылка на правовую норму (основание для принятия показателя в расчет тарифа)</v>
      </c>
      <c r="BF11" s="1173"/>
    </row>
    <row s="1443" customFormat="1" customHeight="1" ht="11.25" hidden="1">
      <c r="B12" s="788"/>
      <c r="E12" s="797"/>
      <c r="G12" s="214"/>
      <c r="H12" s="214"/>
      <c r="I12" s="214"/>
      <c r="J12" s="214"/>
      <c r="K12" s="214"/>
      <c r="L12" s="214"/>
      <c r="M12" s="214"/>
      <c r="N12" s="214"/>
      <c r="O12" s="214"/>
      <c r="P12" s="214"/>
      <c r="Q12" s="739"/>
      <c r="R12" s="739"/>
      <c r="S12" s="214"/>
      <c r="AI12" s="1443"/>
      <c r="AJ12" s="1443"/>
      <c r="AK12" s="1443"/>
      <c r="AL12" s="1443"/>
      <c r="AM12" s="1443"/>
      <c r="AN12" s="1443"/>
      <c r="AO12" s="1443"/>
      <c r="AP12" s="1443"/>
      <c r="AQ12" s="1443"/>
      <c r="AR12" s="1443"/>
      <c r="AS12" s="1443"/>
      <c r="AT12" s="1443"/>
      <c r="AU12" s="1443"/>
      <c r="AV12" s="1443"/>
      <c r="AW12" s="1443"/>
      <c r="AX12" s="1443"/>
      <c r="AY12" s="1443"/>
      <c r="AZ12" s="1443"/>
      <c r="BA12" s="1443"/>
      <c r="BB12" s="1443"/>
      <c r="BF12" s="1173"/>
    </row>
    <row s="1443" customFormat="1" customHeight="1" ht="11.25" hidden="1">
      <c r="B13" s="788"/>
      <c r="E13" s="797"/>
      <c r="G13" s="214"/>
      <c r="H13" s="214"/>
      <c r="I13" s="214"/>
      <c r="J13" s="214"/>
      <c r="K13" s="214"/>
      <c r="L13" s="214"/>
      <c r="M13" s="214"/>
      <c r="N13" s="214"/>
      <c r="O13" s="214"/>
      <c r="P13" s="214"/>
      <c r="Q13" s="739"/>
      <c r="R13" s="739"/>
      <c r="S13" s="214"/>
      <c r="AI13" s="175"/>
      <c r="AJ13" s="175"/>
      <c r="AK13" s="175"/>
      <c r="AL13" s="175"/>
      <c r="AM13" s="175"/>
      <c r="AN13" s="175"/>
      <c r="AO13" s="175"/>
      <c r="AP13" s="175"/>
      <c r="AQ13" s="175"/>
      <c r="AR13" s="175"/>
      <c r="AS13" s="175"/>
      <c r="AT13" s="175"/>
      <c r="AU13" s="175"/>
      <c r="AV13" s="175"/>
      <c r="AW13" s="175"/>
      <c r="AX13" s="175"/>
      <c r="AY13" s="175"/>
      <c r="AZ13" s="175"/>
      <c r="BA13" s="175"/>
      <c r="BB13" s="175"/>
      <c r="BF13" s="1173"/>
    </row>
    <row s="1443" customFormat="1" customHeight="1" ht="11.25" hidden="1">
      <c r="B14" s="788"/>
      <c r="E14" s="797"/>
      <c r="G14" s="214"/>
      <c r="H14" s="214"/>
      <c r="I14" s="214"/>
      <c r="J14" s="214"/>
      <c r="K14" s="214"/>
      <c r="L14" s="214"/>
      <c r="M14" s="214"/>
      <c r="N14" s="214"/>
      <c r="O14" s="214"/>
      <c r="P14" s="214"/>
      <c r="Q14" s="739"/>
      <c r="R14" s="739"/>
      <c r="S14" s="214"/>
      <c r="AI14" s="175"/>
      <c r="AJ14" s="175"/>
      <c r="AK14" s="175"/>
      <c r="AL14" s="175"/>
      <c r="AM14" s="175"/>
      <c r="AN14" s="175"/>
      <c r="AO14" s="175"/>
      <c r="AP14" s="175"/>
      <c r="AQ14" s="175"/>
      <c r="AR14" s="175"/>
      <c r="AS14" s="175"/>
      <c r="AT14" s="175"/>
      <c r="AU14" s="175"/>
      <c r="AV14" s="175"/>
      <c r="AW14" s="175"/>
      <c r="AX14" s="175"/>
      <c r="AY14" s="175"/>
      <c r="AZ14" s="175"/>
      <c r="BA14" s="175"/>
      <c r="BB14" s="175"/>
      <c r="BF14" s="1173"/>
    </row>
    <row s="1443" customFormat="1" customHeight="1" ht="11.25" hidden="1">
      <c r="B15" s="788"/>
      <c r="E15" s="797"/>
      <c r="G15" s="214"/>
      <c r="H15" s="214"/>
      <c r="I15" s="214"/>
      <c r="J15" s="214"/>
      <c r="K15" s="214"/>
      <c r="L15" s="214"/>
      <c r="M15" s="214"/>
      <c r="N15" s="214"/>
      <c r="O15" s="214"/>
      <c r="P15" s="214"/>
      <c r="Q15" s="739"/>
      <c r="R15" s="739"/>
      <c r="S15" s="214"/>
      <c r="AI15" s="175"/>
      <c r="AJ15" s="175"/>
      <c r="AK15" s="175"/>
      <c r="AL15" s="175"/>
      <c r="AM15" s="175"/>
      <c r="AN15" s="175"/>
      <c r="AO15" s="175"/>
      <c r="AP15" s="175"/>
      <c r="AQ15" s="175"/>
      <c r="AR15" s="175"/>
      <c r="AS15" s="175"/>
      <c r="AT15" s="175"/>
      <c r="AU15" s="175"/>
      <c r="AV15" s="175"/>
      <c r="AW15" s="175"/>
      <c r="AX15" s="175"/>
      <c r="AY15" s="175"/>
      <c r="AZ15" s="175"/>
      <c r="BA15" s="175"/>
      <c r="BB15" s="175"/>
      <c r="BF15" s="1173"/>
    </row>
    <row s="1443" customFormat="1" customHeight="1" ht="11.25" hidden="1">
      <c r="B16" s="788"/>
      <c r="E16" s="797"/>
      <c r="G16" s="214"/>
      <c r="H16" s="214"/>
      <c r="I16" s="214"/>
      <c r="J16" s="214"/>
      <c r="K16" s="214"/>
      <c r="L16" s="214"/>
      <c r="M16" s="214"/>
      <c r="N16" s="214"/>
      <c r="O16" s="214"/>
      <c r="P16" s="214"/>
      <c r="Q16" s="739"/>
      <c r="R16" s="739"/>
      <c r="S16" s="214"/>
      <c r="AI16" s="175"/>
      <c r="AJ16" s="175"/>
      <c r="AK16" s="175"/>
      <c r="AL16" s="175"/>
      <c r="AM16" s="175"/>
      <c r="AN16" s="175"/>
      <c r="AO16" s="175"/>
      <c r="AP16" s="175"/>
      <c r="AQ16" s="175"/>
      <c r="AR16" s="175"/>
      <c r="AS16" s="175"/>
      <c r="AT16" s="175"/>
      <c r="AU16" s="175"/>
      <c r="AV16" s="175"/>
      <c r="AW16" s="175"/>
      <c r="AX16" s="175"/>
      <c r="AY16" s="175"/>
      <c r="AZ16" s="175"/>
      <c r="BA16" s="175"/>
      <c r="BB16" s="175"/>
      <c r="BF16" s="1173"/>
    </row>
    <row s="1443" customFormat="1" customHeight="1" ht="11.25" hidden="1">
      <c r="B17" s="788"/>
      <c r="E17" s="797"/>
      <c r="G17" s="214"/>
      <c r="H17" s="214"/>
      <c r="I17" s="214"/>
      <c r="J17" s="214"/>
      <c r="K17" s="214"/>
      <c r="L17" s="214"/>
      <c r="M17" s="214"/>
      <c r="N17" s="214"/>
      <c r="O17" s="214"/>
      <c r="P17" s="214"/>
      <c r="Q17" s="739"/>
      <c r="R17" s="739"/>
      <c r="S17" s="214"/>
      <c r="AI17" s="1443"/>
      <c r="AJ17" s="1443"/>
      <c r="AK17" s="1443"/>
      <c r="AL17" s="1443"/>
      <c r="AM17" s="1443"/>
      <c r="AN17" s="1443"/>
      <c r="AO17" s="1443"/>
      <c r="AP17" s="1443"/>
      <c r="AQ17" s="1443"/>
      <c r="AR17" s="1443"/>
      <c r="AS17" s="1443"/>
      <c r="AT17" s="1443"/>
      <c r="AU17" s="1443"/>
      <c r="AV17" s="1443"/>
      <c r="AW17" s="1443"/>
      <c r="AX17" s="175"/>
      <c r="AY17" s="175"/>
      <c r="AZ17" s="175"/>
      <c r="BA17" s="175"/>
      <c r="BB17" s="175"/>
      <c r="BF17" s="1173"/>
    </row>
    <row s="1443" customFormat="1" customHeight="1" ht="11.25" hidden="1">
      <c r="B18" s="788"/>
      <c r="E18" s="797"/>
      <c r="G18" s="214"/>
      <c r="H18" s="214"/>
      <c r="I18" s="214"/>
      <c r="J18" s="214"/>
      <c r="K18" s="214"/>
      <c r="L18" s="214"/>
      <c r="M18" s="214"/>
      <c r="N18" s="214"/>
      <c r="O18" s="214"/>
      <c r="P18" s="214"/>
      <c r="Q18" s="739"/>
      <c r="R18" s="739"/>
      <c r="S18" s="214"/>
      <c r="AI18" s="1443"/>
      <c r="AJ18" s="1443"/>
      <c r="AK18" s="1443"/>
      <c r="AL18" s="1443"/>
      <c r="AM18" s="1443"/>
      <c r="AN18" s="1443"/>
      <c r="AO18" s="1443"/>
      <c r="AP18" s="1443"/>
      <c r="AQ18" s="1443"/>
      <c r="AR18" s="1443"/>
      <c r="AS18" s="1443"/>
      <c r="AT18" s="1443"/>
      <c r="AU18" s="1443"/>
      <c r="AV18" s="1443"/>
      <c r="AW18" s="1443"/>
      <c r="AX18" s="1443"/>
      <c r="AY18" s="1443"/>
      <c r="AZ18" s="1443"/>
      <c r="BA18" s="1443"/>
      <c r="BB18" s="1443"/>
      <c r="BF18" s="1173"/>
    </row>
    <row s="1443" customFormat="1" customHeight="1" ht="11.25" hidden="1">
      <c r="B19" s="788"/>
      <c r="E19" s="797"/>
      <c r="G19" s="214"/>
      <c r="H19" s="214"/>
      <c r="I19" s="214"/>
      <c r="J19" s="214"/>
      <c r="K19" s="214"/>
      <c r="L19" s="214"/>
      <c r="M19" s="214"/>
      <c r="N19" s="214"/>
      <c r="O19" s="214"/>
      <c r="P19" s="214"/>
      <c r="Q19" s="739"/>
      <c r="R19" s="739"/>
      <c r="S19" s="214"/>
      <c r="AI19" s="1443"/>
      <c r="AJ19" s="1443"/>
      <c r="AK19" s="1443"/>
      <c r="AL19" s="1443"/>
      <c r="AM19" s="1443"/>
      <c r="AN19" s="1443"/>
      <c r="AO19" s="1443"/>
      <c r="AP19" s="1443"/>
      <c r="AQ19" s="1443"/>
      <c r="AR19" s="1443"/>
      <c r="AS19" s="1443"/>
      <c r="AT19" s="1443"/>
      <c r="AU19" s="1443"/>
      <c r="AV19" s="1443"/>
      <c r="AW19" s="1443"/>
      <c r="AX19" s="1443"/>
      <c r="AY19" s="1443"/>
      <c r="AZ19" s="1443"/>
      <c r="BA19" s="1443"/>
      <c r="BB19" s="1443"/>
      <c r="BF19" s="1173"/>
    </row>
    <row s="1443" customFormat="1" customHeight="1" ht="11.25" hidden="1">
      <c r="B20" s="788"/>
      <c r="E20" s="797"/>
      <c r="G20" s="214"/>
      <c r="H20" s="214"/>
      <c r="I20" s="214"/>
      <c r="J20" s="214"/>
      <c r="K20" s="214"/>
      <c r="L20" s="214"/>
      <c r="M20" s="214"/>
      <c r="N20" s="214"/>
      <c r="O20" s="214"/>
      <c r="P20" s="214"/>
      <c r="Q20" s="739"/>
      <c r="R20" s="739"/>
      <c r="S20" s="214"/>
      <c r="AI20" s="1443"/>
      <c r="AJ20" s="1443"/>
      <c r="AK20" s="1443"/>
      <c r="AL20" s="1443"/>
      <c r="AM20" s="1443"/>
      <c r="AN20" s="1443"/>
      <c r="AO20" s="1443"/>
      <c r="AP20" s="1443"/>
      <c r="AQ20" s="1443"/>
      <c r="AR20" s="1443"/>
      <c r="AS20" s="1443"/>
      <c r="AT20" s="1443"/>
      <c r="AU20" s="1443"/>
      <c r="AV20" s="1443"/>
      <c r="AW20" s="1443"/>
      <c r="AX20" s="1443"/>
      <c r="AY20" s="1443"/>
      <c r="AZ20" s="1443"/>
      <c r="BA20" s="1443"/>
      <c r="BB20" s="1443"/>
      <c r="BF20" s="1173"/>
    </row>
    <row customHeight="1" ht="14.625">
      <c r="E21" s="797">
        <v>15</v>
      </c>
      <c r="AA21" s="820"/>
      <c r="AC21" s="403" cm="1" t="str">
        <f t="array" ref="AC21:AC21">tpl_title</f>
        <v>Кемеровская область / 2026 / ООО "ВЕЛЕС" (ИНН:4212036655, КПП:421201001) / ДПР: 2016-2025</v>
      </c>
      <c r="AI21" s="202"/>
      <c r="AJ21" s="202"/>
      <c r="AK21" s="202"/>
      <c r="AL21" s="202"/>
      <c r="AM21" s="202"/>
      <c r="AN21" s="202"/>
      <c r="AO21" s="202"/>
      <c r="AP21" s="202"/>
      <c r="AQ21" s="202"/>
      <c r="AR21" s="202"/>
      <c r="AS21" s="202"/>
      <c r="AT21" s="202"/>
      <c r="AU21" s="202"/>
      <c r="AV21" s="202"/>
      <c r="AW21" s="202"/>
      <c r="AX21" s="202"/>
      <c r="AY21" s="202"/>
      <c r="AZ21" s="202"/>
      <c r="BA21" s="202"/>
      <c r="BB21" s="202"/>
    </row>
    <row customHeight="1" ht="19.5975">
      <c r="E22" s="797">
        <v>20.1</v>
      </c>
      <c r="AB22" s="392" t="s">
        <v>1019</v>
      </c>
      <c r="AC22" s="275"/>
      <c r="AD22" s="278"/>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7"/>
    </row>
    <row customHeight="1" ht="11.115">
      <c r="E23" s="797">
        <v>11.4</v>
      </c>
      <c r="AB23" s="1539"/>
      <c r="AC23" s="1539"/>
      <c r="AD23" s="1539"/>
      <c r="AE23" s="1539"/>
      <c r="AF23" s="1539"/>
      <c r="AG23" s="1539"/>
      <c r="AH23" s="1539"/>
      <c r="AI23" s="1539"/>
      <c r="AJ23" s="1539"/>
      <c r="AK23" s="1539"/>
      <c r="AL23" s="1539"/>
      <c r="AM23" s="1539"/>
      <c r="AN23" s="1539"/>
      <c r="AO23" s="1539"/>
      <c r="AP23" s="1539"/>
      <c r="AQ23" s="1539"/>
      <c r="AR23" s="1539"/>
      <c r="AS23" s="1539"/>
      <c r="AT23" s="1539"/>
      <c r="AU23" s="1539"/>
      <c r="AV23" s="1539"/>
      <c r="AW23" s="1539"/>
      <c r="AX23" s="1539"/>
      <c r="AY23" s="1539"/>
      <c r="AZ23" s="1539"/>
      <c r="BA23" s="1539"/>
      <c r="BB23" s="1539"/>
    </row>
    <row customHeight="1" ht="14.625">
      <c r="E24" s="797">
        <v>15</v>
      </c>
      <c r="AB24" s="1530" t="s">
        <v>995</v>
      </c>
      <c r="AC24" s="1538" t="s">
        <v>225</v>
      </c>
      <c r="AD24" s="1530" t="s">
        <v>441</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540" t="s">
        <v>595</v>
      </c>
    </row>
    <row customHeight="1" ht="48.847500000000004">
      <c r="E25" s="797">
        <v>50.1</v>
      </c>
      <c r="AB25" s="1530"/>
      <c r="AC25" s="1538"/>
      <c r="AD25" s="1530"/>
      <c r="AE25" s="170" t="s">
        <v>402</v>
      </c>
      <c r="AF25" s="1356" t="s">
        <v>596</v>
      </c>
      <c r="AG25" s="170" t="s">
        <v>597</v>
      </c>
      <c r="AH25" s="170" t="s">
        <v>402</v>
      </c>
      <c r="AI25" s="1357" t="s">
        <v>403</v>
      </c>
      <c r="AJ25" s="1357" t="s">
        <v>403</v>
      </c>
      <c r="AK25" s="1357" t="s">
        <v>403</v>
      </c>
      <c r="AL25" s="1357" t="s">
        <v>403</v>
      </c>
      <c r="AM25" s="1357" t="s">
        <v>403</v>
      </c>
      <c r="AN25" s="1357" t="s">
        <v>403</v>
      </c>
      <c r="AO25" s="1357" t="s">
        <v>403</v>
      </c>
      <c r="AP25" s="1357" t="s">
        <v>403</v>
      </c>
      <c r="AQ25" s="1357" t="s">
        <v>403</v>
      </c>
      <c r="AR25" s="1357" t="s">
        <v>403</v>
      </c>
      <c r="AS25" s="413" t="s">
        <v>402</v>
      </c>
      <c r="AT25" s="413" t="s">
        <v>402</v>
      </c>
      <c r="AU25" s="413" t="s">
        <v>402</v>
      </c>
      <c r="AV25" s="413" t="s">
        <v>402</v>
      </c>
      <c r="AW25" s="413" t="s">
        <v>402</v>
      </c>
      <c r="AX25" s="413" t="s">
        <v>402</v>
      </c>
      <c r="AY25" s="413" t="s">
        <v>402</v>
      </c>
      <c r="AZ25" s="413" t="s">
        <v>402</v>
      </c>
      <c r="BA25" s="413" t="s">
        <v>402</v>
      </c>
      <c r="BB25" s="413" t="s">
        <v>402</v>
      </c>
      <c r="BC25" s="1541"/>
    </row>
    <row customHeight="1" ht="50.25" hidden="1">
      <c r="E26" s="797">
        <v>0</v>
      </c>
      <c r="AB26" s="511"/>
      <c r="AC26" s="518"/>
      <c r="AD26" s="512"/>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19"/>
    </row>
    <row customHeight="1" ht="11.115" hidden="1">
      <c r="E27" s="797">
        <v>11.4</v>
      </c>
      <c r="F27" s="922" cm="1" t="str">
        <f t="array" ref="F27:F27">X27</f>
        <v>0</v>
      </c>
      <c r="T27" s="819">
        <f>X27&gt;0</f>
        <v>0</v>
      </c>
      <c r="V27" s="175" t="s">
        <v>310</v>
      </c>
      <c r="X27" s="159">
        <v>0</v>
      </c>
      <c r="AB27" s="290" cm="1" t="str">
        <f t="array" ref="AB27:AB27">INDEX('Общие сведения'!$AG$169:$AG$202,MATCH($F27,'Общие сведения'!$Z$169:$Z$202,0))</f>
        <v>Тариф 0 (Теплоснабжение)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row>
    <row s="217" customFormat="1" customHeight="1" ht="22.23" hidden="1">
      <c r="E28" s="797">
        <v>22.8</v>
      </c>
      <c r="F28" s="922" cm="1" t="str">
        <f t="array" ref="F28:F28">F27</f>
        <v>0</v>
      </c>
      <c r="T28" s="819" cm="1" t="str">
        <f t="array" ref="T28:T28">T27</f>
        <v>false</v>
      </c>
      <c r="AB28" s="280">
        <v>1</v>
      </c>
      <c r="AC28" s="281" t="s">
        <v>1020</v>
      </c>
      <c r="AD28" s="156" t="s">
        <v>810</v>
      </c>
      <c r="AE28" s="102">
        <f>SUM(AE29:AE32)+SUM(AE38:AE41)</f>
        <v>0</v>
      </c>
      <c r="AF28" s="102">
        <f>SUM(AF29:AF32)+SUM(AF38:AF41)</f>
        <v>0</v>
      </c>
      <c r="AG28" s="102">
        <f>SUM(AG29:AG32)+SUM(AG38:AG41)</f>
        <v>0</v>
      </c>
      <c r="AH28" s="102">
        <f>SUM(AH29:AH32)+SUM(AH38:AH41)</f>
        <v>0</v>
      </c>
      <c r="AI28" s="1880">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1880">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3" t="s">
        <v>1021</v>
      </c>
    </row>
    <row customHeight="1" ht="14.625" hidden="1">
      <c r="E29" s="797">
        <v>15</v>
      </c>
      <c r="F29" s="922" cm="1" t="str">
        <f t="array" ref="F29:F29">F28</f>
        <v>0</v>
      </c>
      <c r="T29" s="819" cm="1" t="str">
        <f t="array" ref="T29:T29">T28</f>
        <v>false</v>
      </c>
      <c r="AB29" s="489" t="s">
        <v>449</v>
      </c>
      <c r="AC29" s="490" t="s">
        <v>1022</v>
      </c>
      <c r="AD29" s="489" t="s">
        <v>1023</v>
      </c>
      <c r="AE29" s="61"/>
      <c r="AF29" s="61"/>
      <c r="AG29" s="61"/>
      <c r="AH29" s="61"/>
      <c r="AI29" s="1665"/>
      <c r="AJ29" s="61"/>
      <c r="AK29" s="61"/>
      <c r="AL29" s="61"/>
      <c r="AM29" s="61"/>
      <c r="AN29" s="61"/>
      <c r="AO29" s="61"/>
      <c r="AP29" s="61"/>
      <c r="AQ29" s="61"/>
      <c r="AR29" s="61"/>
      <c r="AS29" s="1665"/>
      <c r="AT29" s="61"/>
      <c r="AU29" s="61"/>
      <c r="AV29" s="61"/>
      <c r="AW29" s="61"/>
      <c r="AX29" s="61"/>
      <c r="AY29" s="61"/>
      <c r="AZ29" s="61"/>
      <c r="BA29" s="61"/>
      <c r="BB29" s="61"/>
      <c r="BC29" s="73"/>
      <c r="BF29" s="1173" t="s">
        <v>1024</v>
      </c>
    </row>
    <row customHeight="1" ht="14.625" hidden="1">
      <c r="E30" s="797">
        <v>15</v>
      </c>
      <c r="F30" s="922" cm="1" t="str">
        <f t="array" ref="F30:F30">F29</f>
        <v>0</v>
      </c>
      <c r="T30" s="819" cm="1" t="str">
        <f t="array" ref="T30:T30">T29</f>
        <v>false</v>
      </c>
      <c r="AB30" s="489" t="s">
        <v>935</v>
      </c>
      <c r="AC30" s="490" t="s">
        <v>1025</v>
      </c>
      <c r="AD30" s="489" t="s">
        <v>1023</v>
      </c>
      <c r="AE30" s="61"/>
      <c r="AF30" s="61"/>
      <c r="AG30" s="61"/>
      <c r="AH30" s="61"/>
      <c r="AI30" s="1665"/>
      <c r="AJ30" s="61"/>
      <c r="AK30" s="61"/>
      <c r="AL30" s="61"/>
      <c r="AM30" s="61"/>
      <c r="AN30" s="61"/>
      <c r="AO30" s="61"/>
      <c r="AP30" s="61"/>
      <c r="AQ30" s="61"/>
      <c r="AR30" s="61"/>
      <c r="AS30" s="1665"/>
      <c r="AT30" s="61"/>
      <c r="AU30" s="61"/>
      <c r="AV30" s="61"/>
      <c r="AW30" s="61"/>
      <c r="AX30" s="61"/>
      <c r="AY30" s="61"/>
      <c r="AZ30" s="61"/>
      <c r="BA30" s="61"/>
      <c r="BB30" s="61"/>
      <c r="BC30" s="73"/>
      <c r="BF30" s="1173" t="s">
        <v>1026</v>
      </c>
    </row>
    <row customHeight="1" ht="14.625" hidden="1">
      <c r="E31" s="797">
        <v>15</v>
      </c>
      <c r="F31" s="922" cm="1" t="str">
        <f t="array" ref="F31:F31">F30</f>
        <v>0</v>
      </c>
      <c r="T31" s="819" cm="1" t="str">
        <f t="array" ref="T31:T31">T30</f>
        <v>false</v>
      </c>
      <c r="AB31" s="489" t="s">
        <v>937</v>
      </c>
      <c r="AC31" s="490" t="s">
        <v>1027</v>
      </c>
      <c r="AD31" s="489" t="s">
        <v>1023</v>
      </c>
      <c r="AE31" s="61"/>
      <c r="AF31" s="61"/>
      <c r="AG31" s="61"/>
      <c r="AH31" s="61"/>
      <c r="AI31" s="1665"/>
      <c r="AJ31" s="61"/>
      <c r="AK31" s="61"/>
      <c r="AL31" s="61"/>
      <c r="AM31" s="61"/>
      <c r="AN31" s="61"/>
      <c r="AO31" s="61"/>
      <c r="AP31" s="61"/>
      <c r="AQ31" s="61"/>
      <c r="AR31" s="61"/>
      <c r="AS31" s="1665"/>
      <c r="AT31" s="61"/>
      <c r="AU31" s="61"/>
      <c r="AV31" s="61"/>
      <c r="AW31" s="61"/>
      <c r="AX31" s="61"/>
      <c r="AY31" s="61"/>
      <c r="AZ31" s="61"/>
      <c r="BA31" s="61"/>
      <c r="BB31" s="61"/>
      <c r="BC31" s="73"/>
      <c r="BF31" s="1173" t="s">
        <v>1028</v>
      </c>
    </row>
    <row customHeight="1" ht="14.625" hidden="1">
      <c r="E32" s="797">
        <v>15</v>
      </c>
      <c r="F32" s="922" cm="1" t="str">
        <f t="array" ref="F32:F32">F31</f>
        <v>0</v>
      </c>
      <c r="T32" s="819" cm="1" t="str">
        <f t="array" ref="T32:T32">T31</f>
        <v>false</v>
      </c>
      <c r="AB32" s="489" t="s">
        <v>941</v>
      </c>
      <c r="AC32" s="490" t="s">
        <v>1029</v>
      </c>
      <c r="AD32" s="489" t="s">
        <v>1023</v>
      </c>
      <c r="AE32" s="85">
        <f>SUM(AE33:AE37)</f>
        <v>0</v>
      </c>
      <c r="AF32" s="85">
        <f>SUM(AF33:AF37)</f>
        <v>0</v>
      </c>
      <c r="AG32" s="85">
        <f>SUM(AG33:AG37)</f>
        <v>0</v>
      </c>
      <c r="AH32" s="85">
        <f>SUM(AH33:AH37)</f>
        <v>0</v>
      </c>
      <c r="AI32" s="1731">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1731">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3" t="s">
        <v>1030</v>
      </c>
    </row>
    <row customHeight="1" ht="14.625" hidden="1">
      <c r="E33" s="797">
        <v>15</v>
      </c>
      <c r="F33" s="922" cm="1" t="str">
        <f t="array" ref="F33:F33">F32</f>
        <v>0</v>
      </c>
      <c r="T33" s="819" cm="1" t="str">
        <f t="array" ref="T33:T33">T32</f>
        <v>false</v>
      </c>
      <c r="AB33" s="489" t="s">
        <v>1031</v>
      </c>
      <c r="AC33" s="491" t="s">
        <v>1032</v>
      </c>
      <c r="AD33" s="489" t="s">
        <v>1023</v>
      </c>
      <c r="AE33" s="61"/>
      <c r="AF33" s="61"/>
      <c r="AG33" s="61"/>
      <c r="AH33" s="61"/>
      <c r="AI33" s="1665"/>
      <c r="AJ33" s="61"/>
      <c r="AK33" s="61"/>
      <c r="AL33" s="61"/>
      <c r="AM33" s="61"/>
      <c r="AN33" s="61"/>
      <c r="AO33" s="61"/>
      <c r="AP33" s="61"/>
      <c r="AQ33" s="61"/>
      <c r="AR33" s="61"/>
      <c r="AS33" s="1665"/>
      <c r="AT33" s="61"/>
      <c r="AU33" s="61"/>
      <c r="AV33" s="61"/>
      <c r="AW33" s="61"/>
      <c r="AX33" s="61"/>
      <c r="AY33" s="61"/>
      <c r="AZ33" s="61"/>
      <c r="BA33" s="61"/>
      <c r="BB33" s="61"/>
      <c r="BC33" s="73"/>
      <c r="BF33" s="1173" t="s">
        <v>1033</v>
      </c>
    </row>
    <row customHeight="1" ht="14.625" hidden="1">
      <c r="E34" s="797">
        <v>15</v>
      </c>
      <c r="F34" s="922" cm="1" t="str">
        <f t="array" ref="F34:F34">F33</f>
        <v>0</v>
      </c>
      <c r="T34" s="819" cm="1" t="str">
        <f t="array" ref="T34:T34">T33</f>
        <v>false</v>
      </c>
      <c r="AB34" s="489" t="s">
        <v>1034</v>
      </c>
      <c r="AC34" s="491" t="s">
        <v>1035</v>
      </c>
      <c r="AD34" s="489" t="s">
        <v>1023</v>
      </c>
      <c r="AE34" s="61"/>
      <c r="AF34" s="61"/>
      <c r="AG34" s="61"/>
      <c r="AH34" s="61"/>
      <c r="AI34" s="1665"/>
      <c r="AJ34" s="61"/>
      <c r="AK34" s="61"/>
      <c r="AL34" s="61"/>
      <c r="AM34" s="61"/>
      <c r="AN34" s="61"/>
      <c r="AO34" s="61"/>
      <c r="AP34" s="61"/>
      <c r="AQ34" s="61"/>
      <c r="AR34" s="61"/>
      <c r="AS34" s="1665"/>
      <c r="AT34" s="61"/>
      <c r="AU34" s="61"/>
      <c r="AV34" s="61"/>
      <c r="AW34" s="61"/>
      <c r="AX34" s="61"/>
      <c r="AY34" s="61"/>
      <c r="AZ34" s="61"/>
      <c r="BA34" s="61"/>
      <c r="BB34" s="61"/>
      <c r="BC34" s="73"/>
      <c r="BF34" s="1173" t="s">
        <v>1036</v>
      </c>
    </row>
    <row customHeight="1" ht="14.625" hidden="1">
      <c r="E35" s="797">
        <v>15</v>
      </c>
      <c r="F35" s="922" cm="1" t="str">
        <f t="array" ref="F35:F35">F34</f>
        <v>0</v>
      </c>
      <c r="T35" s="819" cm="1" t="str">
        <f t="array" ref="T35:T35">T34</f>
        <v>false</v>
      </c>
      <c r="AB35" s="489" t="s">
        <v>1037</v>
      </c>
      <c r="AC35" s="491" t="s">
        <v>1038</v>
      </c>
      <c r="AD35" s="489" t="s">
        <v>1023</v>
      </c>
      <c r="AE35" s="61"/>
      <c r="AF35" s="61"/>
      <c r="AG35" s="61"/>
      <c r="AH35" s="61"/>
      <c r="AI35" s="1665"/>
      <c r="AJ35" s="61"/>
      <c r="AK35" s="61"/>
      <c r="AL35" s="61"/>
      <c r="AM35" s="61"/>
      <c r="AN35" s="61"/>
      <c r="AO35" s="61"/>
      <c r="AP35" s="61"/>
      <c r="AQ35" s="61"/>
      <c r="AR35" s="61"/>
      <c r="AS35" s="1665"/>
      <c r="AT35" s="61"/>
      <c r="AU35" s="61"/>
      <c r="AV35" s="61"/>
      <c r="AW35" s="61"/>
      <c r="AX35" s="61"/>
      <c r="AY35" s="61"/>
      <c r="AZ35" s="61"/>
      <c r="BA35" s="61"/>
      <c r="BB35" s="61"/>
      <c r="BC35" s="73"/>
      <c r="BF35" s="1173" t="s">
        <v>1039</v>
      </c>
    </row>
    <row customHeight="1" ht="14.625" hidden="1">
      <c r="E36" s="797">
        <v>15</v>
      </c>
      <c r="F36" s="922" cm="1" t="str">
        <f t="array" ref="F36:F36">F35</f>
        <v>0</v>
      </c>
      <c r="T36" s="819" cm="1" t="str">
        <f t="array" ref="T36:T36">T35</f>
        <v>false</v>
      </c>
      <c r="AB36" s="489" t="s">
        <v>1040</v>
      </c>
      <c r="AC36" s="491" t="s">
        <v>1041</v>
      </c>
      <c r="AD36" s="489" t="s">
        <v>1023</v>
      </c>
      <c r="AE36" s="61"/>
      <c r="AF36" s="61"/>
      <c r="AG36" s="61"/>
      <c r="AH36" s="61"/>
      <c r="AI36" s="1665"/>
      <c r="AJ36" s="61"/>
      <c r="AK36" s="61"/>
      <c r="AL36" s="61"/>
      <c r="AM36" s="61"/>
      <c r="AN36" s="61"/>
      <c r="AO36" s="61"/>
      <c r="AP36" s="61"/>
      <c r="AQ36" s="61"/>
      <c r="AR36" s="61"/>
      <c r="AS36" s="1665"/>
      <c r="AT36" s="61"/>
      <c r="AU36" s="61"/>
      <c r="AV36" s="61"/>
      <c r="AW36" s="61"/>
      <c r="AX36" s="61"/>
      <c r="AY36" s="61"/>
      <c r="AZ36" s="61"/>
      <c r="BA36" s="61"/>
      <c r="BB36" s="61"/>
      <c r="BC36" s="73"/>
      <c r="BF36" s="1173" t="s">
        <v>1042</v>
      </c>
    </row>
    <row customHeight="1" ht="14.625" hidden="1">
      <c r="E37" s="797">
        <v>15</v>
      </c>
      <c r="F37" s="922" cm="1" t="str">
        <f t="array" ref="F37:F37">F36</f>
        <v>0</v>
      </c>
      <c r="T37" s="819" cm="1" t="str">
        <f t="array" ref="T37:T37">T36</f>
        <v>false</v>
      </c>
      <c r="AB37" s="489" t="s">
        <v>1043</v>
      </c>
      <c r="AC37" s="491" t="s">
        <v>1044</v>
      </c>
      <c r="AD37" s="489" t="s">
        <v>1023</v>
      </c>
      <c r="AE37" s="61"/>
      <c r="AF37" s="61"/>
      <c r="AG37" s="61"/>
      <c r="AH37" s="61"/>
      <c r="AI37" s="1665"/>
      <c r="AJ37" s="61"/>
      <c r="AK37" s="61"/>
      <c r="AL37" s="61"/>
      <c r="AM37" s="61"/>
      <c r="AN37" s="61"/>
      <c r="AO37" s="61"/>
      <c r="AP37" s="61"/>
      <c r="AQ37" s="61"/>
      <c r="AR37" s="61"/>
      <c r="AS37" s="1665"/>
      <c r="AT37" s="61"/>
      <c r="AU37" s="61"/>
      <c r="AV37" s="61"/>
      <c r="AW37" s="61"/>
      <c r="AX37" s="61"/>
      <c r="AY37" s="61"/>
      <c r="AZ37" s="61"/>
      <c r="BA37" s="61"/>
      <c r="BB37" s="61"/>
      <c r="BC37" s="73"/>
      <c r="BF37" s="1173" t="s">
        <v>1045</v>
      </c>
    </row>
    <row customHeight="1" ht="14.625" hidden="1">
      <c r="E38" s="797">
        <v>15</v>
      </c>
      <c r="F38" s="922" cm="1" t="str">
        <f t="array" ref="F38:F38">F37</f>
        <v>0</v>
      </c>
      <c r="T38" s="819" cm="1" t="str">
        <f t="array" ref="T38:T38">T37</f>
        <v>false</v>
      </c>
      <c r="AB38" s="489" t="s">
        <v>1046</v>
      </c>
      <c r="AC38" s="490" t="s">
        <v>1047</v>
      </c>
      <c r="AD38" s="489" t="s">
        <v>1023</v>
      </c>
      <c r="AE38" s="61"/>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73"/>
      <c r="BF38" s="1173" t="s">
        <v>1048</v>
      </c>
    </row>
    <row customHeight="1" ht="14.625" hidden="1">
      <c r="E39" s="797">
        <v>15</v>
      </c>
      <c r="F39" s="922" cm="1" t="str">
        <f t="array" ref="F39:F39">F38</f>
        <v>0</v>
      </c>
      <c r="T39" s="819" cm="1" t="str">
        <f t="array" ref="T39:T39">T38</f>
        <v>false</v>
      </c>
      <c r="AB39" s="489" t="s">
        <v>1049</v>
      </c>
      <c r="AC39" s="490" t="s">
        <v>1050</v>
      </c>
      <c r="AD39" s="489" t="s">
        <v>1023</v>
      </c>
      <c r="AE39" s="61"/>
      <c r="AF39" s="61"/>
      <c r="AG39" s="61"/>
      <c r="AH39" s="61"/>
      <c r="AI39" s="1665"/>
      <c r="AJ39" s="61"/>
      <c r="AK39" s="61"/>
      <c r="AL39" s="61"/>
      <c r="AM39" s="61"/>
      <c r="AN39" s="61"/>
      <c r="AO39" s="61"/>
      <c r="AP39" s="61"/>
      <c r="AQ39" s="61"/>
      <c r="AR39" s="61"/>
      <c r="AS39" s="1665"/>
      <c r="AT39" s="61"/>
      <c r="AU39" s="61"/>
      <c r="AV39" s="61"/>
      <c r="AW39" s="61"/>
      <c r="AX39" s="61"/>
      <c r="AY39" s="61"/>
      <c r="AZ39" s="61"/>
      <c r="BA39" s="61"/>
      <c r="BB39" s="61"/>
      <c r="BC39" s="73"/>
      <c r="BF39" s="1173" t="s">
        <v>1051</v>
      </c>
    </row>
    <row customHeight="1" ht="14.625" hidden="1">
      <c r="E40" s="797">
        <v>15</v>
      </c>
      <c r="F40" s="922" cm="1" t="str">
        <f t="array" ref="F40:F40">F39</f>
        <v>0</v>
      </c>
      <c r="T40" s="819" cm="1" t="str">
        <f t="array" ref="T40:T40">T39</f>
        <v>false</v>
      </c>
      <c r="AB40" s="489" t="s">
        <v>1052</v>
      </c>
      <c r="AC40" s="490" t="s">
        <v>1053</v>
      </c>
      <c r="AD40" s="489" t="s">
        <v>1023</v>
      </c>
      <c r="AE40" s="61"/>
      <c r="AF40" s="61"/>
      <c r="AG40" s="61"/>
      <c r="AH40" s="61"/>
      <c r="AI40" s="1665"/>
      <c r="AJ40" s="61"/>
      <c r="AK40" s="61"/>
      <c r="AL40" s="61"/>
      <c r="AM40" s="61"/>
      <c r="AN40" s="61"/>
      <c r="AO40" s="61"/>
      <c r="AP40" s="61"/>
      <c r="AQ40" s="61"/>
      <c r="AR40" s="61"/>
      <c r="AS40" s="1665"/>
      <c r="AT40" s="61"/>
      <c r="AU40" s="61"/>
      <c r="AV40" s="61"/>
      <c r="AW40" s="61"/>
      <c r="AX40" s="61"/>
      <c r="AY40" s="61"/>
      <c r="AZ40" s="61"/>
      <c r="BA40" s="61"/>
      <c r="BB40" s="61"/>
      <c r="BC40" s="73"/>
      <c r="BF40" s="1173" t="s">
        <v>1054</v>
      </c>
    </row>
    <row customHeight="1" ht="14.625" hidden="1">
      <c r="E41" s="797">
        <v>15</v>
      </c>
      <c r="F41" s="922" cm="1" t="str">
        <f t="array" ref="F41:F41">F40</f>
        <v>0</v>
      </c>
      <c r="T41" s="819" cm="1" t="str">
        <f t="array" ref="T41:T41">T40</f>
        <v>false</v>
      </c>
      <c r="AB41" s="489" t="s">
        <v>1055</v>
      </c>
      <c r="AC41" s="490" t="s">
        <v>1056</v>
      </c>
      <c r="AD41" s="489" t="s">
        <v>1023</v>
      </c>
      <c r="AE41" s="61"/>
      <c r="AF41" s="61"/>
      <c r="AG41" s="61"/>
      <c r="AH41" s="61"/>
      <c r="AI41" s="1665"/>
      <c r="AJ41" s="61"/>
      <c r="AK41" s="61"/>
      <c r="AL41" s="61"/>
      <c r="AM41" s="61"/>
      <c r="AN41" s="61"/>
      <c r="AO41" s="61"/>
      <c r="AP41" s="61"/>
      <c r="AQ41" s="61"/>
      <c r="AR41" s="61"/>
      <c r="AS41" s="1665"/>
      <c r="AT41" s="61"/>
      <c r="AU41" s="61"/>
      <c r="AV41" s="61"/>
      <c r="AW41" s="61"/>
      <c r="AX41" s="61"/>
      <c r="AY41" s="61"/>
      <c r="AZ41" s="61"/>
      <c r="BA41" s="61"/>
      <c r="BB41" s="61"/>
      <c r="BC41" s="73"/>
      <c r="BF41" s="1173" t="s">
        <v>1057</v>
      </c>
    </row>
    <row s="217" customFormat="1" customHeight="1" ht="44.46" hidden="1">
      <c r="E42" s="797">
        <v>45.6</v>
      </c>
      <c r="F42" s="922" cm="1" t="str">
        <f t="array" ref="F42:F42">F41</f>
        <v>0</v>
      </c>
      <c r="T42" s="819" cm="1" t="str">
        <f t="array" ref="T42:T42">T41</f>
        <v>false</v>
      </c>
      <c r="AB42" s="280">
        <v>2</v>
      </c>
      <c r="AC42" s="281" t="s">
        <v>1058</v>
      </c>
      <c r="AD42" s="156" t="s">
        <v>810</v>
      </c>
      <c r="AE42" s="102">
        <f>SUM(AE43:AE46)+SUM(AE52:AE55)</f>
        <v>0</v>
      </c>
      <c r="AF42" s="102">
        <f>SUM(AF43:AF46)+SUM(AF52:AF55)</f>
        <v>0</v>
      </c>
      <c r="AG42" s="102">
        <f>SUM(AG43:AG46)+SUM(AG52:AG55)</f>
        <v>0</v>
      </c>
      <c r="AH42" s="102">
        <f>SUM(AH43:AH46)+SUM(AH52:AH55)</f>
        <v>0</v>
      </c>
      <c r="AI42" s="1880">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1880">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3" t="s">
        <v>1059</v>
      </c>
    </row>
    <row customHeight="1" ht="14.625" hidden="1">
      <c r="E43" s="797">
        <v>15</v>
      </c>
      <c r="F43" s="922" cm="1" t="str">
        <f t="array" ref="F43:F43">F42</f>
        <v>0</v>
      </c>
      <c r="T43" s="819" cm="1" t="str">
        <f t="array" ref="T43:T43">T42</f>
        <v>false</v>
      </c>
      <c r="AB43" s="489" t="str">
        <f>AB42&amp;".1"</f>
        <v>2.1</v>
      </c>
      <c r="AC43" s="490" t="s">
        <v>1022</v>
      </c>
      <c r="AD43" s="489" t="s">
        <v>1023</v>
      </c>
      <c r="AE43" s="61"/>
      <c r="AF43" s="61"/>
      <c r="AG43" s="61"/>
      <c r="AH43" s="61"/>
      <c r="AI43" s="1665"/>
      <c r="AJ43" s="61"/>
      <c r="AK43" s="61"/>
      <c r="AL43" s="61"/>
      <c r="AM43" s="61"/>
      <c r="AN43" s="61"/>
      <c r="AO43" s="61"/>
      <c r="AP43" s="61"/>
      <c r="AQ43" s="61"/>
      <c r="AR43" s="61"/>
      <c r="AS43" s="1665"/>
      <c r="AT43" s="61"/>
      <c r="AU43" s="61"/>
      <c r="AV43" s="61"/>
      <c r="AW43" s="61"/>
      <c r="AX43" s="61"/>
      <c r="AY43" s="61"/>
      <c r="AZ43" s="61"/>
      <c r="BA43" s="61"/>
      <c r="BB43" s="61"/>
      <c r="BC43" s="73"/>
      <c r="BF43" s="1173" t="s">
        <v>1060</v>
      </c>
    </row>
    <row customHeight="1" ht="14.625" hidden="1">
      <c r="E44" s="797">
        <v>15</v>
      </c>
      <c r="F44" s="922" cm="1" t="str">
        <f t="array" ref="F44:F44">F43</f>
        <v>0</v>
      </c>
      <c r="T44" s="819" cm="1" t="str">
        <f t="array" ref="T44:T44">T43</f>
        <v>false</v>
      </c>
      <c r="AB44" s="489" t="str">
        <f>AB42&amp;".2"</f>
        <v>2.2</v>
      </c>
      <c r="AC44" s="490" t="s">
        <v>1025</v>
      </c>
      <c r="AD44" s="489" t="s">
        <v>1023</v>
      </c>
      <c r="AE44" s="61"/>
      <c r="AF44" s="61"/>
      <c r="AG44" s="61"/>
      <c r="AH44" s="61"/>
      <c r="AI44" s="1665"/>
      <c r="AJ44" s="61"/>
      <c r="AK44" s="61"/>
      <c r="AL44" s="61"/>
      <c r="AM44" s="61"/>
      <c r="AN44" s="61"/>
      <c r="AO44" s="61"/>
      <c r="AP44" s="61"/>
      <c r="AQ44" s="61"/>
      <c r="AR44" s="61"/>
      <c r="AS44" s="1665"/>
      <c r="AT44" s="61"/>
      <c r="AU44" s="61"/>
      <c r="AV44" s="61"/>
      <c r="AW44" s="61"/>
      <c r="AX44" s="61"/>
      <c r="AY44" s="61"/>
      <c r="AZ44" s="61"/>
      <c r="BA44" s="61"/>
      <c r="BB44" s="61"/>
      <c r="BC44" s="73"/>
      <c r="BF44" s="1173" t="s">
        <v>1061</v>
      </c>
    </row>
    <row customHeight="1" ht="14.625" hidden="1">
      <c r="E45" s="797">
        <v>15</v>
      </c>
      <c r="F45" s="922" cm="1" t="str">
        <f t="array" ref="F45:F45">F44</f>
        <v>0</v>
      </c>
      <c r="T45" s="819" cm="1" t="str">
        <f t="array" ref="T45:T45">T44</f>
        <v>false</v>
      </c>
      <c r="AB45" s="489" t="str">
        <f>AB42&amp;".3"</f>
        <v>2.3</v>
      </c>
      <c r="AC45" s="490" t="s">
        <v>1027</v>
      </c>
      <c r="AD45" s="489" t="s">
        <v>1023</v>
      </c>
      <c r="AE45" s="61"/>
      <c r="AF45" s="61"/>
      <c r="AG45" s="61"/>
      <c r="AH45" s="61"/>
      <c r="AI45" s="1665"/>
      <c r="AJ45" s="61"/>
      <c r="AK45" s="61"/>
      <c r="AL45" s="61"/>
      <c r="AM45" s="61"/>
      <c r="AN45" s="61"/>
      <c r="AO45" s="61"/>
      <c r="AP45" s="61"/>
      <c r="AQ45" s="61"/>
      <c r="AR45" s="61"/>
      <c r="AS45" s="1665"/>
      <c r="AT45" s="61"/>
      <c r="AU45" s="61"/>
      <c r="AV45" s="61"/>
      <c r="AW45" s="61"/>
      <c r="AX45" s="61"/>
      <c r="AY45" s="61"/>
      <c r="AZ45" s="61"/>
      <c r="BA45" s="61"/>
      <c r="BB45" s="61"/>
      <c r="BC45" s="73"/>
      <c r="BF45" s="1173" t="s">
        <v>1062</v>
      </c>
    </row>
    <row customHeight="1" ht="14.625" hidden="1">
      <c r="E46" s="797">
        <v>15</v>
      </c>
      <c r="F46" s="922" cm="1" t="str">
        <f t="array" ref="F46:F46">F45</f>
        <v>0</v>
      </c>
      <c r="T46" s="819" cm="1" t="str">
        <f t="array" ref="T46:T46">T45</f>
        <v>false</v>
      </c>
      <c r="AB46" s="489" t="str">
        <f>AB42&amp;".4"</f>
        <v>2.4</v>
      </c>
      <c r="AC46" s="490" t="s">
        <v>1029</v>
      </c>
      <c r="AD46" s="489" t="s">
        <v>1023</v>
      </c>
      <c r="AE46" s="85">
        <f>SUM(AE47:AE51)</f>
        <v>0</v>
      </c>
      <c r="AF46" s="85">
        <f>SUM(AF47:AF51)</f>
        <v>0</v>
      </c>
      <c r="AG46" s="85">
        <f>SUM(AG47:AG51)</f>
        <v>0</v>
      </c>
      <c r="AH46" s="85">
        <f>SUM(AH47:AH51)</f>
        <v>0</v>
      </c>
      <c r="AI46" s="1731">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1731">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3" t="s">
        <v>1063</v>
      </c>
    </row>
    <row customHeight="1" ht="14.625" hidden="1">
      <c r="E47" s="797">
        <v>15</v>
      </c>
      <c r="F47" s="922" cm="1" t="str">
        <f t="array" ref="F47:F47">F46</f>
        <v>0</v>
      </c>
      <c r="T47" s="819" cm="1" t="str">
        <f t="array" ref="T47:T47">T46</f>
        <v>false</v>
      </c>
      <c r="AB47" s="489" t="str">
        <f>AB46&amp;".1"</f>
        <v>2.4.1</v>
      </c>
      <c r="AC47" s="491" t="s">
        <v>1032</v>
      </c>
      <c r="AD47" s="489" t="s">
        <v>1023</v>
      </c>
      <c r="AE47" s="61"/>
      <c r="AF47" s="61"/>
      <c r="AG47" s="61"/>
      <c r="AH47" s="61"/>
      <c r="AI47" s="1665"/>
      <c r="AJ47" s="61"/>
      <c r="AK47" s="61"/>
      <c r="AL47" s="61"/>
      <c r="AM47" s="61"/>
      <c r="AN47" s="61"/>
      <c r="AO47" s="61"/>
      <c r="AP47" s="61"/>
      <c r="AQ47" s="61"/>
      <c r="AR47" s="61"/>
      <c r="AS47" s="1665"/>
      <c r="AT47" s="61"/>
      <c r="AU47" s="61"/>
      <c r="AV47" s="61"/>
      <c r="AW47" s="61"/>
      <c r="AX47" s="61"/>
      <c r="AY47" s="61"/>
      <c r="AZ47" s="61"/>
      <c r="BA47" s="61"/>
      <c r="BB47" s="61"/>
      <c r="BC47" s="73"/>
      <c r="BF47" s="1173" t="s">
        <v>1064</v>
      </c>
    </row>
    <row customHeight="1" ht="14.625" hidden="1">
      <c r="E48" s="797">
        <v>15</v>
      </c>
      <c r="F48" s="922" cm="1" t="str">
        <f t="array" ref="F48:F48">F47</f>
        <v>0</v>
      </c>
      <c r="T48" s="819" cm="1" t="str">
        <f t="array" ref="T48:T48">T47</f>
        <v>false</v>
      </c>
      <c r="AB48" s="489" t="str">
        <f>AB46&amp;".2"</f>
        <v>2.4.2</v>
      </c>
      <c r="AC48" s="491" t="s">
        <v>1035</v>
      </c>
      <c r="AD48" s="489" t="s">
        <v>1023</v>
      </c>
      <c r="AE48" s="61"/>
      <c r="AF48" s="61"/>
      <c r="AG48" s="61"/>
      <c r="AH48" s="61"/>
      <c r="AI48" s="1665"/>
      <c r="AJ48" s="61"/>
      <c r="AK48" s="61"/>
      <c r="AL48" s="61"/>
      <c r="AM48" s="61"/>
      <c r="AN48" s="61"/>
      <c r="AO48" s="61"/>
      <c r="AP48" s="61"/>
      <c r="AQ48" s="61"/>
      <c r="AR48" s="61"/>
      <c r="AS48" s="1665"/>
      <c r="AT48" s="61"/>
      <c r="AU48" s="61"/>
      <c r="AV48" s="61"/>
      <c r="AW48" s="61"/>
      <c r="AX48" s="61"/>
      <c r="AY48" s="61"/>
      <c r="AZ48" s="61"/>
      <c r="BA48" s="61"/>
      <c r="BB48" s="61"/>
      <c r="BC48" s="73"/>
      <c r="BF48" s="1173" t="s">
        <v>1065</v>
      </c>
    </row>
    <row customHeight="1" ht="14.625" hidden="1">
      <c r="E49" s="797">
        <v>15</v>
      </c>
      <c r="F49" s="922" cm="1" t="str">
        <f t="array" ref="F49:F49">F48</f>
        <v>0</v>
      </c>
      <c r="T49" s="819" cm="1" t="str">
        <f t="array" ref="T49:T49">T48</f>
        <v>false</v>
      </c>
      <c r="AB49" s="489" t="str">
        <f>AB46&amp;".3"</f>
        <v>2.4.3</v>
      </c>
      <c r="AC49" s="491" t="s">
        <v>1038</v>
      </c>
      <c r="AD49" s="489" t="s">
        <v>1023</v>
      </c>
      <c r="AE49" s="61"/>
      <c r="AF49" s="61"/>
      <c r="AG49" s="61"/>
      <c r="AH49" s="61"/>
      <c r="AI49" s="1665"/>
      <c r="AJ49" s="61"/>
      <c r="AK49" s="61"/>
      <c r="AL49" s="61"/>
      <c r="AM49" s="61"/>
      <c r="AN49" s="61"/>
      <c r="AO49" s="61"/>
      <c r="AP49" s="61"/>
      <c r="AQ49" s="61"/>
      <c r="AR49" s="61"/>
      <c r="AS49" s="1665"/>
      <c r="AT49" s="61"/>
      <c r="AU49" s="61"/>
      <c r="AV49" s="61"/>
      <c r="AW49" s="61"/>
      <c r="AX49" s="61"/>
      <c r="AY49" s="61"/>
      <c r="AZ49" s="61"/>
      <c r="BA49" s="61"/>
      <c r="BB49" s="61"/>
      <c r="BC49" s="73"/>
      <c r="BF49" s="1173" t="s">
        <v>1066</v>
      </c>
    </row>
    <row customHeight="1" ht="14.625" hidden="1">
      <c r="E50" s="797">
        <v>15</v>
      </c>
      <c r="F50" s="922" cm="1" t="str">
        <f t="array" ref="F50:F50">F49</f>
        <v>0</v>
      </c>
      <c r="T50" s="819" cm="1" t="str">
        <f t="array" ref="T50:T50">T49</f>
        <v>false</v>
      </c>
      <c r="AB50" s="489" t="str">
        <f>AB46&amp;".4"</f>
        <v>2.4.4</v>
      </c>
      <c r="AC50" s="491" t="s">
        <v>1041</v>
      </c>
      <c r="AD50" s="489" t="s">
        <v>1023</v>
      </c>
      <c r="AE50" s="61"/>
      <c r="AF50" s="61"/>
      <c r="AG50" s="61"/>
      <c r="AH50" s="61"/>
      <c r="AI50" s="1665"/>
      <c r="AJ50" s="61"/>
      <c r="AK50" s="61"/>
      <c r="AL50" s="61"/>
      <c r="AM50" s="61"/>
      <c r="AN50" s="61"/>
      <c r="AO50" s="61"/>
      <c r="AP50" s="61"/>
      <c r="AQ50" s="61"/>
      <c r="AR50" s="61"/>
      <c r="AS50" s="1665"/>
      <c r="AT50" s="61"/>
      <c r="AU50" s="61"/>
      <c r="AV50" s="61"/>
      <c r="AW50" s="61"/>
      <c r="AX50" s="61"/>
      <c r="AY50" s="61"/>
      <c r="AZ50" s="61"/>
      <c r="BA50" s="61"/>
      <c r="BB50" s="61"/>
      <c r="BC50" s="73"/>
      <c r="BF50" s="1173" t="s">
        <v>1067</v>
      </c>
    </row>
    <row customHeight="1" ht="14.625" hidden="1">
      <c r="E51" s="797">
        <v>15</v>
      </c>
      <c r="F51" s="922" cm="1" t="str">
        <f t="array" ref="F51:F51">F50</f>
        <v>0</v>
      </c>
      <c r="T51" s="819" cm="1" t="str">
        <f t="array" ref="T51:T51">T50</f>
        <v>false</v>
      </c>
      <c r="AB51" s="489" t="str">
        <f>AB46&amp;".5"</f>
        <v>2.4.5</v>
      </c>
      <c r="AC51" s="491" t="s">
        <v>1044</v>
      </c>
      <c r="AD51" s="489" t="s">
        <v>1023</v>
      </c>
      <c r="AE51" s="61"/>
      <c r="AF51" s="61"/>
      <c r="AG51" s="61"/>
      <c r="AH51" s="61"/>
      <c r="AI51" s="1665"/>
      <c r="AJ51" s="61"/>
      <c r="AK51" s="61"/>
      <c r="AL51" s="61"/>
      <c r="AM51" s="61"/>
      <c r="AN51" s="61"/>
      <c r="AO51" s="61"/>
      <c r="AP51" s="61"/>
      <c r="AQ51" s="61"/>
      <c r="AR51" s="61"/>
      <c r="AS51" s="1665"/>
      <c r="AT51" s="61"/>
      <c r="AU51" s="61"/>
      <c r="AV51" s="61"/>
      <c r="AW51" s="61"/>
      <c r="AX51" s="61"/>
      <c r="AY51" s="61"/>
      <c r="AZ51" s="61"/>
      <c r="BA51" s="61"/>
      <c r="BB51" s="61"/>
      <c r="BC51" s="73"/>
      <c r="BF51" s="1173" t="s">
        <v>1068</v>
      </c>
    </row>
    <row customHeight="1" ht="14.625" hidden="1">
      <c r="E52" s="797">
        <v>15</v>
      </c>
      <c r="F52" s="922" cm="1" t="str">
        <f t="array" ref="F52:F52">F51</f>
        <v>0</v>
      </c>
      <c r="T52" s="819" cm="1" t="str">
        <f t="array" ref="T52:T52">T51</f>
        <v>false</v>
      </c>
      <c r="AB52" s="489" t="str">
        <f>AB42&amp;".5"</f>
        <v>2.5</v>
      </c>
      <c r="AC52" s="490" t="s">
        <v>1047</v>
      </c>
      <c r="AD52" s="489" t="s">
        <v>1023</v>
      </c>
      <c r="AE52" s="61"/>
      <c r="AF52" s="61"/>
      <c r="AG52" s="61"/>
      <c r="AH52" s="61"/>
      <c r="AI52" s="1665"/>
      <c r="AJ52" s="61"/>
      <c r="AK52" s="61"/>
      <c r="AL52" s="61"/>
      <c r="AM52" s="61"/>
      <c r="AN52" s="61"/>
      <c r="AO52" s="61"/>
      <c r="AP52" s="61"/>
      <c r="AQ52" s="61"/>
      <c r="AR52" s="61"/>
      <c r="AS52" s="1665"/>
      <c r="AT52" s="61"/>
      <c r="AU52" s="61"/>
      <c r="AV52" s="61"/>
      <c r="AW52" s="61"/>
      <c r="AX52" s="61"/>
      <c r="AY52" s="61"/>
      <c r="AZ52" s="61"/>
      <c r="BA52" s="61"/>
      <c r="BB52" s="61"/>
      <c r="BC52" s="73"/>
      <c r="BF52" s="1173" t="s">
        <v>1069</v>
      </c>
    </row>
    <row customHeight="1" ht="14.625" hidden="1">
      <c r="E53" s="797">
        <v>15</v>
      </c>
      <c r="F53" s="922" cm="1" t="str">
        <f t="array" ref="F53:F53">F52</f>
        <v>0</v>
      </c>
      <c r="T53" s="819" cm="1" t="str">
        <f t="array" ref="T53:T53">T52</f>
        <v>false</v>
      </c>
      <c r="AB53" s="489" t="str">
        <f>AB42&amp;".6"</f>
        <v>2.6</v>
      </c>
      <c r="AC53" s="490" t="s">
        <v>1050</v>
      </c>
      <c r="AD53" s="489" t="s">
        <v>1023</v>
      </c>
      <c r="AE53" s="61"/>
      <c r="AF53" s="61"/>
      <c r="AG53" s="61"/>
      <c r="AH53" s="61"/>
      <c r="AI53" s="1665"/>
      <c r="AJ53" s="61"/>
      <c r="AK53" s="61"/>
      <c r="AL53" s="61"/>
      <c r="AM53" s="61"/>
      <c r="AN53" s="61"/>
      <c r="AO53" s="61"/>
      <c r="AP53" s="61"/>
      <c r="AQ53" s="61"/>
      <c r="AR53" s="61"/>
      <c r="AS53" s="1665"/>
      <c r="AT53" s="61"/>
      <c r="AU53" s="61"/>
      <c r="AV53" s="61"/>
      <c r="AW53" s="61"/>
      <c r="AX53" s="61"/>
      <c r="AY53" s="61"/>
      <c r="AZ53" s="61"/>
      <c r="BA53" s="61"/>
      <c r="BB53" s="61"/>
      <c r="BC53" s="73"/>
      <c r="BF53" s="1173" t="s">
        <v>1070</v>
      </c>
    </row>
    <row customHeight="1" ht="14.625" hidden="1">
      <c r="E54" s="797">
        <v>15</v>
      </c>
      <c r="F54" s="922" cm="1" t="str">
        <f t="array" ref="F54:F54">F53</f>
        <v>0</v>
      </c>
      <c r="T54" s="819" cm="1" t="str">
        <f t="array" ref="T54:T54">T53</f>
        <v>false</v>
      </c>
      <c r="AB54" s="489" t="str">
        <f>AB42&amp;".7"</f>
        <v>2.7</v>
      </c>
      <c r="AC54" s="490" t="s">
        <v>1053</v>
      </c>
      <c r="AD54" s="489" t="s">
        <v>1023</v>
      </c>
      <c r="AE54" s="61"/>
      <c r="AF54" s="61"/>
      <c r="AG54" s="61"/>
      <c r="AH54" s="61"/>
      <c r="AI54" s="1665"/>
      <c r="AJ54" s="61"/>
      <c r="AK54" s="61"/>
      <c r="AL54" s="61"/>
      <c r="AM54" s="61"/>
      <c r="AN54" s="61"/>
      <c r="AO54" s="61"/>
      <c r="AP54" s="61"/>
      <c r="AQ54" s="61"/>
      <c r="AR54" s="61"/>
      <c r="AS54" s="1665"/>
      <c r="AT54" s="61"/>
      <c r="AU54" s="61"/>
      <c r="AV54" s="61"/>
      <c r="AW54" s="61"/>
      <c r="AX54" s="61"/>
      <c r="AY54" s="61"/>
      <c r="AZ54" s="61"/>
      <c r="BA54" s="61"/>
      <c r="BB54" s="61"/>
      <c r="BC54" s="73"/>
      <c r="BF54" s="1173" t="s">
        <v>1071</v>
      </c>
    </row>
    <row customHeight="1" ht="14.625" hidden="1">
      <c r="E55" s="797">
        <v>15</v>
      </c>
      <c r="F55" s="922" cm="1" t="str">
        <f t="array" ref="F55:F55">F54</f>
        <v>0</v>
      </c>
      <c r="T55" s="819" cm="1" t="str">
        <f t="array" ref="T55:T55">T54</f>
        <v>false</v>
      </c>
      <c r="AB55" s="489" t="str">
        <f>AB42&amp;".8"</f>
        <v>2.8</v>
      </c>
      <c r="AC55" s="490" t="s">
        <v>1056</v>
      </c>
      <c r="AD55" s="489" t="s">
        <v>1023</v>
      </c>
      <c r="AE55" s="61"/>
      <c r="AF55" s="61"/>
      <c r="AG55" s="61"/>
      <c r="AH55" s="61"/>
      <c r="AI55" s="1665"/>
      <c r="AJ55" s="61"/>
      <c r="AK55" s="61"/>
      <c r="AL55" s="61"/>
      <c r="AM55" s="61"/>
      <c r="AN55" s="61"/>
      <c r="AO55" s="61"/>
      <c r="AP55" s="61"/>
      <c r="AQ55" s="61"/>
      <c r="AR55" s="61"/>
      <c r="AS55" s="1665"/>
      <c r="AT55" s="61"/>
      <c r="AU55" s="61"/>
      <c r="AV55" s="61"/>
      <c r="AW55" s="61"/>
      <c r="AX55" s="61"/>
      <c r="AY55" s="61"/>
      <c r="AZ55" s="61"/>
      <c r="BA55" s="61"/>
      <c r="BB55" s="61"/>
      <c r="BC55" s="73"/>
      <c r="BF55" s="1173" t="s">
        <v>1072</v>
      </c>
    </row>
    <row s="217" customFormat="1" customHeight="1" ht="14.625" hidden="1">
      <c r="E56" s="797">
        <v>15</v>
      </c>
      <c r="F56" s="922" cm="1" t="str">
        <f t="array" ref="F56:F56">F55</f>
        <v>0</v>
      </c>
      <c r="T56" s="819" cm="1" t="str">
        <f t="array" ref="T56:T56">T55</f>
        <v>false</v>
      </c>
      <c r="AB56" s="280">
        <v>3</v>
      </c>
      <c r="AC56" s="281" t="s">
        <v>1073</v>
      </c>
      <c r="AD56" s="156" t="s">
        <v>810</v>
      </c>
      <c r="AE56" s="102">
        <f>SUM(AE57:AE60)+SUM(AE66:AE69)</f>
        <v>0</v>
      </c>
      <c r="AF56" s="102">
        <f>SUM(AF57:AF60)+SUM(AF66:AF69)</f>
        <v>0</v>
      </c>
      <c r="AG56" s="102">
        <f>SUM(AG57:AG60)+SUM(AG66:AG69)</f>
        <v>0</v>
      </c>
      <c r="AH56" s="102">
        <f>SUM(AH57:AH60)+SUM(AH66:AH69)</f>
        <v>0</v>
      </c>
      <c r="AI56" s="1880">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1880">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3" t="s">
        <v>1074</v>
      </c>
    </row>
    <row customHeight="1" ht="14.625" hidden="1">
      <c r="E57" s="797">
        <v>15</v>
      </c>
      <c r="F57" s="922" cm="1" t="str">
        <f t="array" ref="F57:F57">F56</f>
        <v>0</v>
      </c>
      <c r="T57" s="819" cm="1" t="str">
        <f t="array" ref="T57:T57">T56</f>
        <v>false</v>
      </c>
      <c r="AB57" s="489" t="str">
        <f>AB56&amp;".1"</f>
        <v>3.1</v>
      </c>
      <c r="AC57" s="490" t="s">
        <v>1022</v>
      </c>
      <c r="AD57" s="489" t="s">
        <v>1023</v>
      </c>
      <c r="AE57" s="61"/>
      <c r="AF57" s="61"/>
      <c r="AG57" s="61"/>
      <c r="AH57" s="61"/>
      <c r="AI57" s="1665"/>
      <c r="AJ57" s="61"/>
      <c r="AK57" s="61"/>
      <c r="AL57" s="61"/>
      <c r="AM57" s="61"/>
      <c r="AN57" s="61"/>
      <c r="AO57" s="61"/>
      <c r="AP57" s="61"/>
      <c r="AQ57" s="61"/>
      <c r="AR57" s="61"/>
      <c r="AS57" s="1665"/>
      <c r="AT57" s="61"/>
      <c r="AU57" s="61"/>
      <c r="AV57" s="61"/>
      <c r="AW57" s="61"/>
      <c r="AX57" s="61"/>
      <c r="AY57" s="61"/>
      <c r="AZ57" s="61"/>
      <c r="BA57" s="61"/>
      <c r="BB57" s="61"/>
      <c r="BC57" s="73"/>
      <c r="BF57" s="1173" t="s">
        <v>1075</v>
      </c>
    </row>
    <row customHeight="1" ht="14.625" hidden="1">
      <c r="E58" s="797">
        <v>15</v>
      </c>
      <c r="F58" s="922" cm="1" t="str">
        <f t="array" ref="F58:F58">F57</f>
        <v>0</v>
      </c>
      <c r="T58" s="819" cm="1" t="str">
        <f t="array" ref="T58:T58">T57</f>
        <v>false</v>
      </c>
      <c r="AB58" s="489" t="str">
        <f>AB56&amp;".2"</f>
        <v>3.2</v>
      </c>
      <c r="AC58" s="490" t="s">
        <v>1025</v>
      </c>
      <c r="AD58" s="489" t="s">
        <v>1023</v>
      </c>
      <c r="AE58" s="61"/>
      <c r="AF58" s="61"/>
      <c r="AG58" s="61"/>
      <c r="AH58" s="61"/>
      <c r="AI58" s="1665"/>
      <c r="AJ58" s="61"/>
      <c r="AK58" s="61"/>
      <c r="AL58" s="61"/>
      <c r="AM58" s="61"/>
      <c r="AN58" s="61"/>
      <c r="AO58" s="61"/>
      <c r="AP58" s="61"/>
      <c r="AQ58" s="61"/>
      <c r="AR58" s="61"/>
      <c r="AS58" s="1665"/>
      <c r="AT58" s="61"/>
      <c r="AU58" s="61"/>
      <c r="AV58" s="61"/>
      <c r="AW58" s="61"/>
      <c r="AX58" s="61"/>
      <c r="AY58" s="61"/>
      <c r="AZ58" s="61"/>
      <c r="BA58" s="61"/>
      <c r="BB58" s="61"/>
      <c r="BC58" s="73"/>
      <c r="BF58" s="1173" t="s">
        <v>1076</v>
      </c>
    </row>
    <row customHeight="1" ht="14.625" hidden="1">
      <c r="E59" s="797">
        <v>15</v>
      </c>
      <c r="F59" s="922" cm="1" t="str">
        <f t="array" ref="F59:F59">F58</f>
        <v>0</v>
      </c>
      <c r="T59" s="819" cm="1" t="str">
        <f t="array" ref="T59:T59">T58</f>
        <v>false</v>
      </c>
      <c r="AB59" s="489" t="str">
        <f>AB56&amp;".3"</f>
        <v>3.3</v>
      </c>
      <c r="AC59" s="490" t="s">
        <v>1027</v>
      </c>
      <c r="AD59" s="489" t="s">
        <v>1023</v>
      </c>
      <c r="AE59" s="61"/>
      <c r="AF59" s="61"/>
      <c r="AG59" s="61"/>
      <c r="AH59" s="61"/>
      <c r="AI59" s="1665"/>
      <c r="AJ59" s="61"/>
      <c r="AK59" s="61"/>
      <c r="AL59" s="61"/>
      <c r="AM59" s="61"/>
      <c r="AN59" s="61"/>
      <c r="AO59" s="61"/>
      <c r="AP59" s="61"/>
      <c r="AQ59" s="61"/>
      <c r="AR59" s="61"/>
      <c r="AS59" s="1665"/>
      <c r="AT59" s="61"/>
      <c r="AU59" s="61"/>
      <c r="AV59" s="61"/>
      <c r="AW59" s="61"/>
      <c r="AX59" s="61"/>
      <c r="AY59" s="61"/>
      <c r="AZ59" s="61"/>
      <c r="BA59" s="61"/>
      <c r="BB59" s="61"/>
      <c r="BC59" s="73"/>
      <c r="BF59" s="1173" t="s">
        <v>1077</v>
      </c>
    </row>
    <row customHeight="1" ht="14.625" hidden="1">
      <c r="E60" s="797">
        <v>15</v>
      </c>
      <c r="F60" s="922" cm="1" t="str">
        <f t="array" ref="F60:F60">F59</f>
        <v>0</v>
      </c>
      <c r="T60" s="819" cm="1" t="str">
        <f t="array" ref="T60:T60">T59</f>
        <v>false</v>
      </c>
      <c r="AB60" s="489" t="str">
        <f>AB56&amp;".4"</f>
        <v>3.4</v>
      </c>
      <c r="AC60" s="490" t="s">
        <v>1029</v>
      </c>
      <c r="AD60" s="489" t="s">
        <v>1023</v>
      </c>
      <c r="AE60" s="85">
        <f>SUM(AE61:AE65)</f>
        <v>0</v>
      </c>
      <c r="AF60" s="85">
        <f>SUM(AF61:AF65)</f>
        <v>0</v>
      </c>
      <c r="AG60" s="85">
        <f>SUM(AG61:AG65)</f>
        <v>0</v>
      </c>
      <c r="AH60" s="85">
        <f>SUM(AH61:AH65)</f>
        <v>0</v>
      </c>
      <c r="AI60" s="1731">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1731">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3" t="s">
        <v>1078</v>
      </c>
    </row>
    <row customHeight="1" ht="14.625" hidden="1">
      <c r="E61" s="797">
        <v>15</v>
      </c>
      <c r="F61" s="922" cm="1" t="str">
        <f t="array" ref="F61:F61">F60</f>
        <v>0</v>
      </c>
      <c r="T61" s="819" cm="1" t="str">
        <f t="array" ref="T61:T61">T60</f>
        <v>false</v>
      </c>
      <c r="AB61" s="489" t="str">
        <f>AB60&amp;".1"</f>
        <v>3.4.1</v>
      </c>
      <c r="AC61" s="491" t="s">
        <v>1032</v>
      </c>
      <c r="AD61" s="489" t="s">
        <v>1023</v>
      </c>
      <c r="AE61" s="61"/>
      <c r="AF61" s="61"/>
      <c r="AG61" s="61"/>
      <c r="AH61" s="61"/>
      <c r="AI61" s="1665"/>
      <c r="AJ61" s="61"/>
      <c r="AK61" s="61"/>
      <c r="AL61" s="61"/>
      <c r="AM61" s="61"/>
      <c r="AN61" s="61"/>
      <c r="AO61" s="61"/>
      <c r="AP61" s="61"/>
      <c r="AQ61" s="61"/>
      <c r="AR61" s="61"/>
      <c r="AS61" s="1665"/>
      <c r="AT61" s="61"/>
      <c r="AU61" s="61"/>
      <c r="AV61" s="61"/>
      <c r="AW61" s="61"/>
      <c r="AX61" s="61"/>
      <c r="AY61" s="61"/>
      <c r="AZ61" s="61"/>
      <c r="BA61" s="61"/>
      <c r="BB61" s="61"/>
      <c r="BC61" s="73"/>
      <c r="BF61" s="1173" t="s">
        <v>1079</v>
      </c>
    </row>
    <row customHeight="1" ht="14.625" hidden="1">
      <c r="E62" s="797">
        <v>15</v>
      </c>
      <c r="F62" s="922" cm="1" t="str">
        <f t="array" ref="F62:F62">F61</f>
        <v>0</v>
      </c>
      <c r="T62" s="819" cm="1" t="str">
        <f t="array" ref="T62:T62">T61</f>
        <v>false</v>
      </c>
      <c r="AB62" s="489" t="str">
        <f>AB60&amp;".2"</f>
        <v>3.4.2</v>
      </c>
      <c r="AC62" s="491" t="s">
        <v>1035</v>
      </c>
      <c r="AD62" s="489" t="s">
        <v>1023</v>
      </c>
      <c r="AE62" s="61"/>
      <c r="AF62" s="61"/>
      <c r="AG62" s="61"/>
      <c r="AH62" s="61"/>
      <c r="AI62" s="1665"/>
      <c r="AJ62" s="61"/>
      <c r="AK62" s="61"/>
      <c r="AL62" s="61"/>
      <c r="AM62" s="61"/>
      <c r="AN62" s="61"/>
      <c r="AO62" s="61"/>
      <c r="AP62" s="61"/>
      <c r="AQ62" s="61"/>
      <c r="AR62" s="61"/>
      <c r="AS62" s="1665"/>
      <c r="AT62" s="61"/>
      <c r="AU62" s="61"/>
      <c r="AV62" s="61"/>
      <c r="AW62" s="61"/>
      <c r="AX62" s="61"/>
      <c r="AY62" s="61"/>
      <c r="AZ62" s="61"/>
      <c r="BA62" s="61"/>
      <c r="BB62" s="61"/>
      <c r="BC62" s="73"/>
      <c r="BF62" s="1173" t="s">
        <v>1080</v>
      </c>
    </row>
    <row customHeight="1" ht="14.625" hidden="1">
      <c r="E63" s="797">
        <v>15</v>
      </c>
      <c r="F63" s="922" cm="1" t="str">
        <f t="array" ref="F63:F63">F62</f>
        <v>0</v>
      </c>
      <c r="T63" s="819" cm="1" t="str">
        <f t="array" ref="T63:T63">T62</f>
        <v>false</v>
      </c>
      <c r="AB63" s="489" t="str">
        <f>AB60&amp;".3"</f>
        <v>3.4.3</v>
      </c>
      <c r="AC63" s="491" t="s">
        <v>1038</v>
      </c>
      <c r="AD63" s="489" t="s">
        <v>1023</v>
      </c>
      <c r="AE63" s="61"/>
      <c r="AF63" s="61"/>
      <c r="AG63" s="61"/>
      <c r="AH63" s="61"/>
      <c r="AI63" s="1665"/>
      <c r="AJ63" s="61"/>
      <c r="AK63" s="61"/>
      <c r="AL63" s="61"/>
      <c r="AM63" s="61"/>
      <c r="AN63" s="61"/>
      <c r="AO63" s="61"/>
      <c r="AP63" s="61"/>
      <c r="AQ63" s="61"/>
      <c r="AR63" s="61"/>
      <c r="AS63" s="1665"/>
      <c r="AT63" s="61"/>
      <c r="AU63" s="61"/>
      <c r="AV63" s="61"/>
      <c r="AW63" s="61"/>
      <c r="AX63" s="61"/>
      <c r="AY63" s="61"/>
      <c r="AZ63" s="61"/>
      <c r="BA63" s="61"/>
      <c r="BB63" s="61"/>
      <c r="BC63" s="73"/>
      <c r="BF63" s="1173" t="s">
        <v>1081</v>
      </c>
    </row>
    <row customHeight="1" ht="14.625" hidden="1">
      <c r="E64" s="797">
        <v>15</v>
      </c>
      <c r="F64" s="922" cm="1" t="str">
        <f t="array" ref="F64:F64">F63</f>
        <v>0</v>
      </c>
      <c r="T64" s="819" cm="1" t="str">
        <f t="array" ref="T64:T64">T63</f>
        <v>false</v>
      </c>
      <c r="AB64" s="489" t="str">
        <f>AB60&amp;".4"</f>
        <v>3.4.4</v>
      </c>
      <c r="AC64" s="491" t="s">
        <v>1041</v>
      </c>
      <c r="AD64" s="489" t="s">
        <v>1023</v>
      </c>
      <c r="AE64" s="61"/>
      <c r="AF64" s="61"/>
      <c r="AG64" s="61"/>
      <c r="AH64" s="61"/>
      <c r="AI64" s="1665"/>
      <c r="AJ64" s="61"/>
      <c r="AK64" s="61"/>
      <c r="AL64" s="61"/>
      <c r="AM64" s="61"/>
      <c r="AN64" s="61"/>
      <c r="AO64" s="61"/>
      <c r="AP64" s="61"/>
      <c r="AQ64" s="61"/>
      <c r="AR64" s="61"/>
      <c r="AS64" s="1665"/>
      <c r="AT64" s="61"/>
      <c r="AU64" s="61"/>
      <c r="AV64" s="61"/>
      <c r="AW64" s="61"/>
      <c r="AX64" s="61"/>
      <c r="AY64" s="61"/>
      <c r="AZ64" s="61"/>
      <c r="BA64" s="61"/>
      <c r="BB64" s="61"/>
      <c r="BC64" s="73"/>
      <c r="BF64" s="1173" t="s">
        <v>1082</v>
      </c>
    </row>
    <row customHeight="1" ht="14.625" hidden="1">
      <c r="E65" s="797">
        <v>15</v>
      </c>
      <c r="F65" s="922" cm="1" t="str">
        <f t="array" ref="F65:F65">F64</f>
        <v>0</v>
      </c>
      <c r="T65" s="819" cm="1" t="str">
        <f t="array" ref="T65:T65">T64</f>
        <v>false</v>
      </c>
      <c r="AB65" s="489" t="str">
        <f>AB60&amp;".5"</f>
        <v>3.4.5</v>
      </c>
      <c r="AC65" s="491" t="s">
        <v>1044</v>
      </c>
      <c r="AD65" s="489" t="s">
        <v>1023</v>
      </c>
      <c r="AE65" s="61"/>
      <c r="AF65" s="61"/>
      <c r="AG65" s="61"/>
      <c r="AH65" s="61"/>
      <c r="AI65" s="1665"/>
      <c r="AJ65" s="61"/>
      <c r="AK65" s="61"/>
      <c r="AL65" s="61"/>
      <c r="AM65" s="61"/>
      <c r="AN65" s="61"/>
      <c r="AO65" s="61"/>
      <c r="AP65" s="61"/>
      <c r="AQ65" s="61"/>
      <c r="AR65" s="61"/>
      <c r="AS65" s="1665"/>
      <c r="AT65" s="61"/>
      <c r="AU65" s="61"/>
      <c r="AV65" s="61"/>
      <c r="AW65" s="61"/>
      <c r="AX65" s="61"/>
      <c r="AY65" s="61"/>
      <c r="AZ65" s="61"/>
      <c r="BA65" s="61"/>
      <c r="BB65" s="61"/>
      <c r="BC65" s="73"/>
      <c r="BF65" s="1173" t="s">
        <v>1083</v>
      </c>
    </row>
    <row customHeight="1" ht="14.625" hidden="1">
      <c r="E66" s="797">
        <v>15</v>
      </c>
      <c r="F66" s="922" cm="1" t="str">
        <f t="array" ref="F66:F66">F65</f>
        <v>0</v>
      </c>
      <c r="T66" s="819" cm="1" t="str">
        <f t="array" ref="T66:T66">T65</f>
        <v>false</v>
      </c>
      <c r="AB66" s="489" t="str">
        <f>AB56&amp;".5"</f>
        <v>3.5</v>
      </c>
      <c r="AC66" s="490" t="s">
        <v>1047</v>
      </c>
      <c r="AD66" s="489" t="s">
        <v>1023</v>
      </c>
      <c r="AE66" s="61"/>
      <c r="AF66" s="61"/>
      <c r="AG66" s="61"/>
      <c r="AH66" s="61"/>
      <c r="AI66" s="1665"/>
      <c r="AJ66" s="61"/>
      <c r="AK66" s="61"/>
      <c r="AL66" s="61"/>
      <c r="AM66" s="61"/>
      <c r="AN66" s="61"/>
      <c r="AO66" s="61"/>
      <c r="AP66" s="61"/>
      <c r="AQ66" s="61"/>
      <c r="AR66" s="61"/>
      <c r="AS66" s="1665"/>
      <c r="AT66" s="61"/>
      <c r="AU66" s="61"/>
      <c r="AV66" s="61"/>
      <c r="AW66" s="61"/>
      <c r="AX66" s="61"/>
      <c r="AY66" s="61"/>
      <c r="AZ66" s="61"/>
      <c r="BA66" s="61"/>
      <c r="BB66" s="61"/>
      <c r="BC66" s="73"/>
      <c r="BF66" s="1173" t="s">
        <v>1084</v>
      </c>
    </row>
    <row customHeight="1" ht="14.625" hidden="1">
      <c r="E67" s="797">
        <v>15</v>
      </c>
      <c r="F67" s="922" cm="1" t="str">
        <f t="array" ref="F67:F67">F66</f>
        <v>0</v>
      </c>
      <c r="T67" s="819" cm="1" t="str">
        <f t="array" ref="T67:T67">T66</f>
        <v>false</v>
      </c>
      <c r="AB67" s="489" t="str">
        <f>AB56&amp;".6"</f>
        <v>3.6</v>
      </c>
      <c r="AC67" s="490" t="s">
        <v>1050</v>
      </c>
      <c r="AD67" s="489" t="s">
        <v>1023</v>
      </c>
      <c r="AE67" s="61"/>
      <c r="AF67" s="61"/>
      <c r="AG67" s="61"/>
      <c r="AH67" s="61"/>
      <c r="AI67" s="1665"/>
      <c r="AJ67" s="61"/>
      <c r="AK67" s="61"/>
      <c r="AL67" s="61"/>
      <c r="AM67" s="61"/>
      <c r="AN67" s="61"/>
      <c r="AO67" s="61"/>
      <c r="AP67" s="61"/>
      <c r="AQ67" s="61"/>
      <c r="AR67" s="61"/>
      <c r="AS67" s="1665"/>
      <c r="AT67" s="61"/>
      <c r="AU67" s="61"/>
      <c r="AV67" s="61"/>
      <c r="AW67" s="61"/>
      <c r="AX67" s="61"/>
      <c r="AY67" s="61"/>
      <c r="AZ67" s="61"/>
      <c r="BA67" s="61"/>
      <c r="BB67" s="61"/>
      <c r="BC67" s="73"/>
      <c r="BF67" s="1173" t="s">
        <v>1085</v>
      </c>
    </row>
    <row customHeight="1" ht="14.625" hidden="1">
      <c r="E68" s="797">
        <v>15</v>
      </c>
      <c r="F68" s="922" cm="1" t="str">
        <f t="array" ref="F68:F68">F67</f>
        <v>0</v>
      </c>
      <c r="T68" s="819" cm="1" t="str">
        <f t="array" ref="T68:T68">T67</f>
        <v>false</v>
      </c>
      <c r="AB68" s="489" t="str">
        <f>AB56&amp;".7"</f>
        <v>3.7</v>
      </c>
      <c r="AC68" s="490" t="s">
        <v>1053</v>
      </c>
      <c r="AD68" s="489" t="s">
        <v>1023</v>
      </c>
      <c r="AE68" s="61"/>
      <c r="AF68" s="61"/>
      <c r="AG68" s="61"/>
      <c r="AH68" s="61"/>
      <c r="AI68" s="1665"/>
      <c r="AJ68" s="61"/>
      <c r="AK68" s="61"/>
      <c r="AL68" s="61"/>
      <c r="AM68" s="61"/>
      <c r="AN68" s="61"/>
      <c r="AO68" s="61"/>
      <c r="AP68" s="61"/>
      <c r="AQ68" s="61"/>
      <c r="AR68" s="61"/>
      <c r="AS68" s="1665"/>
      <c r="AT68" s="61"/>
      <c r="AU68" s="61"/>
      <c r="AV68" s="61"/>
      <c r="AW68" s="61"/>
      <c r="AX68" s="61"/>
      <c r="AY68" s="61"/>
      <c r="AZ68" s="61"/>
      <c r="BA68" s="61"/>
      <c r="BB68" s="61"/>
      <c r="BC68" s="73"/>
      <c r="BF68" s="1173" t="s">
        <v>1086</v>
      </c>
    </row>
    <row customHeight="1" ht="14.625" hidden="1">
      <c r="E69" s="797">
        <v>15</v>
      </c>
      <c r="F69" s="922" cm="1" t="str">
        <f t="array" ref="F69:F69">F68</f>
        <v>0</v>
      </c>
      <c r="T69" s="819" cm="1" t="str">
        <f t="array" ref="T69:T69">T68</f>
        <v>false</v>
      </c>
      <c r="AB69" s="489" t="str">
        <f>AB56&amp;".8"</f>
        <v>3.8</v>
      </c>
      <c r="AC69" s="490" t="s">
        <v>1056</v>
      </c>
      <c r="AD69" s="489" t="s">
        <v>1023</v>
      </c>
      <c r="AE69" s="61"/>
      <c r="AF69" s="61"/>
      <c r="AG69" s="61"/>
      <c r="AH69" s="61"/>
      <c r="AI69" s="1665"/>
      <c r="AJ69" s="61"/>
      <c r="AK69" s="61"/>
      <c r="AL69" s="61"/>
      <c r="AM69" s="61"/>
      <c r="AN69" s="61"/>
      <c r="AO69" s="61"/>
      <c r="AP69" s="61"/>
      <c r="AQ69" s="61"/>
      <c r="AR69" s="61"/>
      <c r="AS69" s="1665"/>
      <c r="AT69" s="61"/>
      <c r="AU69" s="61"/>
      <c r="AV69" s="61"/>
      <c r="AW69" s="61"/>
      <c r="AX69" s="61"/>
      <c r="AY69" s="61"/>
      <c r="AZ69" s="61"/>
      <c r="BA69" s="61"/>
      <c r="BB69" s="61"/>
      <c r="BC69" s="73"/>
      <c r="BF69" s="1173" t="s">
        <v>1087</v>
      </c>
    </row>
    <row s="217" customFormat="1" customHeight="1" ht="14.625" hidden="1">
      <c r="E70" s="797">
        <v>15</v>
      </c>
      <c r="F70" s="922" cm="1" t="str">
        <f t="array" ref="F70:F70">F69</f>
        <v>0</v>
      </c>
      <c r="T70" s="819" cm="1" t="str">
        <f t="array" ref="T70:T70">T69</f>
        <v>false</v>
      </c>
      <c r="AB70" s="280">
        <v>4</v>
      </c>
      <c r="AC70" s="281" t="s">
        <v>1088</v>
      </c>
      <c r="AD70" s="156" t="s">
        <v>810</v>
      </c>
      <c r="AE70" s="102">
        <f>SUM(AE71:AE74)+SUM(AE80:AE83)</f>
        <v>0</v>
      </c>
      <c r="AF70" s="102">
        <f>SUM(AF71:AF74)+SUM(AF80:AF83)</f>
        <v>0</v>
      </c>
      <c r="AG70" s="102">
        <f>SUM(AG71:AG74)+SUM(AG80:AG83)</f>
        <v>0</v>
      </c>
      <c r="AH70" s="102">
        <f>SUM(AH71:AH74)+SUM(AH80:AH83)</f>
        <v>0</v>
      </c>
      <c r="AI70" s="1880">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1880">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3" t="s">
        <v>1089</v>
      </c>
    </row>
    <row customHeight="1" ht="14.625" hidden="1">
      <c r="E71" s="797">
        <v>15</v>
      </c>
      <c r="F71" s="922" cm="1" t="str">
        <f t="array" ref="F71:F71">F70</f>
        <v>0</v>
      </c>
      <c r="T71" s="819" cm="1" t="str">
        <f t="array" ref="T71:T71">T70</f>
        <v>false</v>
      </c>
      <c r="AB71" s="489" t="str">
        <f>AB70&amp;".1"</f>
        <v>4.1</v>
      </c>
      <c r="AC71" s="490" t="s">
        <v>1022</v>
      </c>
      <c r="AD71" s="489" t="s">
        <v>1023</v>
      </c>
      <c r="AE71" s="61"/>
      <c r="AF71" s="61"/>
      <c r="AG71" s="61"/>
      <c r="AH71" s="61"/>
      <c r="AI71" s="1665"/>
      <c r="AJ71" s="61"/>
      <c r="AK71" s="61"/>
      <c r="AL71" s="61"/>
      <c r="AM71" s="61"/>
      <c r="AN71" s="61"/>
      <c r="AO71" s="61"/>
      <c r="AP71" s="61"/>
      <c r="AQ71" s="61"/>
      <c r="AR71" s="61"/>
      <c r="AS71" s="1665"/>
      <c r="AT71" s="61"/>
      <c r="AU71" s="61"/>
      <c r="AV71" s="61"/>
      <c r="AW71" s="61"/>
      <c r="AX71" s="61"/>
      <c r="AY71" s="61"/>
      <c r="AZ71" s="61"/>
      <c r="BA71" s="61"/>
      <c r="BB71" s="61"/>
      <c r="BC71" s="73"/>
      <c r="BF71" s="1173" t="s">
        <v>1090</v>
      </c>
    </row>
    <row customHeight="1" ht="14.625" hidden="1">
      <c r="E72" s="797">
        <v>15</v>
      </c>
      <c r="F72" s="922" cm="1" t="str">
        <f t="array" ref="F72:F72">F71</f>
        <v>0</v>
      </c>
      <c r="T72" s="819" cm="1" t="str">
        <f t="array" ref="T72:T72">T71</f>
        <v>false</v>
      </c>
      <c r="AB72" s="489" t="str">
        <f>AB70&amp;".2"</f>
        <v>4.2</v>
      </c>
      <c r="AC72" s="490" t="s">
        <v>1025</v>
      </c>
      <c r="AD72" s="489" t="s">
        <v>1023</v>
      </c>
      <c r="AE72" s="61"/>
      <c r="AF72" s="61"/>
      <c r="AG72" s="61"/>
      <c r="AH72" s="61"/>
      <c r="AI72" s="1665"/>
      <c r="AJ72" s="61"/>
      <c r="AK72" s="61"/>
      <c r="AL72" s="61"/>
      <c r="AM72" s="61"/>
      <c r="AN72" s="61"/>
      <c r="AO72" s="61"/>
      <c r="AP72" s="61"/>
      <c r="AQ72" s="61"/>
      <c r="AR72" s="61"/>
      <c r="AS72" s="1665"/>
      <c r="AT72" s="61"/>
      <c r="AU72" s="61"/>
      <c r="AV72" s="61"/>
      <c r="AW72" s="61"/>
      <c r="AX72" s="61"/>
      <c r="AY72" s="61"/>
      <c r="AZ72" s="61"/>
      <c r="BA72" s="61"/>
      <c r="BB72" s="61"/>
      <c r="BC72" s="73"/>
      <c r="BF72" s="1173" t="s">
        <v>1091</v>
      </c>
    </row>
    <row customHeight="1" ht="14.625" hidden="1">
      <c r="E73" s="797">
        <v>15</v>
      </c>
      <c r="F73" s="922" cm="1" t="str">
        <f t="array" ref="F73:F73">F72</f>
        <v>0</v>
      </c>
      <c r="T73" s="819" cm="1" t="str">
        <f t="array" ref="T73:T73">T72</f>
        <v>false</v>
      </c>
      <c r="AB73" s="489" t="str">
        <f>AB70&amp;".3"</f>
        <v>4.3</v>
      </c>
      <c r="AC73" s="490" t="s">
        <v>1027</v>
      </c>
      <c r="AD73" s="489" t="s">
        <v>1023</v>
      </c>
      <c r="AE73" s="61"/>
      <c r="AF73" s="61"/>
      <c r="AG73" s="61"/>
      <c r="AH73" s="61"/>
      <c r="AI73" s="1665"/>
      <c r="AJ73" s="61"/>
      <c r="AK73" s="61"/>
      <c r="AL73" s="61"/>
      <c r="AM73" s="61"/>
      <c r="AN73" s="61"/>
      <c r="AO73" s="61"/>
      <c r="AP73" s="61"/>
      <c r="AQ73" s="61"/>
      <c r="AR73" s="61"/>
      <c r="AS73" s="1665"/>
      <c r="AT73" s="61"/>
      <c r="AU73" s="61"/>
      <c r="AV73" s="61"/>
      <c r="AW73" s="61"/>
      <c r="AX73" s="61"/>
      <c r="AY73" s="61"/>
      <c r="AZ73" s="61"/>
      <c r="BA73" s="61"/>
      <c r="BB73" s="61"/>
      <c r="BC73" s="73"/>
      <c r="BF73" s="1173" t="s">
        <v>1092</v>
      </c>
    </row>
    <row customHeight="1" ht="14.625" hidden="1">
      <c r="E74" s="797">
        <v>15</v>
      </c>
      <c r="F74" s="922" cm="1" t="str">
        <f t="array" ref="F74:F74">F73</f>
        <v>0</v>
      </c>
      <c r="T74" s="819" cm="1" t="str">
        <f t="array" ref="T74:T74">T73</f>
        <v>false</v>
      </c>
      <c r="AB74" s="489" t="str">
        <f>AB70&amp;".4"</f>
        <v>4.4</v>
      </c>
      <c r="AC74" s="490" t="s">
        <v>1029</v>
      </c>
      <c r="AD74" s="489" t="s">
        <v>1023</v>
      </c>
      <c r="AE74" s="85">
        <f>SUM(AE75:AE79)</f>
        <v>0</v>
      </c>
      <c r="AF74" s="85">
        <f>SUM(AF75:AF79)</f>
        <v>0</v>
      </c>
      <c r="AG74" s="85">
        <f>SUM(AG75:AG79)</f>
        <v>0</v>
      </c>
      <c r="AH74" s="85">
        <f>SUM(AH75:AH79)</f>
        <v>0</v>
      </c>
      <c r="AI74" s="1731">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1731">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3" t="s">
        <v>1093</v>
      </c>
    </row>
    <row customHeight="1" ht="14.625" hidden="1">
      <c r="E75" s="797">
        <v>15</v>
      </c>
      <c r="F75" s="922" cm="1" t="str">
        <f t="array" ref="F75:F75">F74</f>
        <v>0</v>
      </c>
      <c r="T75" s="819" cm="1" t="str">
        <f t="array" ref="T75:T75">T74</f>
        <v>false</v>
      </c>
      <c r="AB75" s="489" t="str">
        <f>AB74&amp;".1"</f>
        <v>4.4.1</v>
      </c>
      <c r="AC75" s="491" t="s">
        <v>1032</v>
      </c>
      <c r="AD75" s="489" t="s">
        <v>1023</v>
      </c>
      <c r="AE75" s="61"/>
      <c r="AF75" s="61"/>
      <c r="AG75" s="61"/>
      <c r="AH75" s="61"/>
      <c r="AI75" s="1665"/>
      <c r="AJ75" s="61"/>
      <c r="AK75" s="61"/>
      <c r="AL75" s="61"/>
      <c r="AM75" s="61"/>
      <c r="AN75" s="61"/>
      <c r="AO75" s="61"/>
      <c r="AP75" s="61"/>
      <c r="AQ75" s="61"/>
      <c r="AR75" s="61"/>
      <c r="AS75" s="1665"/>
      <c r="AT75" s="61"/>
      <c r="AU75" s="61"/>
      <c r="AV75" s="61"/>
      <c r="AW75" s="61"/>
      <c r="AX75" s="61"/>
      <c r="AY75" s="61"/>
      <c r="AZ75" s="61"/>
      <c r="BA75" s="61"/>
      <c r="BB75" s="61"/>
      <c r="BC75" s="73"/>
      <c r="BF75" s="1173" t="s">
        <v>1094</v>
      </c>
    </row>
    <row customHeight="1" ht="14.625" hidden="1">
      <c r="E76" s="797">
        <v>15</v>
      </c>
      <c r="F76" s="922" cm="1" t="str">
        <f t="array" ref="F76:F76">F75</f>
        <v>0</v>
      </c>
      <c r="T76" s="819" cm="1" t="str">
        <f t="array" ref="T76:T76">T75</f>
        <v>false</v>
      </c>
      <c r="AB76" s="489" t="str">
        <f>AB74&amp;".2"</f>
        <v>4.4.2</v>
      </c>
      <c r="AC76" s="491" t="s">
        <v>1035</v>
      </c>
      <c r="AD76" s="489" t="s">
        <v>1023</v>
      </c>
      <c r="AE76" s="61"/>
      <c r="AF76" s="61"/>
      <c r="AG76" s="61"/>
      <c r="AH76" s="61"/>
      <c r="AI76" s="1665"/>
      <c r="AJ76" s="61"/>
      <c r="AK76" s="61"/>
      <c r="AL76" s="61"/>
      <c r="AM76" s="61"/>
      <c r="AN76" s="61"/>
      <c r="AO76" s="61"/>
      <c r="AP76" s="61"/>
      <c r="AQ76" s="61"/>
      <c r="AR76" s="61"/>
      <c r="AS76" s="1665"/>
      <c r="AT76" s="61"/>
      <c r="AU76" s="61"/>
      <c r="AV76" s="61"/>
      <c r="AW76" s="61"/>
      <c r="AX76" s="61"/>
      <c r="AY76" s="61"/>
      <c r="AZ76" s="61"/>
      <c r="BA76" s="61"/>
      <c r="BB76" s="61"/>
      <c r="BC76" s="73"/>
      <c r="BF76" s="1173" t="s">
        <v>1095</v>
      </c>
    </row>
    <row customHeight="1" ht="14.625" hidden="1">
      <c r="E77" s="797">
        <v>15</v>
      </c>
      <c r="F77" s="922" cm="1" t="str">
        <f t="array" ref="F77:F77">F76</f>
        <v>0</v>
      </c>
      <c r="T77" s="819" cm="1" t="str">
        <f t="array" ref="T77:T77">T76</f>
        <v>false</v>
      </c>
      <c r="AB77" s="489" t="str">
        <f>AB74&amp;".3"</f>
        <v>4.4.3</v>
      </c>
      <c r="AC77" s="491" t="s">
        <v>1038</v>
      </c>
      <c r="AD77" s="489" t="s">
        <v>1023</v>
      </c>
      <c r="AE77" s="61"/>
      <c r="AF77" s="61"/>
      <c r="AG77" s="61"/>
      <c r="AH77" s="61"/>
      <c r="AI77" s="1665"/>
      <c r="AJ77" s="61"/>
      <c r="AK77" s="61"/>
      <c r="AL77" s="61"/>
      <c r="AM77" s="61"/>
      <c r="AN77" s="61"/>
      <c r="AO77" s="61"/>
      <c r="AP77" s="61"/>
      <c r="AQ77" s="61"/>
      <c r="AR77" s="61"/>
      <c r="AS77" s="1665"/>
      <c r="AT77" s="61"/>
      <c r="AU77" s="61"/>
      <c r="AV77" s="61"/>
      <c r="AW77" s="61"/>
      <c r="AX77" s="61"/>
      <c r="AY77" s="61"/>
      <c r="AZ77" s="61"/>
      <c r="BA77" s="61"/>
      <c r="BB77" s="61"/>
      <c r="BC77" s="73"/>
      <c r="BF77" s="1173" t="s">
        <v>1096</v>
      </c>
    </row>
    <row customHeight="1" ht="14.625" hidden="1">
      <c r="E78" s="797">
        <v>15</v>
      </c>
      <c r="F78" s="922" cm="1" t="str">
        <f t="array" ref="F78:F78">F77</f>
        <v>0</v>
      </c>
      <c r="T78" s="819" cm="1" t="str">
        <f t="array" ref="T78:T78">T77</f>
        <v>false</v>
      </c>
      <c r="AB78" s="489" t="str">
        <f>AB74&amp;".4"</f>
        <v>4.4.4</v>
      </c>
      <c r="AC78" s="491" t="s">
        <v>1041</v>
      </c>
      <c r="AD78" s="489" t="s">
        <v>1023</v>
      </c>
      <c r="AE78" s="61"/>
      <c r="AF78" s="61"/>
      <c r="AG78" s="61"/>
      <c r="AH78" s="61"/>
      <c r="AI78" s="1665"/>
      <c r="AJ78" s="61"/>
      <c r="AK78" s="61"/>
      <c r="AL78" s="61"/>
      <c r="AM78" s="61"/>
      <c r="AN78" s="61"/>
      <c r="AO78" s="61"/>
      <c r="AP78" s="61"/>
      <c r="AQ78" s="61"/>
      <c r="AR78" s="61"/>
      <c r="AS78" s="1665"/>
      <c r="AT78" s="61"/>
      <c r="AU78" s="61"/>
      <c r="AV78" s="61"/>
      <c r="AW78" s="61"/>
      <c r="AX78" s="61"/>
      <c r="AY78" s="61"/>
      <c r="AZ78" s="61"/>
      <c r="BA78" s="61"/>
      <c r="BB78" s="61"/>
      <c r="BC78" s="73"/>
      <c r="BF78" s="1173" t="s">
        <v>1097</v>
      </c>
    </row>
    <row customHeight="1" ht="14.625" hidden="1">
      <c r="E79" s="797">
        <v>15</v>
      </c>
      <c r="F79" s="922" cm="1" t="str">
        <f t="array" ref="F79:F79">F78</f>
        <v>0</v>
      </c>
      <c r="T79" s="819" cm="1" t="str">
        <f t="array" ref="T79:T79">T78</f>
        <v>false</v>
      </c>
      <c r="AB79" s="489" t="str">
        <f>AB74&amp;".5"</f>
        <v>4.4.5</v>
      </c>
      <c r="AC79" s="491" t="s">
        <v>1044</v>
      </c>
      <c r="AD79" s="489" t="s">
        <v>1023</v>
      </c>
      <c r="AE79" s="61"/>
      <c r="AF79" s="61"/>
      <c r="AG79" s="61"/>
      <c r="AH79" s="61"/>
      <c r="AI79" s="1665"/>
      <c r="AJ79" s="61"/>
      <c r="AK79" s="61"/>
      <c r="AL79" s="61"/>
      <c r="AM79" s="61"/>
      <c r="AN79" s="61"/>
      <c r="AO79" s="61"/>
      <c r="AP79" s="61"/>
      <c r="AQ79" s="61"/>
      <c r="AR79" s="61"/>
      <c r="AS79" s="1665"/>
      <c r="AT79" s="61"/>
      <c r="AU79" s="61"/>
      <c r="AV79" s="61"/>
      <c r="AW79" s="61"/>
      <c r="AX79" s="61"/>
      <c r="AY79" s="61"/>
      <c r="AZ79" s="61"/>
      <c r="BA79" s="61"/>
      <c r="BB79" s="61"/>
      <c r="BC79" s="73"/>
      <c r="BF79" s="1173" t="s">
        <v>1098</v>
      </c>
    </row>
    <row customHeight="1" ht="14.625" hidden="1">
      <c r="E80" s="797">
        <v>15</v>
      </c>
      <c r="F80" s="922" cm="1" t="str">
        <f t="array" ref="F80:F80">F79</f>
        <v>0</v>
      </c>
      <c r="T80" s="819" cm="1" t="str">
        <f t="array" ref="T80:T80">T79</f>
        <v>false</v>
      </c>
      <c r="AB80" s="489" t="str">
        <f>AB70&amp;".5"</f>
        <v>4.5</v>
      </c>
      <c r="AC80" s="490" t="s">
        <v>1047</v>
      </c>
      <c r="AD80" s="489" t="s">
        <v>1023</v>
      </c>
      <c r="AE80" s="61"/>
      <c r="AF80" s="61"/>
      <c r="AG80" s="61"/>
      <c r="AH80" s="61"/>
      <c r="AI80" s="1665"/>
      <c r="AJ80" s="61"/>
      <c r="AK80" s="61"/>
      <c r="AL80" s="61"/>
      <c r="AM80" s="61"/>
      <c r="AN80" s="61"/>
      <c r="AO80" s="61"/>
      <c r="AP80" s="61"/>
      <c r="AQ80" s="61"/>
      <c r="AR80" s="61"/>
      <c r="AS80" s="1665"/>
      <c r="AT80" s="61"/>
      <c r="AU80" s="61"/>
      <c r="AV80" s="61"/>
      <c r="AW80" s="61"/>
      <c r="AX80" s="61"/>
      <c r="AY80" s="61"/>
      <c r="AZ80" s="61"/>
      <c r="BA80" s="61"/>
      <c r="BB80" s="61"/>
      <c r="BC80" s="73"/>
      <c r="BF80" s="1173" t="s">
        <v>1099</v>
      </c>
    </row>
    <row customHeight="1" ht="14.625" hidden="1">
      <c r="E81" s="797">
        <v>15</v>
      </c>
      <c r="F81" s="922" cm="1" t="str">
        <f t="array" ref="F81:F81">F80</f>
        <v>0</v>
      </c>
      <c r="T81" s="819" cm="1" t="str">
        <f t="array" ref="T81:T81">T80</f>
        <v>false</v>
      </c>
      <c r="AB81" s="489" t="str">
        <f>AB70&amp;".6"</f>
        <v>4.6</v>
      </c>
      <c r="AC81" s="490" t="s">
        <v>1050</v>
      </c>
      <c r="AD81" s="489" t="s">
        <v>1023</v>
      </c>
      <c r="AE81" s="61"/>
      <c r="AF81" s="61"/>
      <c r="AG81" s="61"/>
      <c r="AH81" s="61"/>
      <c r="AI81" s="1665"/>
      <c r="AJ81" s="61"/>
      <c r="AK81" s="61"/>
      <c r="AL81" s="61"/>
      <c r="AM81" s="61"/>
      <c r="AN81" s="61"/>
      <c r="AO81" s="61"/>
      <c r="AP81" s="61"/>
      <c r="AQ81" s="61"/>
      <c r="AR81" s="61"/>
      <c r="AS81" s="1665"/>
      <c r="AT81" s="61"/>
      <c r="AU81" s="61"/>
      <c r="AV81" s="61"/>
      <c r="AW81" s="61"/>
      <c r="AX81" s="61"/>
      <c r="AY81" s="61"/>
      <c r="AZ81" s="61"/>
      <c r="BA81" s="61"/>
      <c r="BB81" s="61"/>
      <c r="BC81" s="73"/>
      <c r="BF81" s="1173" t="s">
        <v>1100</v>
      </c>
    </row>
    <row customHeight="1" ht="14.625" hidden="1">
      <c r="E82" s="797">
        <v>15</v>
      </c>
      <c r="F82" s="922" cm="1" t="str">
        <f t="array" ref="F82:F82">F81</f>
        <v>0</v>
      </c>
      <c r="T82" s="819" cm="1" t="str">
        <f t="array" ref="T82:T82">T81</f>
        <v>false</v>
      </c>
      <c r="AB82" s="489" t="str">
        <f>AB70&amp;".7"</f>
        <v>4.7</v>
      </c>
      <c r="AC82" s="490" t="s">
        <v>1053</v>
      </c>
      <c r="AD82" s="489" t="s">
        <v>1023</v>
      </c>
      <c r="AE82" s="61"/>
      <c r="AF82" s="61"/>
      <c r="AG82" s="61"/>
      <c r="AH82" s="61"/>
      <c r="AI82" s="1665"/>
      <c r="AJ82" s="61"/>
      <c r="AK82" s="61"/>
      <c r="AL82" s="61"/>
      <c r="AM82" s="61"/>
      <c r="AN82" s="61"/>
      <c r="AO82" s="61"/>
      <c r="AP82" s="61"/>
      <c r="AQ82" s="61"/>
      <c r="AR82" s="61"/>
      <c r="AS82" s="1665"/>
      <c r="AT82" s="61"/>
      <c r="AU82" s="61"/>
      <c r="AV82" s="61"/>
      <c r="AW82" s="61"/>
      <c r="AX82" s="61"/>
      <c r="AY82" s="61"/>
      <c r="AZ82" s="61"/>
      <c r="BA82" s="61"/>
      <c r="BB82" s="61"/>
      <c r="BC82" s="73"/>
      <c r="BF82" s="1173" t="s">
        <v>1101</v>
      </c>
    </row>
    <row customHeight="1" ht="14.625" hidden="1">
      <c r="E83" s="797">
        <v>15</v>
      </c>
      <c r="F83" s="922" cm="1" t="str">
        <f t="array" ref="F83:F83">F82</f>
        <v>0</v>
      </c>
      <c r="T83" s="819" cm="1" t="str">
        <f t="array" ref="T83:T83">T82</f>
        <v>false</v>
      </c>
      <c r="AB83" s="489" t="str">
        <f>AB70&amp;".8"</f>
        <v>4.8</v>
      </c>
      <c r="AC83" s="490" t="s">
        <v>1056</v>
      </c>
      <c r="AD83" s="489" t="s">
        <v>1023</v>
      </c>
      <c r="AE83" s="61"/>
      <c r="AF83" s="61"/>
      <c r="AG83" s="61"/>
      <c r="AH83" s="61"/>
      <c r="AI83" s="1665"/>
      <c r="AJ83" s="61"/>
      <c r="AK83" s="61"/>
      <c r="AL83" s="61"/>
      <c r="AM83" s="61"/>
      <c r="AN83" s="61"/>
      <c r="AO83" s="61"/>
      <c r="AP83" s="61"/>
      <c r="AQ83" s="61"/>
      <c r="AR83" s="61"/>
      <c r="AS83" s="1665"/>
      <c r="AT83" s="61"/>
      <c r="AU83" s="61"/>
      <c r="AV83" s="61"/>
      <c r="AW83" s="61"/>
      <c r="AX83" s="61"/>
      <c r="AY83" s="61"/>
      <c r="AZ83" s="61"/>
      <c r="BA83" s="61"/>
      <c r="BB83" s="61"/>
      <c r="BC83" s="73"/>
      <c r="BF83" s="1173" t="s">
        <v>1102</v>
      </c>
    </row>
    <row s="217" customFormat="1" customHeight="1" ht="22.23" hidden="1">
      <c r="E84" s="797">
        <v>22.8</v>
      </c>
      <c r="F84" s="922" cm="1" t="str">
        <f t="array" ref="F84:F84">F83</f>
        <v>0</v>
      </c>
      <c r="T84" s="819" cm="1" t="str">
        <f t="array" ref="T84:T84">T83</f>
        <v>false</v>
      </c>
      <c r="AB84" s="280">
        <v>5</v>
      </c>
      <c r="AC84" s="281" t="s">
        <v>1103</v>
      </c>
      <c r="AD84" s="156" t="s">
        <v>810</v>
      </c>
      <c r="AE84" s="102">
        <f>SUM(AE85:AE88)+SUM(AE94:AE97)</f>
        <v>0</v>
      </c>
      <c r="AF84" s="102">
        <f>SUM(AF85:AF88)+SUM(AF94:AF97)</f>
        <v>0</v>
      </c>
      <c r="AG84" s="102">
        <f>SUM(AG85:AG88)+SUM(AG94:AG97)</f>
        <v>0</v>
      </c>
      <c r="AH84" s="102">
        <f>SUM(AH85:AH88)+SUM(AH94:AH97)</f>
        <v>0</v>
      </c>
      <c r="AI84" s="1880">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1880">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3" t="s">
        <v>1104</v>
      </c>
    </row>
    <row customHeight="1" ht="14.625" hidden="1">
      <c r="E85" s="797">
        <v>15</v>
      </c>
      <c r="F85" s="922" cm="1" t="str">
        <f t="array" ref="F85:F85">F84</f>
        <v>0</v>
      </c>
      <c r="T85" s="819" cm="1" t="str">
        <f t="array" ref="T85:T85">T84</f>
        <v>false</v>
      </c>
      <c r="AB85" s="480" t="str">
        <f>AB84&amp;".1"</f>
        <v>5.1</v>
      </c>
      <c r="AC85" s="472" t="s">
        <v>1022</v>
      </c>
      <c r="AD85" s="480" t="s">
        <v>1023</v>
      </c>
      <c r="AE85" s="85">
        <f>(AE29*2+AE43+AE57-AE71)/2</f>
        <v>0</v>
      </c>
      <c r="AF85" s="85">
        <f>(AF29*2+AF43+AF57-AF71)/2</f>
        <v>0</v>
      </c>
      <c r="AG85" s="85">
        <f>(AG29*2+AG43+AG57-AG71)/2</f>
        <v>0</v>
      </c>
      <c r="AH85" s="85">
        <f>(AH29*2+AH43+AH57-AH71)/2</f>
        <v>0</v>
      </c>
      <c r="AI85" s="1731">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1731">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3" t="s">
        <v>1105</v>
      </c>
    </row>
    <row customHeight="1" ht="14.625" hidden="1">
      <c r="E86" s="797">
        <v>15</v>
      </c>
      <c r="F86" s="922" cm="1" t="str">
        <f t="array" ref="F86:F86">F85</f>
        <v>0</v>
      </c>
      <c r="T86" s="819" cm="1" t="str">
        <f t="array" ref="T86:T86">T85</f>
        <v>false</v>
      </c>
      <c r="AB86" s="480" t="str">
        <f>AB84&amp;".2"</f>
        <v>5.2</v>
      </c>
      <c r="AC86" s="472" t="s">
        <v>1025</v>
      </c>
      <c r="AD86" s="480" t="s">
        <v>1023</v>
      </c>
      <c r="AE86" s="85">
        <f>(AE30*2+AE44+AE58-AE72)/2</f>
        <v>0</v>
      </c>
      <c r="AF86" s="85">
        <f>(AF30*2+AF44+AF58-AF72)/2</f>
        <v>0</v>
      </c>
      <c r="AG86" s="85">
        <f>(AG30*2+AG44+AG58-AG72)/2</f>
        <v>0</v>
      </c>
      <c r="AH86" s="85">
        <f>(AH30*2+AH44+AH58-AH72)/2</f>
        <v>0</v>
      </c>
      <c r="AI86" s="1731">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1731">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3" t="s">
        <v>1106</v>
      </c>
    </row>
    <row customHeight="1" ht="14.625" hidden="1">
      <c r="E87" s="797">
        <v>15</v>
      </c>
      <c r="F87" s="922" cm="1" t="str">
        <f t="array" ref="F87:F87">F86</f>
        <v>0</v>
      </c>
      <c r="T87" s="819" cm="1" t="str">
        <f t="array" ref="T87:T87">T86</f>
        <v>false</v>
      </c>
      <c r="AB87" s="480" t="str">
        <f>AB84&amp;".3"</f>
        <v>5.3</v>
      </c>
      <c r="AC87" s="472" t="s">
        <v>1027</v>
      </c>
      <c r="AD87" s="480" t="s">
        <v>1023</v>
      </c>
      <c r="AE87" s="85">
        <f>(AE31*2+AE45+AE59-AE73)/2</f>
        <v>0</v>
      </c>
      <c r="AF87" s="85">
        <f>(AF31*2+AF45+AF59-AF73)/2</f>
        <v>0</v>
      </c>
      <c r="AG87" s="85">
        <f>(AG31*2+AG45+AG59-AG73)/2</f>
        <v>0</v>
      </c>
      <c r="AH87" s="85">
        <f>(AH31*2+AH45+AH59-AH73)/2</f>
        <v>0</v>
      </c>
      <c r="AI87" s="1731">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1731">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3" t="s">
        <v>1107</v>
      </c>
    </row>
    <row customHeight="1" ht="14.625" hidden="1">
      <c r="E88" s="797">
        <v>15</v>
      </c>
      <c r="F88" s="922" cm="1" t="str">
        <f t="array" ref="F88:F88">F87</f>
        <v>0</v>
      </c>
      <c r="T88" s="819" cm="1" t="str">
        <f t="array" ref="T88:T88">T87</f>
        <v>false</v>
      </c>
      <c r="AB88" s="480" t="str">
        <f>AB84&amp;".4"</f>
        <v>5.4</v>
      </c>
      <c r="AC88" s="472" t="s">
        <v>1029</v>
      </c>
      <c r="AD88" s="480" t="s">
        <v>1023</v>
      </c>
      <c r="AE88" s="85">
        <f>SUM(AE89:AE93)</f>
        <v>0</v>
      </c>
      <c r="AF88" s="85">
        <f>SUM(AF89:AF93)</f>
        <v>0</v>
      </c>
      <c r="AG88" s="85">
        <f>SUM(AG89:AG93)</f>
        <v>0</v>
      </c>
      <c r="AH88" s="85">
        <f>SUM(AH89:AH93)</f>
        <v>0</v>
      </c>
      <c r="AI88" s="1731">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1731">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3" t="s">
        <v>1108</v>
      </c>
    </row>
    <row customHeight="1" ht="14.625" hidden="1">
      <c r="E89" s="797">
        <v>15</v>
      </c>
      <c r="F89" s="922" cm="1" t="str">
        <f t="array" ref="F89:F89">F88</f>
        <v>0</v>
      </c>
      <c r="T89" s="819" cm="1" t="str">
        <f t="array" ref="T89:T89">T88</f>
        <v>false</v>
      </c>
      <c r="AB89" s="480" t="str">
        <f>AB88&amp;".1"</f>
        <v>5.4.1</v>
      </c>
      <c r="AC89" s="530" t="s">
        <v>1032</v>
      </c>
      <c r="AD89" s="480" t="s">
        <v>1023</v>
      </c>
      <c r="AE89" s="85">
        <f>(AE33*2+AE47+AE61-AE75)/2</f>
        <v>0</v>
      </c>
      <c r="AF89" s="85">
        <f>(AF33*2+AF47+AF61-AF75)/2</f>
        <v>0</v>
      </c>
      <c r="AG89" s="85">
        <f>(AG33*2+AG47+AG61-AG75)/2</f>
        <v>0</v>
      </c>
      <c r="AH89" s="85">
        <f>(AH33*2+AH47+AH61-AH75)/2</f>
        <v>0</v>
      </c>
      <c r="AI89" s="1731">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1731">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3" t="s">
        <v>1109</v>
      </c>
    </row>
    <row customHeight="1" ht="14.625" hidden="1">
      <c r="E90" s="797">
        <v>15</v>
      </c>
      <c r="F90" s="922" cm="1" t="str">
        <f t="array" ref="F90:F90">F89</f>
        <v>0</v>
      </c>
      <c r="T90" s="819" cm="1" t="str">
        <f t="array" ref="T90:T90">T89</f>
        <v>false</v>
      </c>
      <c r="AB90" s="480" t="str">
        <f>AB88&amp;".2"</f>
        <v>5.4.2</v>
      </c>
      <c r="AC90" s="530" t="s">
        <v>1035</v>
      </c>
      <c r="AD90" s="480" t="s">
        <v>1023</v>
      </c>
      <c r="AE90" s="85">
        <f>(AE34*2+AE48+AE62-AE76)/2</f>
        <v>0</v>
      </c>
      <c r="AF90" s="85">
        <f>(AF34*2+AF48+AF62-AF76)/2</f>
        <v>0</v>
      </c>
      <c r="AG90" s="85">
        <f>(AG34*2+AG48+AG62-AG76)/2</f>
        <v>0</v>
      </c>
      <c r="AH90" s="85">
        <f>(AH34*2+AH48+AH62-AH76)/2</f>
        <v>0</v>
      </c>
      <c r="AI90" s="1731">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1731">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3" t="s">
        <v>1110</v>
      </c>
    </row>
    <row customHeight="1" ht="14.625" hidden="1">
      <c r="E91" s="797">
        <v>15</v>
      </c>
      <c r="F91" s="922" cm="1" t="str">
        <f t="array" ref="F91:F91">F90</f>
        <v>0</v>
      </c>
      <c r="T91" s="819" cm="1" t="str">
        <f t="array" ref="T91:T91">T90</f>
        <v>false</v>
      </c>
      <c r="AB91" s="480" t="str">
        <f>AB88&amp;".3"</f>
        <v>5.4.3</v>
      </c>
      <c r="AC91" s="530" t="s">
        <v>1038</v>
      </c>
      <c r="AD91" s="480" t="s">
        <v>1023</v>
      </c>
      <c r="AE91" s="85">
        <f>(AE35*2+AE49+AE63-AE77)/2</f>
        <v>0</v>
      </c>
      <c r="AF91" s="85">
        <f>(AF35*2+AF49+AF63-AF77)/2</f>
        <v>0</v>
      </c>
      <c r="AG91" s="85">
        <f>(AG35*2+AG49+AG63-AG77)/2</f>
        <v>0</v>
      </c>
      <c r="AH91" s="85">
        <f>(AH35*2+AH49+AH63-AH77)/2</f>
        <v>0</v>
      </c>
      <c r="AI91" s="1731">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1731">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3" t="s">
        <v>1111</v>
      </c>
    </row>
    <row customHeight="1" ht="14.625" hidden="1">
      <c r="E92" s="797">
        <v>15</v>
      </c>
      <c r="F92" s="922" cm="1" t="str">
        <f t="array" ref="F92:F92">F91</f>
        <v>0</v>
      </c>
      <c r="T92" s="819" cm="1" t="str">
        <f t="array" ref="T92:T92">T91</f>
        <v>false</v>
      </c>
      <c r="AB92" s="480" t="str">
        <f>AB88&amp;".4"</f>
        <v>5.4.4</v>
      </c>
      <c r="AC92" s="530" t="s">
        <v>1041</v>
      </c>
      <c r="AD92" s="480" t="s">
        <v>1023</v>
      </c>
      <c r="AE92" s="85">
        <f>(AE36*2+AE50+AE64-AE78)/2</f>
        <v>0</v>
      </c>
      <c r="AF92" s="85">
        <f>(AF36*2+AF50+AF64-AF78)/2</f>
        <v>0</v>
      </c>
      <c r="AG92" s="85">
        <f>(AG36*2+AG50+AG64-AG78)/2</f>
        <v>0</v>
      </c>
      <c r="AH92" s="85">
        <f>(AH36*2+AH50+AH64-AH78)/2</f>
        <v>0</v>
      </c>
      <c r="AI92" s="1731">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1731">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3" t="s">
        <v>1112</v>
      </c>
    </row>
    <row customHeight="1" ht="14.625" hidden="1">
      <c r="E93" s="797">
        <v>15</v>
      </c>
      <c r="F93" s="922" cm="1" t="str">
        <f t="array" ref="F93:F93">F92</f>
        <v>0</v>
      </c>
      <c r="T93" s="819" cm="1" t="str">
        <f t="array" ref="T93:T93">T92</f>
        <v>false</v>
      </c>
      <c r="AB93" s="480" t="str">
        <f>AB88&amp;".5"</f>
        <v>5.4.5</v>
      </c>
      <c r="AC93" s="530" t="s">
        <v>1044</v>
      </c>
      <c r="AD93" s="480" t="s">
        <v>1023</v>
      </c>
      <c r="AE93" s="85">
        <f>(AE37*2+AE51+AE65-AE79)/2</f>
        <v>0</v>
      </c>
      <c r="AF93" s="85">
        <f>(AF37*2+AF51+AF65-AF79)/2</f>
        <v>0</v>
      </c>
      <c r="AG93" s="85">
        <f>(AG37*2+AG51+AG65-AG79)/2</f>
        <v>0</v>
      </c>
      <c r="AH93" s="85">
        <f>(AH37*2+AH51+AH65-AH79)/2</f>
        <v>0</v>
      </c>
      <c r="AI93" s="1731">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1731">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3" t="s">
        <v>1113</v>
      </c>
    </row>
    <row customHeight="1" ht="14.625" hidden="1">
      <c r="E94" s="797">
        <v>15</v>
      </c>
      <c r="F94" s="922" cm="1" t="str">
        <f t="array" ref="F94:F94">F93</f>
        <v>0</v>
      </c>
      <c r="T94" s="819" cm="1" t="str">
        <f t="array" ref="T94:T94">T93</f>
        <v>false</v>
      </c>
      <c r="AB94" s="480" t="str">
        <f>AB84&amp;".5"</f>
        <v>5.5</v>
      </c>
      <c r="AC94" s="472" t="s">
        <v>1047</v>
      </c>
      <c r="AD94" s="480" t="s">
        <v>1023</v>
      </c>
      <c r="AE94" s="85">
        <f>(AE38*2+AE52+AE66-AE80)/2</f>
        <v>0</v>
      </c>
      <c r="AF94" s="85">
        <f>(AF38*2+AF52+AF66-AF80)/2</f>
        <v>0</v>
      </c>
      <c r="AG94" s="85">
        <f>(AG38*2+AG52+AG66-AG80)/2</f>
        <v>0</v>
      </c>
      <c r="AH94" s="85">
        <f>(AH38*2+AH52+AH66-AH80)/2</f>
        <v>0</v>
      </c>
      <c r="AI94" s="1731">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1731">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3" t="s">
        <v>1114</v>
      </c>
    </row>
    <row customHeight="1" ht="14.625" hidden="1">
      <c r="E95" s="797">
        <v>15</v>
      </c>
      <c r="F95" s="922" cm="1" t="str">
        <f t="array" ref="F95:F95">F94</f>
        <v>0</v>
      </c>
      <c r="T95" s="819" cm="1" t="str">
        <f t="array" ref="T95:T95">T94</f>
        <v>false</v>
      </c>
      <c r="AB95" s="480" t="str">
        <f>AB84&amp;".6"</f>
        <v>5.6</v>
      </c>
      <c r="AC95" s="472" t="s">
        <v>1050</v>
      </c>
      <c r="AD95" s="480" t="s">
        <v>1023</v>
      </c>
      <c r="AE95" s="85">
        <f>(AE39*2+AE53+AE67-AE81)/2</f>
        <v>0</v>
      </c>
      <c r="AF95" s="85">
        <f>(AF39*2+AF53+AF67-AF81)/2</f>
        <v>0</v>
      </c>
      <c r="AG95" s="85">
        <f>(AG39*2+AG53+AG67-AG81)/2</f>
        <v>0</v>
      </c>
      <c r="AH95" s="85">
        <f>(AH39*2+AH53+AH67-AH81)/2</f>
        <v>0</v>
      </c>
      <c r="AI95" s="1731">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1731">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3" t="s">
        <v>1115</v>
      </c>
    </row>
    <row customHeight="1" ht="14.625" hidden="1">
      <c r="E96" s="797">
        <v>15</v>
      </c>
      <c r="F96" s="922" cm="1" t="str">
        <f t="array" ref="F96:F96">F95</f>
        <v>0</v>
      </c>
      <c r="T96" s="819" cm="1" t="str">
        <f t="array" ref="T96:T96">T95</f>
        <v>false</v>
      </c>
      <c r="AB96" s="480" t="str">
        <f>AB84&amp;".7"</f>
        <v>5.7</v>
      </c>
      <c r="AC96" s="472" t="s">
        <v>1053</v>
      </c>
      <c r="AD96" s="480" t="s">
        <v>1023</v>
      </c>
      <c r="AE96" s="85">
        <f>(AE40*2+AE54+AE68-AE82)/2</f>
        <v>0</v>
      </c>
      <c r="AF96" s="85">
        <f>(AF40*2+AF54+AF68-AF82)/2</f>
        <v>0</v>
      </c>
      <c r="AG96" s="85">
        <f>(AG40*2+AG54+AG68-AG82)/2</f>
        <v>0</v>
      </c>
      <c r="AH96" s="85">
        <f>(AH40*2+AH54+AH68-AH82)/2</f>
        <v>0</v>
      </c>
      <c r="AI96" s="1731">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1731">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3" t="s">
        <v>1116</v>
      </c>
    </row>
    <row customHeight="1" ht="14.625" hidden="1">
      <c r="E97" s="797">
        <v>15</v>
      </c>
      <c r="F97" s="922" cm="1" t="str">
        <f t="array" ref="F97:F97">F96</f>
        <v>0</v>
      </c>
      <c r="T97" s="819" cm="1" t="str">
        <f t="array" ref="T97:T97">T96</f>
        <v>false</v>
      </c>
      <c r="AB97" s="480" t="str">
        <f>AB84&amp;".8"</f>
        <v>5.8</v>
      </c>
      <c r="AC97" s="472" t="s">
        <v>1056</v>
      </c>
      <c r="AD97" s="480" t="s">
        <v>1023</v>
      </c>
      <c r="AE97" s="85">
        <f>(AE41*2+AE55+AE69-AE83)/2</f>
        <v>0</v>
      </c>
      <c r="AF97" s="85">
        <f>(AF41*2+AF55+AF69-AF83)/2</f>
        <v>0</v>
      </c>
      <c r="AG97" s="85">
        <f>(AG41*2+AG55+AG69-AG83)/2</f>
        <v>0</v>
      </c>
      <c r="AH97" s="85">
        <f>(AH41*2+AH55+AH69-AH83)/2</f>
        <v>0</v>
      </c>
      <c r="AI97" s="1731">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1731">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3" t="s">
        <v>1117</v>
      </c>
    </row>
    <row s="217" customFormat="1" customHeight="1" ht="22.23" hidden="1">
      <c r="E98" s="797">
        <v>22.8</v>
      </c>
      <c r="F98" s="922" cm="1" t="str">
        <f t="array" ref="F98:F98">F97</f>
        <v>0</v>
      </c>
      <c r="T98" s="819" cm="1" t="str">
        <f t="array" ref="T98:T98">T97</f>
        <v>false</v>
      </c>
      <c r="AB98" s="280">
        <v>6</v>
      </c>
      <c r="AC98" s="281" t="s">
        <v>1118</v>
      </c>
      <c r="AD98" s="489" t="s">
        <v>498</v>
      </c>
      <c r="AE98" s="102"/>
      <c r="AF98" s="102"/>
      <c r="AG98" s="102"/>
      <c r="AH98" s="102"/>
      <c r="AI98" s="1880"/>
      <c r="AJ98" s="102"/>
      <c r="AK98" s="102"/>
      <c r="AL98" s="102"/>
      <c r="AM98" s="102"/>
      <c r="AN98" s="102"/>
      <c r="AO98" s="102"/>
      <c r="AP98" s="102"/>
      <c r="AQ98" s="102"/>
      <c r="AR98" s="102"/>
      <c r="AS98" s="1880"/>
      <c r="AT98" s="102"/>
      <c r="AU98" s="102"/>
      <c r="AV98" s="102"/>
      <c r="AW98" s="102"/>
      <c r="AX98" s="102"/>
      <c r="AY98" s="102"/>
      <c r="AZ98" s="102"/>
      <c r="BA98" s="102"/>
      <c r="BB98" s="102"/>
      <c r="BC98" s="73"/>
      <c r="BF98" s="1173" t="s">
        <v>1119</v>
      </c>
    </row>
    <row customHeight="1" ht="14.625" hidden="1">
      <c r="E99" s="797">
        <v>15</v>
      </c>
      <c r="F99" s="922" cm="1" t="str">
        <f t="array" ref="F99:F99">F98</f>
        <v>0</v>
      </c>
      <c r="T99" s="819" cm="1" t="str">
        <f t="array" ref="T99:T99">T98</f>
        <v>false</v>
      </c>
      <c r="AB99" s="489" t="str">
        <f>AB98&amp;".1"</f>
        <v>6.1</v>
      </c>
      <c r="AC99" s="490" t="s">
        <v>1022</v>
      </c>
      <c r="AD99" s="489" t="s">
        <v>498</v>
      </c>
      <c r="AE99" s="61">
        <f>IF(AE85=0,0,AE113/AE85*100)</f>
        <v>0</v>
      </c>
      <c r="AF99" s="61">
        <f>IF(AF85=0,0,AF113/AF85*100)</f>
        <v>0</v>
      </c>
      <c r="AG99" s="61">
        <f>IF(AG85=0,0,AG113/AG85*100)</f>
        <v>0</v>
      </c>
      <c r="AH99" s="61">
        <f>IF(AH85=0,0,AH113/AH85*100)</f>
        <v>0</v>
      </c>
      <c r="AI99" s="1665">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1665">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3" t="s">
        <v>1120</v>
      </c>
    </row>
    <row customHeight="1" ht="14.625" hidden="1">
      <c r="E100" s="797">
        <v>15</v>
      </c>
      <c r="F100" s="922" cm="1" t="str">
        <f t="array" ref="F100:F100">F99</f>
        <v>0</v>
      </c>
      <c r="T100" s="819" cm="1" t="str">
        <f t="array" ref="T100:T100">T99</f>
        <v>false</v>
      </c>
      <c r="AB100" s="489" t="str">
        <f>AB98&amp;".2"</f>
        <v>6.2</v>
      </c>
      <c r="AC100" s="490" t="s">
        <v>1025</v>
      </c>
      <c r="AD100" s="489" t="s">
        <v>498</v>
      </c>
      <c r="AE100" s="61">
        <f>IF(AE86=0,0,AE114/AE86*100)</f>
        <v>0</v>
      </c>
      <c r="AF100" s="61">
        <f>IF(AF86=0,0,AF114/AF86*100)</f>
        <v>0</v>
      </c>
      <c r="AG100" s="61">
        <f>IF(AG86=0,0,AG114/AG86*100)</f>
        <v>0</v>
      </c>
      <c r="AH100" s="61">
        <f>IF(AH86=0,0,AH114/AH86*100)</f>
        <v>0</v>
      </c>
      <c r="AI100" s="1665">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1665">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3" t="s">
        <v>1121</v>
      </c>
    </row>
    <row customHeight="1" ht="14.625" hidden="1">
      <c r="E101" s="797">
        <v>15</v>
      </c>
      <c r="F101" s="922" cm="1" t="str">
        <f t="array" ref="F101:F101">F100</f>
        <v>0</v>
      </c>
      <c r="T101" s="819" cm="1" t="str">
        <f t="array" ref="T101:T101">T100</f>
        <v>false</v>
      </c>
      <c r="AB101" s="489" t="str">
        <f>AB98&amp;".3"</f>
        <v>6.3</v>
      </c>
      <c r="AC101" s="490" t="s">
        <v>1027</v>
      </c>
      <c r="AD101" s="489" t="s">
        <v>498</v>
      </c>
      <c r="AE101" s="61">
        <f>IF(AE87=0,0,AE115/AE87*100)</f>
        <v>0</v>
      </c>
      <c r="AF101" s="61">
        <f>IF(AF87=0,0,AF115/AF87*100)</f>
        <v>0</v>
      </c>
      <c r="AG101" s="61">
        <f>IF(AG87=0,0,AG115/AG87*100)</f>
        <v>0</v>
      </c>
      <c r="AH101" s="61">
        <f>IF(AH87=0,0,AH115/AH87*100)</f>
        <v>0</v>
      </c>
      <c r="AI101" s="1665">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1665">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3" t="s">
        <v>1122</v>
      </c>
    </row>
    <row customHeight="1" ht="14.625" hidden="1">
      <c r="E102" s="797">
        <v>15</v>
      </c>
      <c r="F102" s="922" cm="1" t="str">
        <f t="array" ref="F102:F102">F101</f>
        <v>0</v>
      </c>
      <c r="T102" s="819" cm="1" t="str">
        <f t="array" ref="T102:T102">T101</f>
        <v>false</v>
      </c>
      <c r="AB102" s="489" t="str">
        <f>AB98&amp;".4"</f>
        <v>6.4</v>
      </c>
      <c r="AC102" s="490" t="s">
        <v>1029</v>
      </c>
      <c r="AD102" s="489" t="s">
        <v>498</v>
      </c>
      <c r="AE102" s="61">
        <f>IF(AE88=0,0,AE116/AE88*100)</f>
        <v>0</v>
      </c>
      <c r="AF102" s="61">
        <f>IF(AF88=0,0,AF116/AF88*100)</f>
        <v>0</v>
      </c>
      <c r="AG102" s="61">
        <f>IF(AG88=0,0,AG116/AG88*100)</f>
        <v>0</v>
      </c>
      <c r="AH102" s="61">
        <f>IF(AH88=0,0,AH116/AH88*100)</f>
        <v>0</v>
      </c>
      <c r="AI102" s="1665">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1665">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3" t="s">
        <v>1123</v>
      </c>
    </row>
    <row customHeight="1" ht="14.625" hidden="1">
      <c r="E103" s="797">
        <v>15</v>
      </c>
      <c r="F103" s="922" cm="1" t="str">
        <f t="array" ref="F103:F103">F102</f>
        <v>0</v>
      </c>
      <c r="T103" s="819" cm="1" t="str">
        <f t="array" ref="T103:T103">T102</f>
        <v>false</v>
      </c>
      <c r="AB103" s="489" t="str">
        <f>AB102&amp;".1"</f>
        <v>6.4.1</v>
      </c>
      <c r="AC103" s="491" t="s">
        <v>1032</v>
      </c>
      <c r="AD103" s="489" t="s">
        <v>498</v>
      </c>
      <c r="AE103" s="61">
        <f>IF(AE89=0,0,AE117/AE89*100)</f>
        <v>0</v>
      </c>
      <c r="AF103" s="61">
        <f>IF(AF89=0,0,AF117/AF89*100)</f>
        <v>0</v>
      </c>
      <c r="AG103" s="61">
        <f>IF(AG89=0,0,AG117/AG89*100)</f>
        <v>0</v>
      </c>
      <c r="AH103" s="61">
        <f>IF(AH89=0,0,AH117/AH89*100)</f>
        <v>0</v>
      </c>
      <c r="AI103" s="1665">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1665">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3" t="s">
        <v>1124</v>
      </c>
    </row>
    <row customHeight="1" ht="14.625" hidden="1">
      <c r="E104" s="797">
        <v>15</v>
      </c>
      <c r="F104" s="922" cm="1" t="str">
        <f t="array" ref="F104:F104">F103</f>
        <v>0</v>
      </c>
      <c r="T104" s="819" cm="1" t="str">
        <f t="array" ref="T104:T104">T103</f>
        <v>false</v>
      </c>
      <c r="AB104" s="489" t="str">
        <f>AB102&amp;".2"</f>
        <v>6.4.2</v>
      </c>
      <c r="AC104" s="491" t="s">
        <v>1035</v>
      </c>
      <c r="AD104" s="489" t="s">
        <v>498</v>
      </c>
      <c r="AE104" s="61">
        <f>IF(AE90=0,0,AE118/AE90*100)</f>
        <v>0</v>
      </c>
      <c r="AF104" s="61">
        <f>IF(AF90=0,0,AF118/AF90*100)</f>
        <v>0</v>
      </c>
      <c r="AG104" s="61">
        <f>IF(AG90=0,0,AG118/AG90*100)</f>
        <v>0</v>
      </c>
      <c r="AH104" s="61">
        <f>IF(AH90=0,0,AH118/AH90*100)</f>
        <v>0</v>
      </c>
      <c r="AI104" s="1665">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1665">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3" t="s">
        <v>1125</v>
      </c>
    </row>
    <row customHeight="1" ht="14.625" hidden="1">
      <c r="E105" s="797">
        <v>15</v>
      </c>
      <c r="F105" s="922" cm="1" t="str">
        <f t="array" ref="F105:F105">F104</f>
        <v>0</v>
      </c>
      <c r="T105" s="819" cm="1" t="str">
        <f t="array" ref="T105:T105">T104</f>
        <v>false</v>
      </c>
      <c r="AB105" s="489" t="str">
        <f>AB102&amp;".3"</f>
        <v>6.4.3</v>
      </c>
      <c r="AC105" s="491" t="s">
        <v>1038</v>
      </c>
      <c r="AD105" s="489" t="s">
        <v>498</v>
      </c>
      <c r="AE105" s="61">
        <f>IF(AE91=0,0,AE119/AE91*100)</f>
        <v>0</v>
      </c>
      <c r="AF105" s="61">
        <f>IF(AF91=0,0,AF119/AF91*100)</f>
        <v>0</v>
      </c>
      <c r="AG105" s="61">
        <f>IF(AG91=0,0,AG119/AG91*100)</f>
        <v>0</v>
      </c>
      <c r="AH105" s="61">
        <f>IF(AH91=0,0,AH119/AH91*100)</f>
        <v>0</v>
      </c>
      <c r="AI105" s="1665">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1665">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3" t="s">
        <v>1126</v>
      </c>
    </row>
    <row customHeight="1" ht="14.625" hidden="1">
      <c r="E106" s="797">
        <v>15</v>
      </c>
      <c r="F106" s="922" cm="1" t="str">
        <f t="array" ref="F106:F106">F105</f>
        <v>0</v>
      </c>
      <c r="T106" s="819" cm="1" t="str">
        <f t="array" ref="T106:T106">T105</f>
        <v>false</v>
      </c>
      <c r="AB106" s="489" t="str">
        <f>AB102&amp;".4"</f>
        <v>6.4.4</v>
      </c>
      <c r="AC106" s="491" t="s">
        <v>1041</v>
      </c>
      <c r="AD106" s="489" t="s">
        <v>498</v>
      </c>
      <c r="AE106" s="61">
        <f>IF(AE92=0,0,AE120/AE92*100)</f>
        <v>0</v>
      </c>
      <c r="AF106" s="61">
        <f>IF(AF92=0,0,AF120/AF92*100)</f>
        <v>0</v>
      </c>
      <c r="AG106" s="61">
        <f>IF(AG92=0,0,AG120/AG92*100)</f>
        <v>0</v>
      </c>
      <c r="AH106" s="61">
        <f>IF(AH92=0,0,AH120/AH92*100)</f>
        <v>0</v>
      </c>
      <c r="AI106" s="1665">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1665">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3" t="s">
        <v>1127</v>
      </c>
    </row>
    <row customHeight="1" ht="14.625" hidden="1">
      <c r="E107" s="797">
        <v>15</v>
      </c>
      <c r="F107" s="922" cm="1" t="str">
        <f t="array" ref="F107:F107">F106</f>
        <v>0</v>
      </c>
      <c r="T107" s="819" cm="1" t="str">
        <f t="array" ref="T107:T107">T106</f>
        <v>false</v>
      </c>
      <c r="AB107" s="489" t="str">
        <f>AB102&amp;".5"</f>
        <v>6.4.5</v>
      </c>
      <c r="AC107" s="491" t="s">
        <v>1044</v>
      </c>
      <c r="AD107" s="489" t="s">
        <v>498</v>
      </c>
      <c r="AE107" s="61">
        <f>IF(AE93=0,0,AE121/AE93*100)</f>
        <v>0</v>
      </c>
      <c r="AF107" s="61">
        <f>IF(AF93=0,0,AF121/AF93*100)</f>
        <v>0</v>
      </c>
      <c r="AG107" s="61">
        <f>IF(AG93=0,0,AG121/AG93*100)</f>
        <v>0</v>
      </c>
      <c r="AH107" s="61">
        <f>IF(AH93=0,0,AH121/AH93*100)</f>
        <v>0</v>
      </c>
      <c r="AI107" s="1665">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1665">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3" t="s">
        <v>1128</v>
      </c>
    </row>
    <row customHeight="1" ht="14.625" hidden="1">
      <c r="E108" s="797">
        <v>15</v>
      </c>
      <c r="F108" s="922" cm="1" t="str">
        <f t="array" ref="F108:F108">F107</f>
        <v>0</v>
      </c>
      <c r="T108" s="819" cm="1" t="str">
        <f t="array" ref="T108:T108">T107</f>
        <v>false</v>
      </c>
      <c r="AB108" s="489" t="str">
        <f>AB98&amp;".5"</f>
        <v>6.5</v>
      </c>
      <c r="AC108" s="490" t="s">
        <v>1047</v>
      </c>
      <c r="AD108" s="489" t="s">
        <v>498</v>
      </c>
      <c r="AE108" s="61">
        <f>IF(AE94=0,0,AE122/AE94*100)</f>
        <v>0</v>
      </c>
      <c r="AF108" s="61">
        <f>IF(AF94=0,0,AF122/AF94*100)</f>
        <v>0</v>
      </c>
      <c r="AG108" s="61">
        <f>IF(AG94=0,0,AG122/AG94*100)</f>
        <v>0</v>
      </c>
      <c r="AH108" s="61">
        <f>IF(AH94=0,0,AH122/AH94*100)</f>
        <v>0</v>
      </c>
      <c r="AI108" s="1665">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1665">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3" t="s">
        <v>1129</v>
      </c>
    </row>
    <row customHeight="1" ht="14.625" hidden="1">
      <c r="E109" s="797">
        <v>15</v>
      </c>
      <c r="F109" s="922" cm="1" t="str">
        <f t="array" ref="F109:F109">F108</f>
        <v>0</v>
      </c>
      <c r="T109" s="819" cm="1" t="str">
        <f t="array" ref="T109:T109">T108</f>
        <v>false</v>
      </c>
      <c r="AB109" s="489" t="str">
        <f>AB98&amp;".6"</f>
        <v>6.6</v>
      </c>
      <c r="AC109" s="490" t="s">
        <v>1050</v>
      </c>
      <c r="AD109" s="489" t="s">
        <v>498</v>
      </c>
      <c r="AE109" s="61">
        <f>IF(AE95=0,0,AE123/AE95*100)</f>
        <v>0</v>
      </c>
      <c r="AF109" s="61">
        <f>IF(AF95=0,0,AF123/AF95*100)</f>
        <v>0</v>
      </c>
      <c r="AG109" s="61">
        <f>IF(AG95=0,0,AG123/AG95*100)</f>
        <v>0</v>
      </c>
      <c r="AH109" s="61">
        <f>IF(AH95=0,0,AH123/AH95*100)</f>
        <v>0</v>
      </c>
      <c r="AI109" s="1665">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1665">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3" t="s">
        <v>1130</v>
      </c>
    </row>
    <row customHeight="1" ht="14.625" hidden="1">
      <c r="E110" s="797">
        <v>15</v>
      </c>
      <c r="F110" s="922" cm="1" t="str">
        <f t="array" ref="F110:F110">F109</f>
        <v>0</v>
      </c>
      <c r="T110" s="819" cm="1" t="str">
        <f t="array" ref="T110:T110">T109</f>
        <v>false</v>
      </c>
      <c r="AB110" s="489" t="str">
        <f>AB98&amp;".7"</f>
        <v>6.7</v>
      </c>
      <c r="AC110" s="490" t="s">
        <v>1053</v>
      </c>
      <c r="AD110" s="489" t="s">
        <v>498</v>
      </c>
      <c r="AE110" s="61">
        <f>IF(AE96=0,0,AE124/AE96*100)</f>
        <v>0</v>
      </c>
      <c r="AF110" s="61">
        <f>IF(AF96=0,0,AF124/AF96*100)</f>
        <v>0</v>
      </c>
      <c r="AG110" s="61">
        <f>IF(AG96=0,0,AG124/AG96*100)</f>
        <v>0</v>
      </c>
      <c r="AH110" s="61">
        <f>IF(AH96=0,0,AH124/AH96*100)</f>
        <v>0</v>
      </c>
      <c r="AI110" s="1665">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1665">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3" t="s">
        <v>1131</v>
      </c>
    </row>
    <row customHeight="1" ht="14.625" hidden="1">
      <c r="E111" s="797">
        <v>15</v>
      </c>
      <c r="F111" s="922" cm="1" t="str">
        <f t="array" ref="F111:F111">F110</f>
        <v>0</v>
      </c>
      <c r="T111" s="819" cm="1" t="str">
        <f t="array" ref="T111:T111">T110</f>
        <v>false</v>
      </c>
      <c r="AB111" s="489" t="str">
        <f>AB98&amp;".8"</f>
        <v>6.8</v>
      </c>
      <c r="AC111" s="490" t="s">
        <v>1056</v>
      </c>
      <c r="AD111" s="489" t="s">
        <v>498</v>
      </c>
      <c r="AE111" s="61">
        <f>IF(AE97=0,0,AE125/AE97*100)</f>
        <v>0</v>
      </c>
      <c r="AF111" s="61">
        <f>IF(AF97=0,0,AF125/AF97*100)</f>
        <v>0</v>
      </c>
      <c r="AG111" s="61">
        <f>IF(AG97=0,0,AG125/AG97*100)</f>
        <v>0</v>
      </c>
      <c r="AH111" s="61">
        <f>IF(AH97=0,0,AH125/AH97*100)</f>
        <v>0</v>
      </c>
      <c r="AI111" s="1665">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1665">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3" t="s">
        <v>1132</v>
      </c>
    </row>
    <row s="217" customFormat="1" customHeight="1" ht="14.625" hidden="1">
      <c r="E112" s="797">
        <v>15</v>
      </c>
      <c r="F112" s="922" cm="1" t="str">
        <f t="array" ref="F112:F112">F111</f>
        <v>0</v>
      </c>
      <c r="G112" s="739" t="s">
        <v>1133</v>
      </c>
      <c r="T112" s="819" cm="1" t="str">
        <f t="array" ref="T112:T112">T111</f>
        <v>false</v>
      </c>
      <c r="AB112" s="280">
        <v>7</v>
      </c>
      <c r="AC112" s="281" t="s">
        <v>1134</v>
      </c>
      <c r="AD112" s="156" t="s">
        <v>810</v>
      </c>
      <c r="AE112" s="102">
        <f>SUM(AE113:AE116)+SUM(AE122:AE125)</f>
        <v>0</v>
      </c>
      <c r="AF112" s="102">
        <f>SUM(AF113:AF116)+SUM(AF122:AF125)</f>
        <v>0</v>
      </c>
      <c r="AG112" s="102">
        <f>SUM(AG113:AG116)+SUM(AG122:AG125)</f>
        <v>0</v>
      </c>
      <c r="AH112" s="102">
        <f>SUM(AH113:AH116)+SUM(AH122:AH125)</f>
        <v>0</v>
      </c>
      <c r="AI112" s="1880">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1880">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3" t="s">
        <v>1135</v>
      </c>
    </row>
    <row customHeight="1" ht="14.625" hidden="1">
      <c r="E113" s="797">
        <v>15</v>
      </c>
      <c r="F113" s="922" cm="1" t="str">
        <f t="array" ref="F113:F113">F112</f>
        <v>0</v>
      </c>
      <c r="T113" s="819" cm="1" t="str">
        <f t="array" ref="T113:T113">T112</f>
        <v>false</v>
      </c>
      <c r="AB113" s="489" t="str">
        <f>AB112&amp;".1"</f>
        <v>7.1</v>
      </c>
      <c r="AC113" s="490" t="s">
        <v>1022</v>
      </c>
      <c r="AD113" s="489" t="s">
        <v>1023</v>
      </c>
      <c r="AE113" s="61"/>
      <c r="AF113" s="61"/>
      <c r="AG113" s="61"/>
      <c r="AH113" s="61"/>
      <c r="AI113" s="1665"/>
      <c r="AJ113" s="61"/>
      <c r="AK113" s="61"/>
      <c r="AL113" s="61"/>
      <c r="AM113" s="61"/>
      <c r="AN113" s="61"/>
      <c r="AO113" s="61"/>
      <c r="AP113" s="61"/>
      <c r="AQ113" s="61"/>
      <c r="AR113" s="61"/>
      <c r="AS113" s="1665"/>
      <c r="AT113" s="61"/>
      <c r="AU113" s="61"/>
      <c r="AV113" s="61"/>
      <c r="AW113" s="61"/>
      <c r="AX113" s="61"/>
      <c r="AY113" s="61"/>
      <c r="AZ113" s="61"/>
      <c r="BA113" s="61"/>
      <c r="BB113" s="61"/>
      <c r="BC113" s="73"/>
      <c r="BF113" s="1173" t="s">
        <v>1136</v>
      </c>
    </row>
    <row customHeight="1" ht="14.625" hidden="1">
      <c r="E114" s="797">
        <v>15</v>
      </c>
      <c r="F114" s="922" cm="1" t="str">
        <f t="array" ref="F114:F114">F113</f>
        <v>0</v>
      </c>
      <c r="T114" s="819" cm="1" t="str">
        <f t="array" ref="T114:T114">T113</f>
        <v>false</v>
      </c>
      <c r="AB114" s="489" t="str">
        <f>AB112&amp;".2"</f>
        <v>7.2</v>
      </c>
      <c r="AC114" s="490" t="s">
        <v>1025</v>
      </c>
      <c r="AD114" s="489" t="s">
        <v>1023</v>
      </c>
      <c r="AE114" s="61"/>
      <c r="AF114" s="61"/>
      <c r="AG114" s="61"/>
      <c r="AH114" s="61"/>
      <c r="AI114" s="1665"/>
      <c r="AJ114" s="61"/>
      <c r="AK114" s="61"/>
      <c r="AL114" s="61"/>
      <c r="AM114" s="61"/>
      <c r="AN114" s="61"/>
      <c r="AO114" s="61"/>
      <c r="AP114" s="61"/>
      <c r="AQ114" s="61"/>
      <c r="AR114" s="61"/>
      <c r="AS114" s="1665"/>
      <c r="AT114" s="61"/>
      <c r="AU114" s="61"/>
      <c r="AV114" s="61"/>
      <c r="AW114" s="61"/>
      <c r="AX114" s="61"/>
      <c r="AY114" s="61"/>
      <c r="AZ114" s="61"/>
      <c r="BA114" s="61"/>
      <c r="BB114" s="61"/>
      <c r="BC114" s="73"/>
      <c r="BF114" s="1173" t="s">
        <v>1137</v>
      </c>
    </row>
    <row customHeight="1" ht="14.625" hidden="1">
      <c r="E115" s="797">
        <v>15</v>
      </c>
      <c r="F115" s="922" cm="1" t="str">
        <f t="array" ref="F115:F115">F114</f>
        <v>0</v>
      </c>
      <c r="T115" s="819" cm="1" t="str">
        <f t="array" ref="T115:T115">T114</f>
        <v>false</v>
      </c>
      <c r="AB115" s="489" t="str">
        <f>AB112&amp;".3"</f>
        <v>7.3</v>
      </c>
      <c r="AC115" s="490" t="s">
        <v>1027</v>
      </c>
      <c r="AD115" s="489" t="s">
        <v>1023</v>
      </c>
      <c r="AE115" s="61"/>
      <c r="AF115" s="61"/>
      <c r="AG115" s="61"/>
      <c r="AH115" s="61"/>
      <c r="AI115" s="1665"/>
      <c r="AJ115" s="61"/>
      <c r="AK115" s="61"/>
      <c r="AL115" s="61"/>
      <c r="AM115" s="61"/>
      <c r="AN115" s="61"/>
      <c r="AO115" s="61"/>
      <c r="AP115" s="61"/>
      <c r="AQ115" s="61"/>
      <c r="AR115" s="61"/>
      <c r="AS115" s="1665"/>
      <c r="AT115" s="61"/>
      <c r="AU115" s="61"/>
      <c r="AV115" s="61"/>
      <c r="AW115" s="61"/>
      <c r="AX115" s="61"/>
      <c r="AY115" s="61"/>
      <c r="AZ115" s="61"/>
      <c r="BA115" s="61"/>
      <c r="BB115" s="61"/>
      <c r="BC115" s="73"/>
      <c r="BF115" s="1173" t="s">
        <v>1138</v>
      </c>
    </row>
    <row customHeight="1" ht="14.625" hidden="1">
      <c r="E116" s="797">
        <v>15</v>
      </c>
      <c r="F116" s="922" cm="1" t="str">
        <f t="array" ref="F116:F116">F115</f>
        <v>0</v>
      </c>
      <c r="T116" s="819" cm="1" t="str">
        <f t="array" ref="T116:T116">T115</f>
        <v>false</v>
      </c>
      <c r="AB116" s="489" t="str">
        <f>AB112&amp;".4"</f>
        <v>7.4</v>
      </c>
      <c r="AC116" s="490" t="s">
        <v>1029</v>
      </c>
      <c r="AD116" s="489" t="s">
        <v>1023</v>
      </c>
      <c r="AE116" s="85">
        <f>SUM(AE117:AE121)</f>
        <v>0</v>
      </c>
      <c r="AF116" s="85">
        <f>SUM(AF117:AF121)</f>
        <v>0</v>
      </c>
      <c r="AG116" s="85">
        <f>SUM(AG117:AG121)</f>
        <v>0</v>
      </c>
      <c r="AH116" s="85">
        <f>SUM(AH117:AH121)</f>
        <v>0</v>
      </c>
      <c r="AI116" s="1731">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1731">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3" t="s">
        <v>1139</v>
      </c>
    </row>
    <row customHeight="1" ht="14.625" hidden="1">
      <c r="E117" s="797">
        <v>15</v>
      </c>
      <c r="F117" s="922" cm="1" t="str">
        <f t="array" ref="F117:F117">F116</f>
        <v>0</v>
      </c>
      <c r="T117" s="819" cm="1" t="str">
        <f t="array" ref="T117:T117">T116</f>
        <v>false</v>
      </c>
      <c r="AB117" s="489" t="str">
        <f>AB116&amp;".1"</f>
        <v>7.4.1</v>
      </c>
      <c r="AC117" s="491" t="s">
        <v>1032</v>
      </c>
      <c r="AD117" s="489" t="s">
        <v>1023</v>
      </c>
      <c r="AE117" s="61"/>
      <c r="AF117" s="61"/>
      <c r="AG117" s="61"/>
      <c r="AH117" s="61"/>
      <c r="AI117" s="1665"/>
      <c r="AJ117" s="61"/>
      <c r="AK117" s="61"/>
      <c r="AL117" s="61"/>
      <c r="AM117" s="61"/>
      <c r="AN117" s="61"/>
      <c r="AO117" s="61"/>
      <c r="AP117" s="61"/>
      <c r="AQ117" s="61"/>
      <c r="AR117" s="61"/>
      <c r="AS117" s="1665"/>
      <c r="AT117" s="61"/>
      <c r="AU117" s="61"/>
      <c r="AV117" s="61"/>
      <c r="AW117" s="61"/>
      <c r="AX117" s="61"/>
      <c r="AY117" s="61"/>
      <c r="AZ117" s="61"/>
      <c r="BA117" s="61"/>
      <c r="BB117" s="61"/>
      <c r="BC117" s="73"/>
      <c r="BF117" s="1173" t="s">
        <v>1140</v>
      </c>
    </row>
    <row customHeight="1" ht="14.625" hidden="1">
      <c r="E118" s="797">
        <v>15</v>
      </c>
      <c r="F118" s="922" cm="1" t="str">
        <f t="array" ref="F118:F118">F117</f>
        <v>0</v>
      </c>
      <c r="T118" s="819" cm="1" t="str">
        <f t="array" ref="T118:T118">T117</f>
        <v>false</v>
      </c>
      <c r="AB118" s="489" t="str">
        <f>AB116&amp;".2"</f>
        <v>7.4.2</v>
      </c>
      <c r="AC118" s="491" t="s">
        <v>1035</v>
      </c>
      <c r="AD118" s="489" t="s">
        <v>1023</v>
      </c>
      <c r="AE118" s="61"/>
      <c r="AF118" s="61"/>
      <c r="AG118" s="61"/>
      <c r="AH118" s="61"/>
      <c r="AI118" s="1665"/>
      <c r="AJ118" s="61"/>
      <c r="AK118" s="61"/>
      <c r="AL118" s="61"/>
      <c r="AM118" s="61"/>
      <c r="AN118" s="61"/>
      <c r="AO118" s="61"/>
      <c r="AP118" s="61"/>
      <c r="AQ118" s="61"/>
      <c r="AR118" s="61"/>
      <c r="AS118" s="1665"/>
      <c r="AT118" s="61"/>
      <c r="AU118" s="61"/>
      <c r="AV118" s="61"/>
      <c r="AW118" s="61"/>
      <c r="AX118" s="61"/>
      <c r="AY118" s="61"/>
      <c r="AZ118" s="61"/>
      <c r="BA118" s="61"/>
      <c r="BB118" s="61"/>
      <c r="BC118" s="73"/>
      <c r="BF118" s="1173" t="s">
        <v>1141</v>
      </c>
    </row>
    <row customHeight="1" ht="14.625" hidden="1">
      <c r="E119" s="797">
        <v>15</v>
      </c>
      <c r="F119" s="922" cm="1" t="str">
        <f t="array" ref="F119:F119">F118</f>
        <v>0</v>
      </c>
      <c r="T119" s="819" cm="1" t="str">
        <f t="array" ref="T119:T119">T118</f>
        <v>false</v>
      </c>
      <c r="AB119" s="489" t="str">
        <f>AB116&amp;".3"</f>
        <v>7.4.3</v>
      </c>
      <c r="AC119" s="491" t="s">
        <v>1038</v>
      </c>
      <c r="AD119" s="489" t="s">
        <v>1023</v>
      </c>
      <c r="AE119" s="61"/>
      <c r="AF119" s="61"/>
      <c r="AG119" s="61"/>
      <c r="AH119" s="61"/>
      <c r="AI119" s="1665"/>
      <c r="AJ119" s="61"/>
      <c r="AK119" s="61"/>
      <c r="AL119" s="61"/>
      <c r="AM119" s="61"/>
      <c r="AN119" s="61"/>
      <c r="AO119" s="61"/>
      <c r="AP119" s="61"/>
      <c r="AQ119" s="61"/>
      <c r="AR119" s="61"/>
      <c r="AS119" s="1665"/>
      <c r="AT119" s="61"/>
      <c r="AU119" s="61"/>
      <c r="AV119" s="61"/>
      <c r="AW119" s="61"/>
      <c r="AX119" s="61"/>
      <c r="AY119" s="61"/>
      <c r="AZ119" s="61"/>
      <c r="BA119" s="61"/>
      <c r="BB119" s="61"/>
      <c r="BC119" s="73"/>
      <c r="BF119" s="1173" t="s">
        <v>1142</v>
      </c>
    </row>
    <row customHeight="1" ht="14.625" hidden="1">
      <c r="E120" s="797">
        <v>15</v>
      </c>
      <c r="F120" s="922" cm="1" t="str">
        <f t="array" ref="F120:F120">F119</f>
        <v>0</v>
      </c>
      <c r="T120" s="819" cm="1" t="str">
        <f t="array" ref="T120:T120">T119</f>
        <v>false</v>
      </c>
      <c r="AB120" s="489" t="str">
        <f>AB116&amp;".4"</f>
        <v>7.4.4</v>
      </c>
      <c r="AC120" s="491" t="s">
        <v>1041</v>
      </c>
      <c r="AD120" s="489" t="s">
        <v>1023</v>
      </c>
      <c r="AE120" s="61"/>
      <c r="AF120" s="61"/>
      <c r="AG120" s="61"/>
      <c r="AH120" s="61"/>
      <c r="AI120" s="1665"/>
      <c r="AJ120" s="61"/>
      <c r="AK120" s="61"/>
      <c r="AL120" s="61"/>
      <c r="AM120" s="61"/>
      <c r="AN120" s="61"/>
      <c r="AO120" s="61"/>
      <c r="AP120" s="61"/>
      <c r="AQ120" s="61"/>
      <c r="AR120" s="61"/>
      <c r="AS120" s="1665"/>
      <c r="AT120" s="61"/>
      <c r="AU120" s="61"/>
      <c r="AV120" s="61"/>
      <c r="AW120" s="61"/>
      <c r="AX120" s="61"/>
      <c r="AY120" s="61"/>
      <c r="AZ120" s="61"/>
      <c r="BA120" s="61"/>
      <c r="BB120" s="61"/>
      <c r="BC120" s="73"/>
      <c r="BF120" s="1173" t="s">
        <v>1143</v>
      </c>
    </row>
    <row customHeight="1" ht="14.625" hidden="1">
      <c r="E121" s="797">
        <v>15</v>
      </c>
      <c r="F121" s="922" cm="1" t="str">
        <f t="array" ref="F121:F121">F120</f>
        <v>0</v>
      </c>
      <c r="T121" s="819" cm="1" t="str">
        <f t="array" ref="T121:T121">T120</f>
        <v>false</v>
      </c>
      <c r="AB121" s="489" t="str">
        <f>AB116&amp;".5"</f>
        <v>7.4.5</v>
      </c>
      <c r="AC121" s="491" t="s">
        <v>1044</v>
      </c>
      <c r="AD121" s="489" t="s">
        <v>1023</v>
      </c>
      <c r="AE121" s="61"/>
      <c r="AF121" s="61"/>
      <c r="AG121" s="61"/>
      <c r="AH121" s="61"/>
      <c r="AI121" s="1665"/>
      <c r="AJ121" s="61"/>
      <c r="AK121" s="61"/>
      <c r="AL121" s="61"/>
      <c r="AM121" s="61"/>
      <c r="AN121" s="61"/>
      <c r="AO121" s="61"/>
      <c r="AP121" s="61"/>
      <c r="AQ121" s="61"/>
      <c r="AR121" s="61"/>
      <c r="AS121" s="1665"/>
      <c r="AT121" s="61"/>
      <c r="AU121" s="61"/>
      <c r="AV121" s="61"/>
      <c r="AW121" s="61"/>
      <c r="AX121" s="61"/>
      <c r="AY121" s="61"/>
      <c r="AZ121" s="61"/>
      <c r="BA121" s="61"/>
      <c r="BB121" s="61"/>
      <c r="BC121" s="73"/>
      <c r="BF121" s="1173" t="s">
        <v>1144</v>
      </c>
    </row>
    <row customHeight="1" ht="14.625" hidden="1">
      <c r="E122" s="797">
        <v>15</v>
      </c>
      <c r="F122" s="922" cm="1" t="str">
        <f t="array" ref="F122:F122">F121</f>
        <v>0</v>
      </c>
      <c r="T122" s="819" cm="1" t="str">
        <f t="array" ref="T122:T122">T121</f>
        <v>false</v>
      </c>
      <c r="AB122" s="489" t="str">
        <f>AB112&amp;".5"</f>
        <v>7.5</v>
      </c>
      <c r="AC122" s="490" t="s">
        <v>1047</v>
      </c>
      <c r="AD122" s="489" t="s">
        <v>1023</v>
      </c>
      <c r="AE122" s="61"/>
      <c r="AF122" s="61"/>
      <c r="AG122" s="61"/>
      <c r="AH122" s="61"/>
      <c r="AI122" s="1665"/>
      <c r="AJ122" s="61"/>
      <c r="AK122" s="61"/>
      <c r="AL122" s="61"/>
      <c r="AM122" s="61"/>
      <c r="AN122" s="61"/>
      <c r="AO122" s="61"/>
      <c r="AP122" s="61"/>
      <c r="AQ122" s="61"/>
      <c r="AR122" s="61"/>
      <c r="AS122" s="1665"/>
      <c r="AT122" s="61"/>
      <c r="AU122" s="61"/>
      <c r="AV122" s="61"/>
      <c r="AW122" s="61"/>
      <c r="AX122" s="61"/>
      <c r="AY122" s="61"/>
      <c r="AZ122" s="61"/>
      <c r="BA122" s="61"/>
      <c r="BB122" s="61"/>
      <c r="BC122" s="73"/>
      <c r="BF122" s="1173" t="s">
        <v>1145</v>
      </c>
    </row>
    <row customHeight="1" ht="14.625" hidden="1">
      <c r="E123" s="797">
        <v>15</v>
      </c>
      <c r="F123" s="922" cm="1" t="str">
        <f t="array" ref="F123:F123">F122</f>
        <v>0</v>
      </c>
      <c r="T123" s="819" cm="1" t="str">
        <f t="array" ref="T123:T123">T122</f>
        <v>false</v>
      </c>
      <c r="AB123" s="489" t="str">
        <f>AB112&amp;".6"</f>
        <v>7.6</v>
      </c>
      <c r="AC123" s="490" t="s">
        <v>1050</v>
      </c>
      <c r="AD123" s="489" t="s">
        <v>1023</v>
      </c>
      <c r="AE123" s="61"/>
      <c r="AF123" s="61"/>
      <c r="AG123" s="61"/>
      <c r="AH123" s="61"/>
      <c r="AI123" s="1665"/>
      <c r="AJ123" s="61"/>
      <c r="AK123" s="61"/>
      <c r="AL123" s="61"/>
      <c r="AM123" s="61"/>
      <c r="AN123" s="61"/>
      <c r="AO123" s="61"/>
      <c r="AP123" s="61"/>
      <c r="AQ123" s="61"/>
      <c r="AR123" s="61"/>
      <c r="AS123" s="1665"/>
      <c r="AT123" s="61"/>
      <c r="AU123" s="61"/>
      <c r="AV123" s="61"/>
      <c r="AW123" s="61"/>
      <c r="AX123" s="61"/>
      <c r="AY123" s="61"/>
      <c r="AZ123" s="61"/>
      <c r="BA123" s="61"/>
      <c r="BB123" s="61"/>
      <c r="BC123" s="73"/>
      <c r="BF123" s="1173" t="s">
        <v>1146</v>
      </c>
    </row>
    <row customHeight="1" ht="14.625" hidden="1">
      <c r="E124" s="797">
        <v>15</v>
      </c>
      <c r="F124" s="922" cm="1" t="str">
        <f t="array" ref="F124:F124">F123</f>
        <v>0</v>
      </c>
      <c r="T124" s="819" cm="1" t="str">
        <f t="array" ref="T124:T124">T123</f>
        <v>false</v>
      </c>
      <c r="AB124" s="489" t="str">
        <f>AB112&amp;".7"</f>
        <v>7.7</v>
      </c>
      <c r="AC124" s="490" t="s">
        <v>1053</v>
      </c>
      <c r="AD124" s="489" t="s">
        <v>1023</v>
      </c>
      <c r="AE124" s="61"/>
      <c r="AF124" s="61"/>
      <c r="AG124" s="61"/>
      <c r="AH124" s="61"/>
      <c r="AI124" s="1665"/>
      <c r="AJ124" s="61"/>
      <c r="AK124" s="61"/>
      <c r="AL124" s="61"/>
      <c r="AM124" s="61"/>
      <c r="AN124" s="61"/>
      <c r="AO124" s="61"/>
      <c r="AP124" s="61"/>
      <c r="AQ124" s="61"/>
      <c r="AR124" s="61"/>
      <c r="AS124" s="1665"/>
      <c r="AT124" s="61"/>
      <c r="AU124" s="61"/>
      <c r="AV124" s="61"/>
      <c r="AW124" s="61"/>
      <c r="AX124" s="61"/>
      <c r="AY124" s="61"/>
      <c r="AZ124" s="61"/>
      <c r="BA124" s="61"/>
      <c r="BB124" s="61"/>
      <c r="BC124" s="73"/>
      <c r="BF124" s="1173" t="s">
        <v>1147</v>
      </c>
    </row>
    <row customHeight="1" ht="14.625" hidden="1">
      <c r="E125" s="797">
        <v>15</v>
      </c>
      <c r="F125" s="922" cm="1" t="str">
        <f t="array" ref="F125:F125">F124</f>
        <v>0</v>
      </c>
      <c r="T125" s="819" cm="1" t="str">
        <f t="array" ref="T125:T125">T124</f>
        <v>false</v>
      </c>
      <c r="AB125" s="489" t="str">
        <f>AB112&amp;".8"</f>
        <v>7.8</v>
      </c>
      <c r="AC125" s="490" t="s">
        <v>1056</v>
      </c>
      <c r="AD125" s="489" t="s">
        <v>1023</v>
      </c>
      <c r="AE125" s="61"/>
      <c r="AF125" s="61"/>
      <c r="AG125" s="61"/>
      <c r="AH125" s="61"/>
      <c r="AI125" s="1665"/>
      <c r="AJ125" s="61"/>
      <c r="AK125" s="61"/>
      <c r="AL125" s="61"/>
      <c r="AM125" s="61"/>
      <c r="AN125" s="61"/>
      <c r="AO125" s="61"/>
      <c r="AP125" s="61"/>
      <c r="AQ125" s="61"/>
      <c r="AR125" s="61"/>
      <c r="AS125" s="1665"/>
      <c r="AT125" s="61"/>
      <c r="AU125" s="61"/>
      <c r="AV125" s="61"/>
      <c r="AW125" s="61"/>
      <c r="AX125" s="61"/>
      <c r="AY125" s="61"/>
      <c r="AZ125" s="61"/>
      <c r="BA125" s="61"/>
      <c r="BB125" s="61"/>
      <c r="BC125" s="73"/>
      <c r="BF125" s="1173" t="s">
        <v>1148</v>
      </c>
    </row>
    <row s="1632" customFormat="1" customHeight="1" ht="10.5">
      <c r="A126" s="1443"/>
      <c r="B126" s="927"/>
      <c r="C126" s="1443"/>
      <c r="D126" s="1443"/>
      <c r="E126" s="797">
        <v>11.4</v>
      </c>
      <c r="F126" s="922" cm="1" t="str">
        <f t="array" ref="F126:F126">X126</f>
        <v>1</v>
      </c>
      <c r="G126" s="965"/>
      <c r="H126" s="965"/>
      <c r="I126" s="965"/>
      <c r="J126" s="965"/>
      <c r="K126" s="965"/>
      <c r="L126" s="965"/>
      <c r="M126" s="965"/>
      <c r="N126" s="965"/>
      <c r="O126" s="965"/>
      <c r="P126" s="965"/>
      <c r="Q126" s="928"/>
      <c r="R126" s="928"/>
      <c r="S126" s="965"/>
      <c r="T126" s="819">
        <f>X126&gt;0</f>
        <v>1</v>
      </c>
      <c r="U126" s="1443"/>
      <c r="V126" s="175" cm="1" t="str">
        <f t="array" ref="V126:V126">'ХВС, ТН'!$AB$40</f>
        <v>Тариф 1 (Теплоснабжение) - Тариф на тепловую энергию (мощность), поставляемую потребителям (Не определено)</v>
      </c>
      <c r="W126" s="1443"/>
      <c r="X126" s="159" t="s">
        <v>336</v>
      </c>
      <c r="Y126" s="1443"/>
      <c r="Z126" s="1443"/>
      <c r="AA126" s="937"/>
      <c r="AB126" s="290" cm="1" t="str">
        <f t="array" ref="AB126:AB126">IF(ISBLANK('ХВС, ТН'!$AB$40),"",'ХВС, ТН'!$AB$40)</f>
        <v>Тариф 1 (Теплоснабжение) - Тариф на тепловую энергию (мощность), поставляемую потребителям (Не определено)</v>
      </c>
      <c r="AC126" s="260"/>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79"/>
      <c r="BD126" s="937"/>
      <c r="BE126" s="937"/>
      <c r="BF126" s="1180"/>
    </row>
    <row s="217" customFormat="1" customHeight="1" ht="21.75">
      <c r="A127" s="217"/>
      <c r="B127" s="217"/>
      <c r="C127" s="217"/>
      <c r="D127" s="217"/>
      <c r="E127" s="797">
        <v>22.8</v>
      </c>
      <c r="F127" s="922" cm="1" t="str">
        <f t="array" ref="F127:F127">F126</f>
        <v>1</v>
      </c>
      <c r="G127" s="217"/>
      <c r="H127" s="217"/>
      <c r="I127" s="217"/>
      <c r="J127" s="217"/>
      <c r="K127" s="217"/>
      <c r="L127" s="217"/>
      <c r="M127" s="217"/>
      <c r="N127" s="217"/>
      <c r="O127" s="217"/>
      <c r="P127" s="217"/>
      <c r="Q127" s="217"/>
      <c r="R127" s="217"/>
      <c r="S127" s="217"/>
      <c r="T127" s="819" cm="1" t="str">
        <f t="array" ref="T127:T127">T126</f>
        <v>true</v>
      </c>
      <c r="U127" s="217"/>
      <c r="V127" s="217"/>
      <c r="W127" s="217"/>
      <c r="X127" s="217"/>
      <c r="Y127" s="217"/>
      <c r="Z127" s="217"/>
      <c r="AA127" s="217"/>
      <c r="AB127" s="280">
        <v>1</v>
      </c>
      <c r="AC127" s="281" t="s">
        <v>1020</v>
      </c>
      <c r="AD127" s="156" t="s">
        <v>810</v>
      </c>
      <c r="AE127" s="1880">
        <f>SUM(AE128:AE131)+SUM(AE137:AE140)</f>
        <v>0</v>
      </c>
      <c r="AF127" s="1880">
        <f>SUM(AF128:AF131)+SUM(AF137:AF140)</f>
        <v>0</v>
      </c>
      <c r="AG127" s="1880">
        <f>SUM(AG128:AG131)+SUM(AG137:AG140)</f>
        <v>0</v>
      </c>
      <c r="AH127" s="1880">
        <f>SUM(AH128:AH131)+SUM(AH137:AH140)</f>
        <v>0</v>
      </c>
      <c r="AI127" s="1880">
        <f>SUM(AI128:AI131)+SUM(AI137:AI140)</f>
        <v>0</v>
      </c>
      <c r="AJ127" s="1880">
        <f>SUM(AJ128:AJ131)+SUM(AJ137:AJ140)</f>
        <v>0</v>
      </c>
      <c r="AK127" s="1880">
        <f>SUM(AK128:AK131)+SUM(AK137:AK140)</f>
        <v>0</v>
      </c>
      <c r="AL127" s="1880">
        <f>SUM(AL128:AL131)+SUM(AL137:AL140)</f>
        <v>0</v>
      </c>
      <c r="AM127" s="1880">
        <f>SUM(AM128:AM131)+SUM(AM137:AM140)</f>
        <v>0</v>
      </c>
      <c r="AN127" s="1880">
        <f>SUM(AN128:AN131)+SUM(AN137:AN140)</f>
        <v>0</v>
      </c>
      <c r="AO127" s="1880">
        <f>SUM(AO128:AO131)+SUM(AO137:AO140)</f>
        <v>0</v>
      </c>
      <c r="AP127" s="1880">
        <f>SUM(AP128:AP131)+SUM(AP137:AP140)</f>
        <v>0</v>
      </c>
      <c r="AQ127" s="1880">
        <f>SUM(AQ128:AQ131)+SUM(AQ137:AQ140)</f>
        <v>0</v>
      </c>
      <c r="AR127" s="1880">
        <f>SUM(AR128:AR131)+SUM(AR137:AR140)</f>
        <v>0</v>
      </c>
      <c r="AS127" s="1880">
        <f>SUM(AS128:AS131)+SUM(AS137:AS140)</f>
        <v>0</v>
      </c>
      <c r="AT127" s="1880">
        <f>SUM(AT128:AT131)+SUM(AT137:AT140)</f>
        <v>0</v>
      </c>
      <c r="AU127" s="1880">
        <f>SUM(AU128:AU131)+SUM(AU137:AU140)</f>
        <v>0</v>
      </c>
      <c r="AV127" s="1880">
        <f>SUM(AV128:AV131)+SUM(AV137:AV140)</f>
        <v>0</v>
      </c>
      <c r="AW127" s="1880">
        <f>SUM(AW128:AW131)+SUM(AW137:AW140)</f>
        <v>0</v>
      </c>
      <c r="AX127" s="1880">
        <f>SUM(AX128:AX131)+SUM(AX137:AX140)</f>
        <v>0</v>
      </c>
      <c r="AY127" s="1880">
        <f>SUM(AY128:AY131)+SUM(AY137:AY140)</f>
        <v>0</v>
      </c>
      <c r="AZ127" s="1880">
        <f>SUM(AZ128:AZ131)+SUM(AZ137:AZ140)</f>
        <v>0</v>
      </c>
      <c r="BA127" s="1880">
        <f>SUM(BA128:BA131)+SUM(BA137:BA140)</f>
        <v>0</v>
      </c>
      <c r="BB127" s="1880">
        <f>SUM(BB128:BB131)+SUM(BB137:BB140)</f>
        <v>0</v>
      </c>
      <c r="BC127" s="1719"/>
      <c r="BD127" s="217"/>
      <c r="BE127" s="217"/>
      <c r="BF127" s="1173" t="s">
        <v>1021</v>
      </c>
    </row>
    <row s="1632" customFormat="1" customHeight="1" ht="14.25">
      <c r="A128" s="1443"/>
      <c r="B128" s="927"/>
      <c r="C128" s="1443"/>
      <c r="D128" s="1443"/>
      <c r="E128" s="797">
        <v>15</v>
      </c>
      <c r="F128" s="922" cm="1" t="str">
        <f t="array" ref="F128:F128">F127</f>
        <v>1</v>
      </c>
      <c r="G128" s="965"/>
      <c r="H128" s="965"/>
      <c r="I128" s="965"/>
      <c r="J128" s="965"/>
      <c r="K128" s="965"/>
      <c r="L128" s="965"/>
      <c r="M128" s="965"/>
      <c r="N128" s="965"/>
      <c r="O128" s="965"/>
      <c r="P128" s="965"/>
      <c r="Q128" s="928"/>
      <c r="R128" s="928"/>
      <c r="S128" s="965"/>
      <c r="T128" s="819" cm="1" t="str">
        <f t="array" ref="T128:T128">T127</f>
        <v>true</v>
      </c>
      <c r="U128" s="1443"/>
      <c r="V128" s="1443"/>
      <c r="W128" s="1443"/>
      <c r="X128" s="1443"/>
      <c r="Y128" s="1443"/>
      <c r="Z128" s="1443"/>
      <c r="AA128" s="937"/>
      <c r="AB128" s="489" t="s">
        <v>449</v>
      </c>
      <c r="AC128" s="490" t="s">
        <v>1022</v>
      </c>
      <c r="AD128" s="489" t="s">
        <v>1023</v>
      </c>
      <c r="AE128" s="1665"/>
      <c r="AF128" s="1665"/>
      <c r="AG128" s="1665"/>
      <c r="AH128" s="1665"/>
      <c r="AI128" s="1665"/>
      <c r="AJ128" s="1665"/>
      <c r="AK128" s="1665"/>
      <c r="AL128" s="1665"/>
      <c r="AM128" s="1665"/>
      <c r="AN128" s="1665"/>
      <c r="AO128" s="1665"/>
      <c r="AP128" s="1665"/>
      <c r="AQ128" s="1665"/>
      <c r="AR128" s="1665"/>
      <c r="AS128" s="1665"/>
      <c r="AT128" s="1665"/>
      <c r="AU128" s="1665"/>
      <c r="AV128" s="1665"/>
      <c r="AW128" s="1665"/>
      <c r="AX128" s="1665"/>
      <c r="AY128" s="1665"/>
      <c r="AZ128" s="1665"/>
      <c r="BA128" s="1665"/>
      <c r="BB128" s="1665"/>
      <c r="BC128" s="1719"/>
      <c r="BD128" s="937"/>
      <c r="BE128" s="937"/>
      <c r="BF128" s="1173" t="s">
        <v>1024</v>
      </c>
    </row>
    <row s="1632" customFormat="1" customHeight="1" ht="14.25">
      <c r="A129" s="1443"/>
      <c r="B129" s="927"/>
      <c r="C129" s="1443"/>
      <c r="D129" s="1443"/>
      <c r="E129" s="797">
        <v>15</v>
      </c>
      <c r="F129" s="922" cm="1" t="str">
        <f t="array" ref="F129:F129">F128</f>
        <v>1</v>
      </c>
      <c r="G129" s="965"/>
      <c r="H129" s="965"/>
      <c r="I129" s="965"/>
      <c r="J129" s="965"/>
      <c r="K129" s="965"/>
      <c r="L129" s="965"/>
      <c r="M129" s="965"/>
      <c r="N129" s="965"/>
      <c r="O129" s="965"/>
      <c r="P129" s="965"/>
      <c r="Q129" s="928"/>
      <c r="R129" s="928"/>
      <c r="S129" s="965"/>
      <c r="T129" s="819" cm="1" t="str">
        <f t="array" ref="T129:T129">T128</f>
        <v>true</v>
      </c>
      <c r="U129" s="1443"/>
      <c r="V129" s="1443"/>
      <c r="W129" s="1443"/>
      <c r="X129" s="1443"/>
      <c r="Y129" s="1443"/>
      <c r="Z129" s="1443"/>
      <c r="AA129" s="937"/>
      <c r="AB129" s="489" t="s">
        <v>935</v>
      </c>
      <c r="AC129" s="490" t="s">
        <v>1025</v>
      </c>
      <c r="AD129" s="489" t="s">
        <v>1023</v>
      </c>
      <c r="AE129" s="1665"/>
      <c r="AF129" s="1665"/>
      <c r="AG129" s="1665"/>
      <c r="AH129" s="1665"/>
      <c r="AI129" s="1665"/>
      <c r="AJ129" s="1665"/>
      <c r="AK129" s="1665"/>
      <c r="AL129" s="1665"/>
      <c r="AM129" s="1665"/>
      <c r="AN129" s="1665"/>
      <c r="AO129" s="1665"/>
      <c r="AP129" s="1665"/>
      <c r="AQ129" s="1665"/>
      <c r="AR129" s="1665"/>
      <c r="AS129" s="1665"/>
      <c r="AT129" s="1665"/>
      <c r="AU129" s="1665"/>
      <c r="AV129" s="1665"/>
      <c r="AW129" s="1665"/>
      <c r="AX129" s="1665"/>
      <c r="AY129" s="1665"/>
      <c r="AZ129" s="1665"/>
      <c r="BA129" s="1665"/>
      <c r="BB129" s="1665"/>
      <c r="BC129" s="1719"/>
      <c r="BD129" s="937"/>
      <c r="BE129" s="937"/>
      <c r="BF129" s="1173" t="s">
        <v>1026</v>
      </c>
    </row>
    <row s="1632" customFormat="1" customHeight="1" ht="14.25">
      <c r="A130" s="1443"/>
      <c r="B130" s="927"/>
      <c r="C130" s="1443"/>
      <c r="D130" s="1443"/>
      <c r="E130" s="797">
        <v>15</v>
      </c>
      <c r="F130" s="922" cm="1" t="str">
        <f t="array" ref="F130:F130">F129</f>
        <v>1</v>
      </c>
      <c r="G130" s="965"/>
      <c r="H130" s="965"/>
      <c r="I130" s="965"/>
      <c r="J130" s="965"/>
      <c r="K130" s="965"/>
      <c r="L130" s="965"/>
      <c r="M130" s="965"/>
      <c r="N130" s="965"/>
      <c r="O130" s="965"/>
      <c r="P130" s="965"/>
      <c r="Q130" s="928"/>
      <c r="R130" s="928"/>
      <c r="S130" s="965"/>
      <c r="T130" s="819" cm="1" t="str">
        <f t="array" ref="T130:T130">T129</f>
        <v>true</v>
      </c>
      <c r="U130" s="1443"/>
      <c r="V130" s="1443"/>
      <c r="W130" s="1443"/>
      <c r="X130" s="1443"/>
      <c r="Y130" s="1443"/>
      <c r="Z130" s="1443"/>
      <c r="AA130" s="937"/>
      <c r="AB130" s="489" t="s">
        <v>937</v>
      </c>
      <c r="AC130" s="490" t="s">
        <v>1027</v>
      </c>
      <c r="AD130" s="489" t="s">
        <v>1023</v>
      </c>
      <c r="AE130" s="1665"/>
      <c r="AF130" s="1665"/>
      <c r="AG130" s="1665"/>
      <c r="AH130" s="1665"/>
      <c r="AI130" s="1665"/>
      <c r="AJ130" s="1665"/>
      <c r="AK130" s="1665"/>
      <c r="AL130" s="1665"/>
      <c r="AM130" s="1665"/>
      <c r="AN130" s="1665"/>
      <c r="AO130" s="1665"/>
      <c r="AP130" s="1665"/>
      <c r="AQ130" s="1665"/>
      <c r="AR130" s="1665"/>
      <c r="AS130" s="1665"/>
      <c r="AT130" s="1665"/>
      <c r="AU130" s="1665"/>
      <c r="AV130" s="1665"/>
      <c r="AW130" s="1665"/>
      <c r="AX130" s="1665"/>
      <c r="AY130" s="1665"/>
      <c r="AZ130" s="1665"/>
      <c r="BA130" s="1665"/>
      <c r="BB130" s="1665"/>
      <c r="BC130" s="1719"/>
      <c r="BD130" s="937"/>
      <c r="BE130" s="937"/>
      <c r="BF130" s="1173" t="s">
        <v>1028</v>
      </c>
    </row>
    <row s="1632" customFormat="1" customHeight="1" ht="14.25">
      <c r="A131" s="1443"/>
      <c r="B131" s="927"/>
      <c r="C131" s="1443"/>
      <c r="D131" s="1443"/>
      <c r="E131" s="797">
        <v>15</v>
      </c>
      <c r="F131" s="922" cm="1" t="str">
        <f t="array" ref="F131:F131">F130</f>
        <v>1</v>
      </c>
      <c r="G131" s="965"/>
      <c r="H131" s="965"/>
      <c r="I131" s="965"/>
      <c r="J131" s="965"/>
      <c r="K131" s="965"/>
      <c r="L131" s="965"/>
      <c r="M131" s="965"/>
      <c r="N131" s="965"/>
      <c r="O131" s="965"/>
      <c r="P131" s="965"/>
      <c r="Q131" s="928"/>
      <c r="R131" s="928"/>
      <c r="S131" s="965"/>
      <c r="T131" s="819" cm="1" t="str">
        <f t="array" ref="T131:T131">T130</f>
        <v>true</v>
      </c>
      <c r="U131" s="1443"/>
      <c r="V131" s="1443"/>
      <c r="W131" s="1443"/>
      <c r="X131" s="1443"/>
      <c r="Y131" s="1443"/>
      <c r="Z131" s="1443"/>
      <c r="AA131" s="937"/>
      <c r="AB131" s="489" t="s">
        <v>941</v>
      </c>
      <c r="AC131" s="490" t="s">
        <v>1029</v>
      </c>
      <c r="AD131" s="489" t="s">
        <v>1023</v>
      </c>
      <c r="AE131" s="1731">
        <f>SUM(AE132:AE136)</f>
        <v>0</v>
      </c>
      <c r="AF131" s="1731">
        <f>SUM(AF132:AF136)</f>
        <v>0</v>
      </c>
      <c r="AG131" s="1731">
        <f>SUM(AG132:AG136)</f>
        <v>0</v>
      </c>
      <c r="AH131" s="1731">
        <f>SUM(AH132:AH136)</f>
        <v>0</v>
      </c>
      <c r="AI131" s="1731">
        <f>SUM(AI132:AI136)</f>
        <v>0</v>
      </c>
      <c r="AJ131" s="1731">
        <f>SUM(AJ132:AJ136)</f>
        <v>0</v>
      </c>
      <c r="AK131" s="1731">
        <f>SUM(AK132:AK136)</f>
        <v>0</v>
      </c>
      <c r="AL131" s="1731">
        <f>SUM(AL132:AL136)</f>
        <v>0</v>
      </c>
      <c r="AM131" s="1731">
        <f>SUM(AM132:AM136)</f>
        <v>0</v>
      </c>
      <c r="AN131" s="1731">
        <f>SUM(AN132:AN136)</f>
        <v>0</v>
      </c>
      <c r="AO131" s="1731">
        <f>SUM(AO132:AO136)</f>
        <v>0</v>
      </c>
      <c r="AP131" s="1731">
        <f>SUM(AP132:AP136)</f>
        <v>0</v>
      </c>
      <c r="AQ131" s="1731">
        <f>SUM(AQ132:AQ136)</f>
        <v>0</v>
      </c>
      <c r="AR131" s="1731">
        <f>SUM(AR132:AR136)</f>
        <v>0</v>
      </c>
      <c r="AS131" s="1731">
        <f>SUM(AS132:AS136)</f>
        <v>0</v>
      </c>
      <c r="AT131" s="1731">
        <f>SUM(AT132:AT136)</f>
        <v>0</v>
      </c>
      <c r="AU131" s="1731">
        <f>SUM(AU132:AU136)</f>
        <v>0</v>
      </c>
      <c r="AV131" s="1731">
        <f>SUM(AV132:AV136)</f>
        <v>0</v>
      </c>
      <c r="AW131" s="1731">
        <f>SUM(AW132:AW136)</f>
        <v>0</v>
      </c>
      <c r="AX131" s="1731">
        <f>SUM(AX132:AX136)</f>
        <v>0</v>
      </c>
      <c r="AY131" s="1731">
        <f>SUM(AY132:AY136)</f>
        <v>0</v>
      </c>
      <c r="AZ131" s="1731">
        <f>SUM(AZ132:AZ136)</f>
        <v>0</v>
      </c>
      <c r="BA131" s="1731">
        <f>SUM(BA132:BA136)</f>
        <v>0</v>
      </c>
      <c r="BB131" s="1731">
        <f>SUM(BB132:BB136)</f>
        <v>0</v>
      </c>
      <c r="BC131" s="1719"/>
      <c r="BD131" s="937"/>
      <c r="BE131" s="937"/>
      <c r="BF131" s="1173" t="s">
        <v>1030</v>
      </c>
    </row>
    <row s="1632" customFormat="1" customHeight="1" ht="14.25">
      <c r="A132" s="1443"/>
      <c r="B132" s="927"/>
      <c r="C132" s="1443"/>
      <c r="D132" s="1443"/>
      <c r="E132" s="797">
        <v>15</v>
      </c>
      <c r="F132" s="922" cm="1" t="str">
        <f t="array" ref="F132:F132">F131</f>
        <v>1</v>
      </c>
      <c r="G132" s="965"/>
      <c r="H132" s="965"/>
      <c r="I132" s="965"/>
      <c r="J132" s="965"/>
      <c r="K132" s="965"/>
      <c r="L132" s="965"/>
      <c r="M132" s="965"/>
      <c r="N132" s="965"/>
      <c r="O132" s="965"/>
      <c r="P132" s="965"/>
      <c r="Q132" s="928"/>
      <c r="R132" s="928"/>
      <c r="S132" s="965"/>
      <c r="T132" s="819" cm="1" t="str">
        <f t="array" ref="T132:T132">T131</f>
        <v>true</v>
      </c>
      <c r="U132" s="1443"/>
      <c r="V132" s="1443"/>
      <c r="W132" s="1443"/>
      <c r="X132" s="1443"/>
      <c r="Y132" s="1443"/>
      <c r="Z132" s="1443"/>
      <c r="AA132" s="937"/>
      <c r="AB132" s="489" t="s">
        <v>1031</v>
      </c>
      <c r="AC132" s="491" t="s">
        <v>1032</v>
      </c>
      <c r="AD132" s="489" t="s">
        <v>1023</v>
      </c>
      <c r="AE132" s="1665"/>
      <c r="AF132" s="1665"/>
      <c r="AG132" s="1665"/>
      <c r="AH132" s="1665"/>
      <c r="AI132" s="1665"/>
      <c r="AJ132" s="1665"/>
      <c r="AK132" s="1665"/>
      <c r="AL132" s="1665"/>
      <c r="AM132" s="1665"/>
      <c r="AN132" s="1665"/>
      <c r="AO132" s="1665"/>
      <c r="AP132" s="1665"/>
      <c r="AQ132" s="1665"/>
      <c r="AR132" s="1665"/>
      <c r="AS132" s="1665"/>
      <c r="AT132" s="1665"/>
      <c r="AU132" s="1665"/>
      <c r="AV132" s="1665"/>
      <c r="AW132" s="1665"/>
      <c r="AX132" s="1665"/>
      <c r="AY132" s="1665"/>
      <c r="AZ132" s="1665"/>
      <c r="BA132" s="1665"/>
      <c r="BB132" s="1665"/>
      <c r="BC132" s="1719"/>
      <c r="BD132" s="937"/>
      <c r="BE132" s="937"/>
      <c r="BF132" s="1173" t="s">
        <v>1033</v>
      </c>
    </row>
    <row s="1632" customFormat="1" customHeight="1" ht="14.25">
      <c r="A133" s="1443"/>
      <c r="B133" s="927"/>
      <c r="C133" s="1443"/>
      <c r="D133" s="1443"/>
      <c r="E133" s="797">
        <v>15</v>
      </c>
      <c r="F133" s="922" cm="1" t="str">
        <f t="array" ref="F133:F133">F132</f>
        <v>1</v>
      </c>
      <c r="G133" s="965"/>
      <c r="H133" s="965"/>
      <c r="I133" s="965"/>
      <c r="J133" s="965"/>
      <c r="K133" s="965"/>
      <c r="L133" s="965"/>
      <c r="M133" s="965"/>
      <c r="N133" s="965"/>
      <c r="O133" s="965"/>
      <c r="P133" s="965"/>
      <c r="Q133" s="928"/>
      <c r="R133" s="928"/>
      <c r="S133" s="965"/>
      <c r="T133" s="819" cm="1" t="str">
        <f t="array" ref="T133:T133">T132</f>
        <v>true</v>
      </c>
      <c r="U133" s="1443"/>
      <c r="V133" s="1443"/>
      <c r="W133" s="1443"/>
      <c r="X133" s="1443"/>
      <c r="Y133" s="1443"/>
      <c r="Z133" s="1443"/>
      <c r="AA133" s="937"/>
      <c r="AB133" s="489" t="s">
        <v>1034</v>
      </c>
      <c r="AC133" s="491" t="s">
        <v>1035</v>
      </c>
      <c r="AD133" s="489" t="s">
        <v>1023</v>
      </c>
      <c r="AE133" s="1665"/>
      <c r="AF133" s="1665"/>
      <c r="AG133" s="1665"/>
      <c r="AH133" s="1665"/>
      <c r="AI133" s="1665"/>
      <c r="AJ133" s="1665"/>
      <c r="AK133" s="1665"/>
      <c r="AL133" s="1665"/>
      <c r="AM133" s="1665"/>
      <c r="AN133" s="1665"/>
      <c r="AO133" s="1665"/>
      <c r="AP133" s="1665"/>
      <c r="AQ133" s="1665"/>
      <c r="AR133" s="1665"/>
      <c r="AS133" s="1665"/>
      <c r="AT133" s="1665"/>
      <c r="AU133" s="1665"/>
      <c r="AV133" s="1665"/>
      <c r="AW133" s="1665"/>
      <c r="AX133" s="1665"/>
      <c r="AY133" s="1665"/>
      <c r="AZ133" s="1665"/>
      <c r="BA133" s="1665"/>
      <c r="BB133" s="1665"/>
      <c r="BC133" s="1719"/>
      <c r="BD133" s="937"/>
      <c r="BE133" s="937"/>
      <c r="BF133" s="1173" t="s">
        <v>1036</v>
      </c>
    </row>
    <row s="1632" customFormat="1" customHeight="1" ht="14.25">
      <c r="A134" s="1443"/>
      <c r="B134" s="927"/>
      <c r="C134" s="1443"/>
      <c r="D134" s="1443"/>
      <c r="E134" s="797">
        <v>15</v>
      </c>
      <c r="F134" s="922" cm="1" t="str">
        <f t="array" ref="F134:F134">F133</f>
        <v>1</v>
      </c>
      <c r="G134" s="965"/>
      <c r="H134" s="965"/>
      <c r="I134" s="965"/>
      <c r="J134" s="965"/>
      <c r="K134" s="965"/>
      <c r="L134" s="965"/>
      <c r="M134" s="965"/>
      <c r="N134" s="965"/>
      <c r="O134" s="965"/>
      <c r="P134" s="965"/>
      <c r="Q134" s="928"/>
      <c r="R134" s="928"/>
      <c r="S134" s="965"/>
      <c r="T134" s="819" cm="1" t="str">
        <f t="array" ref="T134:T134">T133</f>
        <v>true</v>
      </c>
      <c r="U134" s="1443"/>
      <c r="V134" s="1443"/>
      <c r="W134" s="1443"/>
      <c r="X134" s="1443"/>
      <c r="Y134" s="1443"/>
      <c r="Z134" s="1443"/>
      <c r="AA134" s="937"/>
      <c r="AB134" s="489" t="s">
        <v>1037</v>
      </c>
      <c r="AC134" s="491" t="s">
        <v>1038</v>
      </c>
      <c r="AD134" s="489" t="s">
        <v>1023</v>
      </c>
      <c r="AE134" s="1665"/>
      <c r="AF134" s="1665"/>
      <c r="AG134" s="1665"/>
      <c r="AH134" s="1665"/>
      <c r="AI134" s="1665"/>
      <c r="AJ134" s="1665"/>
      <c r="AK134" s="1665"/>
      <c r="AL134" s="1665"/>
      <c r="AM134" s="1665"/>
      <c r="AN134" s="1665"/>
      <c r="AO134" s="1665"/>
      <c r="AP134" s="1665"/>
      <c r="AQ134" s="1665"/>
      <c r="AR134" s="1665"/>
      <c r="AS134" s="1665"/>
      <c r="AT134" s="1665"/>
      <c r="AU134" s="1665"/>
      <c r="AV134" s="1665"/>
      <c r="AW134" s="1665"/>
      <c r="AX134" s="1665"/>
      <c r="AY134" s="1665"/>
      <c r="AZ134" s="1665"/>
      <c r="BA134" s="1665"/>
      <c r="BB134" s="1665"/>
      <c r="BC134" s="1719"/>
      <c r="BD134" s="937"/>
      <c r="BE134" s="937"/>
      <c r="BF134" s="1173" t="s">
        <v>1039</v>
      </c>
    </row>
    <row s="1632" customFormat="1" customHeight="1" ht="14.25">
      <c r="A135" s="1443"/>
      <c r="B135" s="927"/>
      <c r="C135" s="1443"/>
      <c r="D135" s="1443"/>
      <c r="E135" s="797">
        <v>15</v>
      </c>
      <c r="F135" s="922" cm="1" t="str">
        <f t="array" ref="F135:F135">F134</f>
        <v>1</v>
      </c>
      <c r="G135" s="965"/>
      <c r="H135" s="965"/>
      <c r="I135" s="965"/>
      <c r="J135" s="965"/>
      <c r="K135" s="965"/>
      <c r="L135" s="965"/>
      <c r="M135" s="965"/>
      <c r="N135" s="965"/>
      <c r="O135" s="965"/>
      <c r="P135" s="965"/>
      <c r="Q135" s="928"/>
      <c r="R135" s="928"/>
      <c r="S135" s="965"/>
      <c r="T135" s="819" cm="1" t="str">
        <f t="array" ref="T135:T135">T134</f>
        <v>true</v>
      </c>
      <c r="U135" s="1443"/>
      <c r="V135" s="1443"/>
      <c r="W135" s="1443"/>
      <c r="X135" s="1443"/>
      <c r="Y135" s="1443"/>
      <c r="Z135" s="1443"/>
      <c r="AA135" s="937"/>
      <c r="AB135" s="489" t="s">
        <v>1040</v>
      </c>
      <c r="AC135" s="491" t="s">
        <v>1041</v>
      </c>
      <c r="AD135" s="489" t="s">
        <v>1023</v>
      </c>
      <c r="AE135" s="1665"/>
      <c r="AF135" s="1665"/>
      <c r="AG135" s="1665"/>
      <c r="AH135" s="1665"/>
      <c r="AI135" s="1665"/>
      <c r="AJ135" s="1665"/>
      <c r="AK135" s="1665"/>
      <c r="AL135" s="1665"/>
      <c r="AM135" s="1665"/>
      <c r="AN135" s="1665"/>
      <c r="AO135" s="1665"/>
      <c r="AP135" s="1665"/>
      <c r="AQ135" s="1665"/>
      <c r="AR135" s="1665"/>
      <c r="AS135" s="1665"/>
      <c r="AT135" s="1665"/>
      <c r="AU135" s="1665"/>
      <c r="AV135" s="1665"/>
      <c r="AW135" s="1665"/>
      <c r="AX135" s="1665"/>
      <c r="AY135" s="1665"/>
      <c r="AZ135" s="1665"/>
      <c r="BA135" s="1665"/>
      <c r="BB135" s="1665"/>
      <c r="BC135" s="1719"/>
      <c r="BD135" s="937"/>
      <c r="BE135" s="937"/>
      <c r="BF135" s="1173" t="s">
        <v>1042</v>
      </c>
    </row>
    <row s="1632" customFormat="1" customHeight="1" ht="14.25">
      <c r="A136" s="1443"/>
      <c r="B136" s="927"/>
      <c r="C136" s="1443"/>
      <c r="D136" s="1443"/>
      <c r="E136" s="797">
        <v>15</v>
      </c>
      <c r="F136" s="922" cm="1" t="str">
        <f t="array" ref="F136:F136">F135</f>
        <v>1</v>
      </c>
      <c r="G136" s="965"/>
      <c r="H136" s="965"/>
      <c r="I136" s="965"/>
      <c r="J136" s="965"/>
      <c r="K136" s="965"/>
      <c r="L136" s="965"/>
      <c r="M136" s="965"/>
      <c r="N136" s="965"/>
      <c r="O136" s="965"/>
      <c r="P136" s="965"/>
      <c r="Q136" s="928"/>
      <c r="R136" s="928"/>
      <c r="S136" s="965"/>
      <c r="T136" s="819" cm="1" t="str">
        <f t="array" ref="T136:T136">T135</f>
        <v>true</v>
      </c>
      <c r="U136" s="1443"/>
      <c r="V136" s="1443"/>
      <c r="W136" s="1443"/>
      <c r="X136" s="1443"/>
      <c r="Y136" s="1443"/>
      <c r="Z136" s="1443"/>
      <c r="AA136" s="937"/>
      <c r="AB136" s="489" t="s">
        <v>1043</v>
      </c>
      <c r="AC136" s="491" t="s">
        <v>1044</v>
      </c>
      <c r="AD136" s="489" t="s">
        <v>1023</v>
      </c>
      <c r="AE136" s="1665"/>
      <c r="AF136" s="1665"/>
      <c r="AG136" s="1665"/>
      <c r="AH136" s="1665"/>
      <c r="AI136" s="1665"/>
      <c r="AJ136" s="1665"/>
      <c r="AK136" s="1665"/>
      <c r="AL136" s="1665"/>
      <c r="AM136" s="1665"/>
      <c r="AN136" s="1665"/>
      <c r="AO136" s="1665"/>
      <c r="AP136" s="1665"/>
      <c r="AQ136" s="1665"/>
      <c r="AR136" s="1665"/>
      <c r="AS136" s="1665"/>
      <c r="AT136" s="1665"/>
      <c r="AU136" s="1665"/>
      <c r="AV136" s="1665"/>
      <c r="AW136" s="1665"/>
      <c r="AX136" s="1665"/>
      <c r="AY136" s="1665"/>
      <c r="AZ136" s="1665"/>
      <c r="BA136" s="1665"/>
      <c r="BB136" s="1665"/>
      <c r="BC136" s="1719"/>
      <c r="BD136" s="937"/>
      <c r="BE136" s="937"/>
      <c r="BF136" s="1173" t="s">
        <v>1045</v>
      </c>
    </row>
    <row s="1632" customFormat="1" customHeight="1" ht="14.25">
      <c r="A137" s="1443"/>
      <c r="B137" s="927"/>
      <c r="C137" s="1443"/>
      <c r="D137" s="1443"/>
      <c r="E137" s="797">
        <v>15</v>
      </c>
      <c r="F137" s="922" cm="1" t="str">
        <f t="array" ref="F137:F137">F136</f>
        <v>1</v>
      </c>
      <c r="G137" s="965"/>
      <c r="H137" s="965"/>
      <c r="I137" s="965"/>
      <c r="J137" s="965"/>
      <c r="K137" s="965"/>
      <c r="L137" s="965"/>
      <c r="M137" s="965"/>
      <c r="N137" s="965"/>
      <c r="O137" s="965"/>
      <c r="P137" s="965"/>
      <c r="Q137" s="928"/>
      <c r="R137" s="928"/>
      <c r="S137" s="965"/>
      <c r="T137" s="819" cm="1" t="str">
        <f t="array" ref="T137:T137">T136</f>
        <v>true</v>
      </c>
      <c r="U137" s="1443"/>
      <c r="V137" s="1443"/>
      <c r="W137" s="1443"/>
      <c r="X137" s="1443"/>
      <c r="Y137" s="1443"/>
      <c r="Z137" s="1443"/>
      <c r="AA137" s="937"/>
      <c r="AB137" s="489" t="s">
        <v>1046</v>
      </c>
      <c r="AC137" s="490" t="s">
        <v>1047</v>
      </c>
      <c r="AD137" s="489" t="s">
        <v>1023</v>
      </c>
      <c r="AE137" s="1665"/>
      <c r="AF137" s="1665"/>
      <c r="AG137" s="1665"/>
      <c r="AH137" s="1665"/>
      <c r="AI137" s="1665"/>
      <c r="AJ137" s="1665"/>
      <c r="AK137" s="1665"/>
      <c r="AL137" s="1665"/>
      <c r="AM137" s="1665"/>
      <c r="AN137" s="1665"/>
      <c r="AO137" s="1665"/>
      <c r="AP137" s="1665"/>
      <c r="AQ137" s="1665"/>
      <c r="AR137" s="1665"/>
      <c r="AS137" s="1665"/>
      <c r="AT137" s="1665"/>
      <c r="AU137" s="1665"/>
      <c r="AV137" s="1665"/>
      <c r="AW137" s="1665"/>
      <c r="AX137" s="1665"/>
      <c r="AY137" s="1665"/>
      <c r="AZ137" s="1665"/>
      <c r="BA137" s="1665"/>
      <c r="BB137" s="1665"/>
      <c r="BC137" s="1719"/>
      <c r="BD137" s="937"/>
      <c r="BE137" s="937"/>
      <c r="BF137" s="1173" t="s">
        <v>1048</v>
      </c>
    </row>
    <row s="1632" customFormat="1" customHeight="1" ht="14.25">
      <c r="A138" s="1443"/>
      <c r="B138" s="927"/>
      <c r="C138" s="1443"/>
      <c r="D138" s="1443"/>
      <c r="E138" s="797">
        <v>15</v>
      </c>
      <c r="F138" s="922" cm="1" t="str">
        <f t="array" ref="F138:F138">F137</f>
        <v>1</v>
      </c>
      <c r="G138" s="965"/>
      <c r="H138" s="965"/>
      <c r="I138" s="965"/>
      <c r="J138" s="965"/>
      <c r="K138" s="965"/>
      <c r="L138" s="965"/>
      <c r="M138" s="965"/>
      <c r="N138" s="965"/>
      <c r="O138" s="965"/>
      <c r="P138" s="965"/>
      <c r="Q138" s="928"/>
      <c r="R138" s="928"/>
      <c r="S138" s="965"/>
      <c r="T138" s="819" cm="1" t="str">
        <f t="array" ref="T138:T138">T137</f>
        <v>true</v>
      </c>
      <c r="U138" s="1443"/>
      <c r="V138" s="1443"/>
      <c r="W138" s="1443"/>
      <c r="X138" s="1443"/>
      <c r="Y138" s="1443"/>
      <c r="Z138" s="1443"/>
      <c r="AA138" s="937"/>
      <c r="AB138" s="489" t="s">
        <v>1049</v>
      </c>
      <c r="AC138" s="490" t="s">
        <v>1050</v>
      </c>
      <c r="AD138" s="489" t="s">
        <v>1023</v>
      </c>
      <c r="AE138" s="1665"/>
      <c r="AF138" s="1665"/>
      <c r="AG138" s="1665"/>
      <c r="AH138" s="1665"/>
      <c r="AI138" s="1665"/>
      <c r="AJ138" s="1665"/>
      <c r="AK138" s="1665"/>
      <c r="AL138" s="1665"/>
      <c r="AM138" s="1665"/>
      <c r="AN138" s="1665"/>
      <c r="AO138" s="1665"/>
      <c r="AP138" s="1665"/>
      <c r="AQ138" s="1665"/>
      <c r="AR138" s="1665"/>
      <c r="AS138" s="1665"/>
      <c r="AT138" s="1665"/>
      <c r="AU138" s="1665"/>
      <c r="AV138" s="1665"/>
      <c r="AW138" s="1665"/>
      <c r="AX138" s="1665"/>
      <c r="AY138" s="1665"/>
      <c r="AZ138" s="1665"/>
      <c r="BA138" s="1665"/>
      <c r="BB138" s="1665"/>
      <c r="BC138" s="1719"/>
      <c r="BD138" s="937"/>
      <c r="BE138" s="937"/>
      <c r="BF138" s="1173" t="s">
        <v>1051</v>
      </c>
    </row>
    <row s="1632" customFormat="1" customHeight="1" ht="14.25">
      <c r="A139" s="1443"/>
      <c r="B139" s="927"/>
      <c r="C139" s="1443"/>
      <c r="D139" s="1443"/>
      <c r="E139" s="797">
        <v>15</v>
      </c>
      <c r="F139" s="922" cm="1" t="str">
        <f t="array" ref="F139:F139">F138</f>
        <v>1</v>
      </c>
      <c r="G139" s="965"/>
      <c r="H139" s="965"/>
      <c r="I139" s="965"/>
      <c r="J139" s="965"/>
      <c r="K139" s="965"/>
      <c r="L139" s="965"/>
      <c r="M139" s="965"/>
      <c r="N139" s="965"/>
      <c r="O139" s="965"/>
      <c r="P139" s="965"/>
      <c r="Q139" s="928"/>
      <c r="R139" s="928"/>
      <c r="S139" s="965"/>
      <c r="T139" s="819" cm="1" t="str">
        <f t="array" ref="T139:T139">T138</f>
        <v>true</v>
      </c>
      <c r="U139" s="1443"/>
      <c r="V139" s="1443"/>
      <c r="W139" s="1443"/>
      <c r="X139" s="1443"/>
      <c r="Y139" s="1443"/>
      <c r="Z139" s="1443"/>
      <c r="AA139" s="937"/>
      <c r="AB139" s="489" t="s">
        <v>1052</v>
      </c>
      <c r="AC139" s="490" t="s">
        <v>1053</v>
      </c>
      <c r="AD139" s="489" t="s">
        <v>1023</v>
      </c>
      <c r="AE139" s="1665"/>
      <c r="AF139" s="1665"/>
      <c r="AG139" s="1665"/>
      <c r="AH139" s="1665"/>
      <c r="AI139" s="1665"/>
      <c r="AJ139" s="1665"/>
      <c r="AK139" s="1665"/>
      <c r="AL139" s="1665"/>
      <c r="AM139" s="1665"/>
      <c r="AN139" s="1665"/>
      <c r="AO139" s="1665"/>
      <c r="AP139" s="1665"/>
      <c r="AQ139" s="1665"/>
      <c r="AR139" s="1665"/>
      <c r="AS139" s="1665"/>
      <c r="AT139" s="1665"/>
      <c r="AU139" s="1665"/>
      <c r="AV139" s="1665"/>
      <c r="AW139" s="1665"/>
      <c r="AX139" s="1665"/>
      <c r="AY139" s="1665"/>
      <c r="AZ139" s="1665"/>
      <c r="BA139" s="1665"/>
      <c r="BB139" s="1665"/>
      <c r="BC139" s="1719"/>
      <c r="BD139" s="937"/>
      <c r="BE139" s="937"/>
      <c r="BF139" s="1173" t="s">
        <v>1054</v>
      </c>
    </row>
    <row s="1632" customFormat="1" customHeight="1" ht="14.25">
      <c r="A140" s="1443"/>
      <c r="B140" s="927"/>
      <c r="C140" s="1443"/>
      <c r="D140" s="1443"/>
      <c r="E140" s="797">
        <v>15</v>
      </c>
      <c r="F140" s="922" cm="1" t="str">
        <f t="array" ref="F140:F140">F139</f>
        <v>1</v>
      </c>
      <c r="G140" s="965"/>
      <c r="H140" s="965"/>
      <c r="I140" s="965"/>
      <c r="J140" s="965"/>
      <c r="K140" s="965"/>
      <c r="L140" s="965"/>
      <c r="M140" s="965"/>
      <c r="N140" s="965"/>
      <c r="O140" s="965"/>
      <c r="P140" s="965"/>
      <c r="Q140" s="928"/>
      <c r="R140" s="928"/>
      <c r="S140" s="965"/>
      <c r="T140" s="819" cm="1" t="str">
        <f t="array" ref="T140:T140">T139</f>
        <v>true</v>
      </c>
      <c r="U140" s="1443"/>
      <c r="V140" s="1443"/>
      <c r="W140" s="1443"/>
      <c r="X140" s="1443"/>
      <c r="Y140" s="1443"/>
      <c r="Z140" s="1443"/>
      <c r="AA140" s="937"/>
      <c r="AB140" s="489" t="s">
        <v>1055</v>
      </c>
      <c r="AC140" s="490" t="s">
        <v>1056</v>
      </c>
      <c r="AD140" s="489" t="s">
        <v>1023</v>
      </c>
      <c r="AE140" s="1665"/>
      <c r="AF140" s="1665"/>
      <c r="AG140" s="1665"/>
      <c r="AH140" s="1665"/>
      <c r="AI140" s="1665"/>
      <c r="AJ140" s="1665"/>
      <c r="AK140" s="1665"/>
      <c r="AL140" s="1665"/>
      <c r="AM140" s="1665"/>
      <c r="AN140" s="1665"/>
      <c r="AO140" s="1665"/>
      <c r="AP140" s="1665"/>
      <c r="AQ140" s="1665"/>
      <c r="AR140" s="1665"/>
      <c r="AS140" s="1665"/>
      <c r="AT140" s="1665"/>
      <c r="AU140" s="1665"/>
      <c r="AV140" s="1665"/>
      <c r="AW140" s="1665"/>
      <c r="AX140" s="1665"/>
      <c r="AY140" s="1665"/>
      <c r="AZ140" s="1665"/>
      <c r="BA140" s="1665"/>
      <c r="BB140" s="1665"/>
      <c r="BC140" s="1719"/>
      <c r="BD140" s="937"/>
      <c r="BE140" s="937"/>
      <c r="BF140" s="1173" t="s">
        <v>1057</v>
      </c>
    </row>
    <row s="217" customFormat="1" customHeight="1" ht="44.25">
      <c r="A141" s="217"/>
      <c r="B141" s="217"/>
      <c r="C141" s="217"/>
      <c r="D141" s="217"/>
      <c r="E141" s="797">
        <v>45.6</v>
      </c>
      <c r="F141" s="922" cm="1" t="str">
        <f t="array" ref="F141:F141">F140</f>
        <v>1</v>
      </c>
      <c r="G141" s="217"/>
      <c r="H141" s="217"/>
      <c r="I141" s="217"/>
      <c r="J141" s="217"/>
      <c r="K141" s="217"/>
      <c r="L141" s="217"/>
      <c r="M141" s="217"/>
      <c r="N141" s="217"/>
      <c r="O141" s="217"/>
      <c r="P141" s="217"/>
      <c r="Q141" s="217"/>
      <c r="R141" s="217"/>
      <c r="S141" s="217"/>
      <c r="T141" s="819" cm="1" t="str">
        <f t="array" ref="T141:T141">T140</f>
        <v>true</v>
      </c>
      <c r="U141" s="217"/>
      <c r="V141" s="217"/>
      <c r="W141" s="217"/>
      <c r="X141" s="217"/>
      <c r="Y141" s="217"/>
      <c r="Z141" s="217"/>
      <c r="AA141" s="217"/>
      <c r="AB141" s="280">
        <v>2</v>
      </c>
      <c r="AC141" s="281" t="s">
        <v>1058</v>
      </c>
      <c r="AD141" s="156" t="s">
        <v>810</v>
      </c>
      <c r="AE141" s="1880">
        <f>SUM(AE142:AE145)+SUM(AE151:AE154)</f>
        <v>0</v>
      </c>
      <c r="AF141" s="1880">
        <f>SUM(AF142:AF145)+SUM(AF151:AF154)</f>
        <v>0</v>
      </c>
      <c r="AG141" s="1880">
        <f>SUM(AG142:AG145)+SUM(AG151:AG154)</f>
        <v>0</v>
      </c>
      <c r="AH141" s="1880">
        <f>SUM(AH142:AH145)+SUM(AH151:AH154)</f>
        <v>0</v>
      </c>
      <c r="AI141" s="1880">
        <f>SUM(AI142:AI145)+SUM(AI151:AI154)</f>
        <v>0</v>
      </c>
      <c r="AJ141" s="1880">
        <f>SUM(AJ142:AJ145)+SUM(AJ151:AJ154)</f>
        <v>0</v>
      </c>
      <c r="AK141" s="1880">
        <f>SUM(AK142:AK145)+SUM(AK151:AK154)</f>
        <v>0</v>
      </c>
      <c r="AL141" s="1880">
        <f>SUM(AL142:AL145)+SUM(AL151:AL154)</f>
        <v>0</v>
      </c>
      <c r="AM141" s="1880">
        <f>SUM(AM142:AM145)+SUM(AM151:AM154)</f>
        <v>0</v>
      </c>
      <c r="AN141" s="1880">
        <f>SUM(AN142:AN145)+SUM(AN151:AN154)</f>
        <v>0</v>
      </c>
      <c r="AO141" s="1880">
        <f>SUM(AO142:AO145)+SUM(AO151:AO154)</f>
        <v>0</v>
      </c>
      <c r="AP141" s="1880">
        <f>SUM(AP142:AP145)+SUM(AP151:AP154)</f>
        <v>0</v>
      </c>
      <c r="AQ141" s="1880">
        <f>SUM(AQ142:AQ145)+SUM(AQ151:AQ154)</f>
        <v>0</v>
      </c>
      <c r="AR141" s="1880">
        <f>SUM(AR142:AR145)+SUM(AR151:AR154)</f>
        <v>0</v>
      </c>
      <c r="AS141" s="1880">
        <f>SUM(AS142:AS145)+SUM(AS151:AS154)</f>
        <v>0</v>
      </c>
      <c r="AT141" s="1880">
        <f>SUM(AT142:AT145)+SUM(AT151:AT154)</f>
        <v>0</v>
      </c>
      <c r="AU141" s="1880">
        <f>SUM(AU142:AU145)+SUM(AU151:AU154)</f>
        <v>0</v>
      </c>
      <c r="AV141" s="1880">
        <f>SUM(AV142:AV145)+SUM(AV151:AV154)</f>
        <v>0</v>
      </c>
      <c r="AW141" s="1880">
        <f>SUM(AW142:AW145)+SUM(AW151:AW154)</f>
        <v>0</v>
      </c>
      <c r="AX141" s="1880">
        <f>SUM(AX142:AX145)+SUM(AX151:AX154)</f>
        <v>0</v>
      </c>
      <c r="AY141" s="1880">
        <f>SUM(AY142:AY145)+SUM(AY151:AY154)</f>
        <v>0</v>
      </c>
      <c r="AZ141" s="1880">
        <f>SUM(AZ142:AZ145)+SUM(AZ151:AZ154)</f>
        <v>0</v>
      </c>
      <c r="BA141" s="1880">
        <f>SUM(BA142:BA145)+SUM(BA151:BA154)</f>
        <v>0</v>
      </c>
      <c r="BB141" s="1880">
        <f>SUM(BB142:BB145)+SUM(BB151:BB154)</f>
        <v>0</v>
      </c>
      <c r="BC141" s="1719"/>
      <c r="BD141" s="217"/>
      <c r="BE141" s="217"/>
      <c r="BF141" s="1173" t="s">
        <v>1059</v>
      </c>
    </row>
    <row s="1632" customFormat="1" customHeight="1" ht="14.25">
      <c r="A142" s="1443"/>
      <c r="B142" s="927"/>
      <c r="C142" s="1443"/>
      <c r="D142" s="1443"/>
      <c r="E142" s="797">
        <v>15</v>
      </c>
      <c r="F142" s="922" cm="1" t="str">
        <f t="array" ref="F142:F142">F141</f>
        <v>1</v>
      </c>
      <c r="G142" s="965"/>
      <c r="H142" s="965"/>
      <c r="I142" s="965"/>
      <c r="J142" s="965"/>
      <c r="K142" s="965"/>
      <c r="L142" s="965"/>
      <c r="M142" s="965"/>
      <c r="N142" s="965"/>
      <c r="O142" s="965"/>
      <c r="P142" s="965"/>
      <c r="Q142" s="928"/>
      <c r="R142" s="928"/>
      <c r="S142" s="965"/>
      <c r="T142" s="819" cm="1" t="str">
        <f t="array" ref="T142:T142">T141</f>
        <v>true</v>
      </c>
      <c r="U142" s="1443"/>
      <c r="V142" s="1443"/>
      <c r="W142" s="1443"/>
      <c r="X142" s="1443"/>
      <c r="Y142" s="1443"/>
      <c r="Z142" s="1443"/>
      <c r="AA142" s="937"/>
      <c r="AB142" s="489" t="str">
        <f>AB141&amp;".1"</f>
        <v>2.1</v>
      </c>
      <c r="AC142" s="490" t="s">
        <v>1022</v>
      </c>
      <c r="AD142" s="489" t="s">
        <v>1023</v>
      </c>
      <c r="AE142" s="1665"/>
      <c r="AF142" s="1665"/>
      <c r="AG142" s="1665"/>
      <c r="AH142" s="1665"/>
      <c r="AI142" s="1665"/>
      <c r="AJ142" s="1665"/>
      <c r="AK142" s="1665"/>
      <c r="AL142" s="1665"/>
      <c r="AM142" s="1665"/>
      <c r="AN142" s="1665"/>
      <c r="AO142" s="1665"/>
      <c r="AP142" s="1665"/>
      <c r="AQ142" s="1665"/>
      <c r="AR142" s="1665"/>
      <c r="AS142" s="1665"/>
      <c r="AT142" s="1665"/>
      <c r="AU142" s="1665"/>
      <c r="AV142" s="1665"/>
      <c r="AW142" s="1665"/>
      <c r="AX142" s="1665"/>
      <c r="AY142" s="1665"/>
      <c r="AZ142" s="1665"/>
      <c r="BA142" s="1665"/>
      <c r="BB142" s="1665"/>
      <c r="BC142" s="1719"/>
      <c r="BD142" s="937"/>
      <c r="BE142" s="937"/>
      <c r="BF142" s="1173" t="s">
        <v>1060</v>
      </c>
    </row>
    <row s="1632" customFormat="1" customHeight="1" ht="14.25">
      <c r="A143" s="1443"/>
      <c r="B143" s="927"/>
      <c r="C143" s="1443"/>
      <c r="D143" s="1443"/>
      <c r="E143" s="797">
        <v>15</v>
      </c>
      <c r="F143" s="922" cm="1" t="str">
        <f t="array" ref="F143:F143">F142</f>
        <v>1</v>
      </c>
      <c r="G143" s="965"/>
      <c r="H143" s="965"/>
      <c r="I143" s="965"/>
      <c r="J143" s="965"/>
      <c r="K143" s="965"/>
      <c r="L143" s="965"/>
      <c r="M143" s="965"/>
      <c r="N143" s="965"/>
      <c r="O143" s="965"/>
      <c r="P143" s="965"/>
      <c r="Q143" s="928"/>
      <c r="R143" s="928"/>
      <c r="S143" s="965"/>
      <c r="T143" s="819" cm="1" t="str">
        <f t="array" ref="T143:T143">T142</f>
        <v>true</v>
      </c>
      <c r="U143" s="1443"/>
      <c r="V143" s="1443"/>
      <c r="W143" s="1443"/>
      <c r="X143" s="1443"/>
      <c r="Y143" s="1443"/>
      <c r="Z143" s="1443"/>
      <c r="AA143" s="937"/>
      <c r="AB143" s="489" t="str">
        <f>AB141&amp;".2"</f>
        <v>2.2</v>
      </c>
      <c r="AC143" s="490" t="s">
        <v>1025</v>
      </c>
      <c r="AD143" s="489" t="s">
        <v>1023</v>
      </c>
      <c r="AE143" s="1665"/>
      <c r="AF143" s="1665"/>
      <c r="AG143" s="1665"/>
      <c r="AH143" s="1665"/>
      <c r="AI143" s="1665"/>
      <c r="AJ143" s="1665"/>
      <c r="AK143" s="1665"/>
      <c r="AL143" s="1665"/>
      <c r="AM143" s="1665"/>
      <c r="AN143" s="1665"/>
      <c r="AO143" s="1665"/>
      <c r="AP143" s="1665"/>
      <c r="AQ143" s="1665"/>
      <c r="AR143" s="1665"/>
      <c r="AS143" s="1665"/>
      <c r="AT143" s="1665"/>
      <c r="AU143" s="1665"/>
      <c r="AV143" s="1665"/>
      <c r="AW143" s="1665"/>
      <c r="AX143" s="1665"/>
      <c r="AY143" s="1665"/>
      <c r="AZ143" s="1665"/>
      <c r="BA143" s="1665"/>
      <c r="BB143" s="1665"/>
      <c r="BC143" s="1719"/>
      <c r="BD143" s="937"/>
      <c r="BE143" s="937"/>
      <c r="BF143" s="1173" t="s">
        <v>1061</v>
      </c>
    </row>
    <row s="1632" customFormat="1" customHeight="1" ht="14.25">
      <c r="A144" s="1443"/>
      <c r="B144" s="927"/>
      <c r="C144" s="1443"/>
      <c r="D144" s="1443"/>
      <c r="E144" s="797">
        <v>15</v>
      </c>
      <c r="F144" s="922" cm="1" t="str">
        <f t="array" ref="F144:F144">F143</f>
        <v>1</v>
      </c>
      <c r="G144" s="965"/>
      <c r="H144" s="965"/>
      <c r="I144" s="965"/>
      <c r="J144" s="965"/>
      <c r="K144" s="965"/>
      <c r="L144" s="965"/>
      <c r="M144" s="965"/>
      <c r="N144" s="965"/>
      <c r="O144" s="965"/>
      <c r="P144" s="965"/>
      <c r="Q144" s="928"/>
      <c r="R144" s="928"/>
      <c r="S144" s="965"/>
      <c r="T144" s="819" cm="1" t="str">
        <f t="array" ref="T144:T144">T143</f>
        <v>true</v>
      </c>
      <c r="U144" s="1443"/>
      <c r="V144" s="1443"/>
      <c r="W144" s="1443"/>
      <c r="X144" s="1443"/>
      <c r="Y144" s="1443"/>
      <c r="Z144" s="1443"/>
      <c r="AA144" s="937"/>
      <c r="AB144" s="489" t="str">
        <f>AB141&amp;".3"</f>
        <v>2.3</v>
      </c>
      <c r="AC144" s="490" t="s">
        <v>1027</v>
      </c>
      <c r="AD144" s="489" t="s">
        <v>1023</v>
      </c>
      <c r="AE144" s="1665"/>
      <c r="AF144" s="1665"/>
      <c r="AG144" s="1665"/>
      <c r="AH144" s="1665"/>
      <c r="AI144" s="1665"/>
      <c r="AJ144" s="1665"/>
      <c r="AK144" s="1665"/>
      <c r="AL144" s="1665"/>
      <c r="AM144" s="1665"/>
      <c r="AN144" s="1665"/>
      <c r="AO144" s="1665"/>
      <c r="AP144" s="1665"/>
      <c r="AQ144" s="1665"/>
      <c r="AR144" s="1665"/>
      <c r="AS144" s="1665"/>
      <c r="AT144" s="1665"/>
      <c r="AU144" s="1665"/>
      <c r="AV144" s="1665"/>
      <c r="AW144" s="1665"/>
      <c r="AX144" s="1665"/>
      <c r="AY144" s="1665"/>
      <c r="AZ144" s="1665"/>
      <c r="BA144" s="1665"/>
      <c r="BB144" s="1665"/>
      <c r="BC144" s="1719"/>
      <c r="BD144" s="937"/>
      <c r="BE144" s="937"/>
      <c r="BF144" s="1173" t="s">
        <v>1062</v>
      </c>
    </row>
    <row s="1632" customFormat="1" customHeight="1" ht="14.25">
      <c r="A145" s="1443"/>
      <c r="B145" s="927"/>
      <c r="C145" s="1443"/>
      <c r="D145" s="1443"/>
      <c r="E145" s="797">
        <v>15</v>
      </c>
      <c r="F145" s="922" cm="1" t="str">
        <f t="array" ref="F145:F145">F144</f>
        <v>1</v>
      </c>
      <c r="G145" s="965"/>
      <c r="H145" s="965"/>
      <c r="I145" s="965"/>
      <c r="J145" s="965"/>
      <c r="K145" s="965"/>
      <c r="L145" s="965"/>
      <c r="M145" s="965"/>
      <c r="N145" s="965"/>
      <c r="O145" s="965"/>
      <c r="P145" s="965"/>
      <c r="Q145" s="928"/>
      <c r="R145" s="928"/>
      <c r="S145" s="965"/>
      <c r="T145" s="819" cm="1" t="str">
        <f t="array" ref="T145:T145">T144</f>
        <v>true</v>
      </c>
      <c r="U145" s="1443"/>
      <c r="V145" s="1443"/>
      <c r="W145" s="1443"/>
      <c r="X145" s="1443"/>
      <c r="Y145" s="1443"/>
      <c r="Z145" s="1443"/>
      <c r="AA145" s="937"/>
      <c r="AB145" s="489" t="str">
        <f>AB141&amp;".4"</f>
        <v>2.4</v>
      </c>
      <c r="AC145" s="490" t="s">
        <v>1029</v>
      </c>
      <c r="AD145" s="489" t="s">
        <v>1023</v>
      </c>
      <c r="AE145" s="1731">
        <f>SUM(AE146:AE150)</f>
        <v>0</v>
      </c>
      <c r="AF145" s="1731">
        <f>SUM(AF146:AF150)</f>
        <v>0</v>
      </c>
      <c r="AG145" s="1731">
        <f>SUM(AG146:AG150)</f>
        <v>0</v>
      </c>
      <c r="AH145" s="1731">
        <f>SUM(AH146:AH150)</f>
        <v>0</v>
      </c>
      <c r="AI145" s="1731">
        <f>SUM(AI146:AI150)</f>
        <v>0</v>
      </c>
      <c r="AJ145" s="1731">
        <f>SUM(AJ146:AJ150)</f>
        <v>0</v>
      </c>
      <c r="AK145" s="1731">
        <f>SUM(AK146:AK150)</f>
        <v>0</v>
      </c>
      <c r="AL145" s="1731">
        <f>SUM(AL146:AL150)</f>
        <v>0</v>
      </c>
      <c r="AM145" s="1731">
        <f>SUM(AM146:AM150)</f>
        <v>0</v>
      </c>
      <c r="AN145" s="1731">
        <f>SUM(AN146:AN150)</f>
        <v>0</v>
      </c>
      <c r="AO145" s="1731">
        <f>SUM(AO146:AO150)</f>
        <v>0</v>
      </c>
      <c r="AP145" s="1731">
        <f>SUM(AP146:AP150)</f>
        <v>0</v>
      </c>
      <c r="AQ145" s="1731">
        <f>SUM(AQ146:AQ150)</f>
        <v>0</v>
      </c>
      <c r="AR145" s="1731">
        <f>SUM(AR146:AR150)</f>
        <v>0</v>
      </c>
      <c r="AS145" s="1731">
        <f>SUM(AS146:AS150)</f>
        <v>0</v>
      </c>
      <c r="AT145" s="1731">
        <f>SUM(AT146:AT150)</f>
        <v>0</v>
      </c>
      <c r="AU145" s="1731">
        <f>SUM(AU146:AU150)</f>
        <v>0</v>
      </c>
      <c r="AV145" s="1731">
        <f>SUM(AV146:AV150)</f>
        <v>0</v>
      </c>
      <c r="AW145" s="1731">
        <f>SUM(AW146:AW150)</f>
        <v>0</v>
      </c>
      <c r="AX145" s="1731">
        <f>SUM(AX146:AX150)</f>
        <v>0</v>
      </c>
      <c r="AY145" s="1731">
        <f>SUM(AY146:AY150)</f>
        <v>0</v>
      </c>
      <c r="AZ145" s="1731">
        <f>SUM(AZ146:AZ150)</f>
        <v>0</v>
      </c>
      <c r="BA145" s="1731">
        <f>SUM(BA146:BA150)</f>
        <v>0</v>
      </c>
      <c r="BB145" s="1731">
        <f>SUM(BB146:BB150)</f>
        <v>0</v>
      </c>
      <c r="BC145" s="1719"/>
      <c r="BD145" s="937"/>
      <c r="BE145" s="937"/>
      <c r="BF145" s="1173" t="s">
        <v>1063</v>
      </c>
    </row>
    <row s="1632" customFormat="1" customHeight="1" ht="14.25">
      <c r="A146" s="1443"/>
      <c r="B146" s="927"/>
      <c r="C146" s="1443"/>
      <c r="D146" s="1443"/>
      <c r="E146" s="797">
        <v>15</v>
      </c>
      <c r="F146" s="922" cm="1" t="str">
        <f t="array" ref="F146:F146">F145</f>
        <v>1</v>
      </c>
      <c r="G146" s="965"/>
      <c r="H146" s="965"/>
      <c r="I146" s="965"/>
      <c r="J146" s="965"/>
      <c r="K146" s="965"/>
      <c r="L146" s="965"/>
      <c r="M146" s="965"/>
      <c r="N146" s="965"/>
      <c r="O146" s="965"/>
      <c r="P146" s="965"/>
      <c r="Q146" s="928"/>
      <c r="R146" s="928"/>
      <c r="S146" s="965"/>
      <c r="T146" s="819" cm="1" t="str">
        <f t="array" ref="T146:T146">T145</f>
        <v>true</v>
      </c>
      <c r="U146" s="1443"/>
      <c r="V146" s="1443"/>
      <c r="W146" s="1443"/>
      <c r="X146" s="1443"/>
      <c r="Y146" s="1443"/>
      <c r="Z146" s="1443"/>
      <c r="AA146" s="937"/>
      <c r="AB146" s="489" t="str">
        <f>AB145&amp;".1"</f>
        <v>2.4.1</v>
      </c>
      <c r="AC146" s="491" t="s">
        <v>1032</v>
      </c>
      <c r="AD146" s="489" t="s">
        <v>1023</v>
      </c>
      <c r="AE146" s="1665"/>
      <c r="AF146" s="1665"/>
      <c r="AG146" s="1665"/>
      <c r="AH146" s="1665"/>
      <c r="AI146" s="1665"/>
      <c r="AJ146" s="1665"/>
      <c r="AK146" s="1665"/>
      <c r="AL146" s="1665"/>
      <c r="AM146" s="1665"/>
      <c r="AN146" s="1665"/>
      <c r="AO146" s="1665"/>
      <c r="AP146" s="1665"/>
      <c r="AQ146" s="1665"/>
      <c r="AR146" s="1665"/>
      <c r="AS146" s="1665"/>
      <c r="AT146" s="1665"/>
      <c r="AU146" s="1665"/>
      <c r="AV146" s="1665"/>
      <c r="AW146" s="1665"/>
      <c r="AX146" s="1665"/>
      <c r="AY146" s="1665"/>
      <c r="AZ146" s="1665"/>
      <c r="BA146" s="1665"/>
      <c r="BB146" s="1665"/>
      <c r="BC146" s="1719"/>
      <c r="BD146" s="937"/>
      <c r="BE146" s="937"/>
      <c r="BF146" s="1173" t="s">
        <v>1064</v>
      </c>
    </row>
    <row s="1632" customFormat="1" customHeight="1" ht="14.25">
      <c r="A147" s="1443"/>
      <c r="B147" s="927"/>
      <c r="C147" s="1443"/>
      <c r="D147" s="1443"/>
      <c r="E147" s="797">
        <v>15</v>
      </c>
      <c r="F147" s="922" cm="1" t="str">
        <f t="array" ref="F147:F147">F146</f>
        <v>1</v>
      </c>
      <c r="G147" s="965"/>
      <c r="H147" s="965"/>
      <c r="I147" s="965"/>
      <c r="J147" s="965"/>
      <c r="K147" s="965"/>
      <c r="L147" s="965"/>
      <c r="M147" s="965"/>
      <c r="N147" s="965"/>
      <c r="O147" s="965"/>
      <c r="P147" s="965"/>
      <c r="Q147" s="928"/>
      <c r="R147" s="928"/>
      <c r="S147" s="965"/>
      <c r="T147" s="819" cm="1" t="str">
        <f t="array" ref="T147:T147">T146</f>
        <v>true</v>
      </c>
      <c r="U147" s="1443"/>
      <c r="V147" s="1443"/>
      <c r="W147" s="1443"/>
      <c r="X147" s="1443"/>
      <c r="Y147" s="1443"/>
      <c r="Z147" s="1443"/>
      <c r="AA147" s="937"/>
      <c r="AB147" s="489" t="str">
        <f>AB145&amp;".2"</f>
        <v>2.4.2</v>
      </c>
      <c r="AC147" s="491" t="s">
        <v>1035</v>
      </c>
      <c r="AD147" s="489" t="s">
        <v>1023</v>
      </c>
      <c r="AE147" s="1665"/>
      <c r="AF147" s="1665"/>
      <c r="AG147" s="1665"/>
      <c r="AH147" s="1665"/>
      <c r="AI147" s="1665"/>
      <c r="AJ147" s="1665"/>
      <c r="AK147" s="1665"/>
      <c r="AL147" s="1665"/>
      <c r="AM147" s="1665"/>
      <c r="AN147" s="1665"/>
      <c r="AO147" s="1665"/>
      <c r="AP147" s="1665"/>
      <c r="AQ147" s="1665"/>
      <c r="AR147" s="1665"/>
      <c r="AS147" s="1665"/>
      <c r="AT147" s="1665"/>
      <c r="AU147" s="1665"/>
      <c r="AV147" s="1665"/>
      <c r="AW147" s="1665"/>
      <c r="AX147" s="1665"/>
      <c r="AY147" s="1665"/>
      <c r="AZ147" s="1665"/>
      <c r="BA147" s="1665"/>
      <c r="BB147" s="1665"/>
      <c r="BC147" s="1719"/>
      <c r="BD147" s="937"/>
      <c r="BE147" s="937"/>
      <c r="BF147" s="1173" t="s">
        <v>1065</v>
      </c>
    </row>
    <row s="1632" customFormat="1" customHeight="1" ht="14.25">
      <c r="A148" s="1443"/>
      <c r="B148" s="927"/>
      <c r="C148" s="1443"/>
      <c r="D148" s="1443"/>
      <c r="E148" s="797">
        <v>15</v>
      </c>
      <c r="F148" s="922" cm="1" t="str">
        <f t="array" ref="F148:F148">F147</f>
        <v>1</v>
      </c>
      <c r="G148" s="965"/>
      <c r="H148" s="965"/>
      <c r="I148" s="965"/>
      <c r="J148" s="965"/>
      <c r="K148" s="965"/>
      <c r="L148" s="965"/>
      <c r="M148" s="965"/>
      <c r="N148" s="965"/>
      <c r="O148" s="965"/>
      <c r="P148" s="965"/>
      <c r="Q148" s="928"/>
      <c r="R148" s="928"/>
      <c r="S148" s="965"/>
      <c r="T148" s="819" cm="1" t="str">
        <f t="array" ref="T148:T148">T147</f>
        <v>true</v>
      </c>
      <c r="U148" s="1443"/>
      <c r="V148" s="1443"/>
      <c r="W148" s="1443"/>
      <c r="X148" s="1443"/>
      <c r="Y148" s="1443"/>
      <c r="Z148" s="1443"/>
      <c r="AA148" s="937"/>
      <c r="AB148" s="489" t="str">
        <f>AB145&amp;".3"</f>
        <v>2.4.3</v>
      </c>
      <c r="AC148" s="491" t="s">
        <v>1038</v>
      </c>
      <c r="AD148" s="489" t="s">
        <v>1023</v>
      </c>
      <c r="AE148" s="1665"/>
      <c r="AF148" s="1665"/>
      <c r="AG148" s="1665"/>
      <c r="AH148" s="1665"/>
      <c r="AI148" s="1665"/>
      <c r="AJ148" s="1665"/>
      <c r="AK148" s="1665"/>
      <c r="AL148" s="1665"/>
      <c r="AM148" s="1665"/>
      <c r="AN148" s="1665"/>
      <c r="AO148" s="1665"/>
      <c r="AP148" s="1665"/>
      <c r="AQ148" s="1665"/>
      <c r="AR148" s="1665"/>
      <c r="AS148" s="1665"/>
      <c r="AT148" s="1665"/>
      <c r="AU148" s="1665"/>
      <c r="AV148" s="1665"/>
      <c r="AW148" s="1665"/>
      <c r="AX148" s="1665"/>
      <c r="AY148" s="1665"/>
      <c r="AZ148" s="1665"/>
      <c r="BA148" s="1665"/>
      <c r="BB148" s="1665"/>
      <c r="BC148" s="1719"/>
      <c r="BD148" s="937"/>
      <c r="BE148" s="937"/>
      <c r="BF148" s="1173" t="s">
        <v>1066</v>
      </c>
    </row>
    <row s="1632" customFormat="1" customHeight="1" ht="14.25">
      <c r="A149" s="1443"/>
      <c r="B149" s="927"/>
      <c r="C149" s="1443"/>
      <c r="D149" s="1443"/>
      <c r="E149" s="797">
        <v>15</v>
      </c>
      <c r="F149" s="922" cm="1" t="str">
        <f t="array" ref="F149:F149">F148</f>
        <v>1</v>
      </c>
      <c r="G149" s="965"/>
      <c r="H149" s="965"/>
      <c r="I149" s="965"/>
      <c r="J149" s="965"/>
      <c r="K149" s="965"/>
      <c r="L149" s="965"/>
      <c r="M149" s="965"/>
      <c r="N149" s="965"/>
      <c r="O149" s="965"/>
      <c r="P149" s="965"/>
      <c r="Q149" s="928"/>
      <c r="R149" s="928"/>
      <c r="S149" s="965"/>
      <c r="T149" s="819" cm="1" t="str">
        <f t="array" ref="T149:T149">T148</f>
        <v>true</v>
      </c>
      <c r="U149" s="1443"/>
      <c r="V149" s="1443"/>
      <c r="W149" s="1443"/>
      <c r="X149" s="1443"/>
      <c r="Y149" s="1443"/>
      <c r="Z149" s="1443"/>
      <c r="AA149" s="937"/>
      <c r="AB149" s="489" t="str">
        <f>AB145&amp;".4"</f>
        <v>2.4.4</v>
      </c>
      <c r="AC149" s="491" t="s">
        <v>1041</v>
      </c>
      <c r="AD149" s="489" t="s">
        <v>1023</v>
      </c>
      <c r="AE149" s="1665"/>
      <c r="AF149" s="1665"/>
      <c r="AG149" s="1665"/>
      <c r="AH149" s="1665"/>
      <c r="AI149" s="1665"/>
      <c r="AJ149" s="1665"/>
      <c r="AK149" s="1665"/>
      <c r="AL149" s="1665"/>
      <c r="AM149" s="1665"/>
      <c r="AN149" s="1665"/>
      <c r="AO149" s="1665"/>
      <c r="AP149" s="1665"/>
      <c r="AQ149" s="1665"/>
      <c r="AR149" s="1665"/>
      <c r="AS149" s="1665"/>
      <c r="AT149" s="1665"/>
      <c r="AU149" s="1665"/>
      <c r="AV149" s="1665"/>
      <c r="AW149" s="1665"/>
      <c r="AX149" s="1665"/>
      <c r="AY149" s="1665"/>
      <c r="AZ149" s="1665"/>
      <c r="BA149" s="1665"/>
      <c r="BB149" s="1665"/>
      <c r="BC149" s="1719"/>
      <c r="BD149" s="937"/>
      <c r="BE149" s="937"/>
      <c r="BF149" s="1173" t="s">
        <v>1067</v>
      </c>
    </row>
    <row s="1632" customFormat="1" customHeight="1" ht="14.25">
      <c r="A150" s="1443"/>
      <c r="B150" s="927"/>
      <c r="C150" s="1443"/>
      <c r="D150" s="1443"/>
      <c r="E150" s="797">
        <v>15</v>
      </c>
      <c r="F150" s="922" cm="1" t="str">
        <f t="array" ref="F150:F150">F149</f>
        <v>1</v>
      </c>
      <c r="G150" s="965"/>
      <c r="H150" s="965"/>
      <c r="I150" s="965"/>
      <c r="J150" s="965"/>
      <c r="K150" s="965"/>
      <c r="L150" s="965"/>
      <c r="M150" s="965"/>
      <c r="N150" s="965"/>
      <c r="O150" s="965"/>
      <c r="P150" s="965"/>
      <c r="Q150" s="928"/>
      <c r="R150" s="928"/>
      <c r="S150" s="965"/>
      <c r="T150" s="819" cm="1" t="str">
        <f t="array" ref="T150:T150">T149</f>
        <v>true</v>
      </c>
      <c r="U150" s="1443"/>
      <c r="V150" s="1443"/>
      <c r="W150" s="1443"/>
      <c r="X150" s="1443"/>
      <c r="Y150" s="1443"/>
      <c r="Z150" s="1443"/>
      <c r="AA150" s="937"/>
      <c r="AB150" s="489" t="str">
        <f>AB145&amp;".5"</f>
        <v>2.4.5</v>
      </c>
      <c r="AC150" s="491" t="s">
        <v>1044</v>
      </c>
      <c r="AD150" s="489" t="s">
        <v>1023</v>
      </c>
      <c r="AE150" s="1665"/>
      <c r="AF150" s="1665"/>
      <c r="AG150" s="1665"/>
      <c r="AH150" s="1665"/>
      <c r="AI150" s="1665"/>
      <c r="AJ150" s="1665"/>
      <c r="AK150" s="1665"/>
      <c r="AL150" s="1665"/>
      <c r="AM150" s="1665"/>
      <c r="AN150" s="1665"/>
      <c r="AO150" s="1665"/>
      <c r="AP150" s="1665"/>
      <c r="AQ150" s="1665"/>
      <c r="AR150" s="1665"/>
      <c r="AS150" s="1665"/>
      <c r="AT150" s="1665"/>
      <c r="AU150" s="1665"/>
      <c r="AV150" s="1665"/>
      <c r="AW150" s="1665"/>
      <c r="AX150" s="1665"/>
      <c r="AY150" s="1665"/>
      <c r="AZ150" s="1665"/>
      <c r="BA150" s="1665"/>
      <c r="BB150" s="1665"/>
      <c r="BC150" s="1719"/>
      <c r="BD150" s="937"/>
      <c r="BE150" s="937"/>
      <c r="BF150" s="1173" t="s">
        <v>1068</v>
      </c>
    </row>
    <row s="1632" customFormat="1" customHeight="1" ht="14.25">
      <c r="A151" s="1443"/>
      <c r="B151" s="927"/>
      <c r="C151" s="1443"/>
      <c r="D151" s="1443"/>
      <c r="E151" s="797">
        <v>15</v>
      </c>
      <c r="F151" s="922" cm="1" t="str">
        <f t="array" ref="F151:F151">F150</f>
        <v>1</v>
      </c>
      <c r="G151" s="965"/>
      <c r="H151" s="965"/>
      <c r="I151" s="965"/>
      <c r="J151" s="965"/>
      <c r="K151" s="965"/>
      <c r="L151" s="965"/>
      <c r="M151" s="965"/>
      <c r="N151" s="965"/>
      <c r="O151" s="965"/>
      <c r="P151" s="965"/>
      <c r="Q151" s="928"/>
      <c r="R151" s="928"/>
      <c r="S151" s="965"/>
      <c r="T151" s="819" cm="1" t="str">
        <f t="array" ref="T151:T151">T150</f>
        <v>true</v>
      </c>
      <c r="U151" s="1443"/>
      <c r="V151" s="1443"/>
      <c r="W151" s="1443"/>
      <c r="X151" s="1443"/>
      <c r="Y151" s="1443"/>
      <c r="Z151" s="1443"/>
      <c r="AA151" s="937"/>
      <c r="AB151" s="489" t="str">
        <f>AB141&amp;".5"</f>
        <v>2.5</v>
      </c>
      <c r="AC151" s="490" t="s">
        <v>1047</v>
      </c>
      <c r="AD151" s="489" t="s">
        <v>1023</v>
      </c>
      <c r="AE151" s="1665"/>
      <c r="AF151" s="1665"/>
      <c r="AG151" s="1665"/>
      <c r="AH151" s="1665"/>
      <c r="AI151" s="1665"/>
      <c r="AJ151" s="1665"/>
      <c r="AK151" s="1665"/>
      <c r="AL151" s="1665"/>
      <c r="AM151" s="1665"/>
      <c r="AN151" s="1665"/>
      <c r="AO151" s="1665"/>
      <c r="AP151" s="1665"/>
      <c r="AQ151" s="1665"/>
      <c r="AR151" s="1665"/>
      <c r="AS151" s="1665"/>
      <c r="AT151" s="1665"/>
      <c r="AU151" s="1665"/>
      <c r="AV151" s="1665"/>
      <c r="AW151" s="1665"/>
      <c r="AX151" s="1665"/>
      <c r="AY151" s="1665"/>
      <c r="AZ151" s="1665"/>
      <c r="BA151" s="1665"/>
      <c r="BB151" s="1665"/>
      <c r="BC151" s="1719"/>
      <c r="BD151" s="937"/>
      <c r="BE151" s="937"/>
      <c r="BF151" s="1173" t="s">
        <v>1069</v>
      </c>
    </row>
    <row s="1632" customFormat="1" customHeight="1" ht="14.25">
      <c r="A152" s="1443"/>
      <c r="B152" s="927"/>
      <c r="C152" s="1443"/>
      <c r="D152" s="1443"/>
      <c r="E152" s="797">
        <v>15</v>
      </c>
      <c r="F152" s="922" cm="1" t="str">
        <f t="array" ref="F152:F152">F151</f>
        <v>1</v>
      </c>
      <c r="G152" s="965"/>
      <c r="H152" s="965"/>
      <c r="I152" s="965"/>
      <c r="J152" s="965"/>
      <c r="K152" s="965"/>
      <c r="L152" s="965"/>
      <c r="M152" s="965"/>
      <c r="N152" s="965"/>
      <c r="O152" s="965"/>
      <c r="P152" s="965"/>
      <c r="Q152" s="928"/>
      <c r="R152" s="928"/>
      <c r="S152" s="965"/>
      <c r="T152" s="819" cm="1" t="str">
        <f t="array" ref="T152:T152">T151</f>
        <v>true</v>
      </c>
      <c r="U152" s="1443"/>
      <c r="V152" s="1443"/>
      <c r="W152" s="1443"/>
      <c r="X152" s="1443"/>
      <c r="Y152" s="1443"/>
      <c r="Z152" s="1443"/>
      <c r="AA152" s="937"/>
      <c r="AB152" s="489" t="str">
        <f>AB141&amp;".6"</f>
        <v>2.6</v>
      </c>
      <c r="AC152" s="490" t="s">
        <v>1050</v>
      </c>
      <c r="AD152" s="489" t="s">
        <v>1023</v>
      </c>
      <c r="AE152" s="1665"/>
      <c r="AF152" s="1665"/>
      <c r="AG152" s="1665"/>
      <c r="AH152" s="1665"/>
      <c r="AI152" s="1665"/>
      <c r="AJ152" s="1665"/>
      <c r="AK152" s="1665"/>
      <c r="AL152" s="1665"/>
      <c r="AM152" s="1665"/>
      <c r="AN152" s="1665"/>
      <c r="AO152" s="1665"/>
      <c r="AP152" s="1665"/>
      <c r="AQ152" s="1665"/>
      <c r="AR152" s="1665"/>
      <c r="AS152" s="1665"/>
      <c r="AT152" s="1665"/>
      <c r="AU152" s="1665"/>
      <c r="AV152" s="1665"/>
      <c r="AW152" s="1665"/>
      <c r="AX152" s="1665"/>
      <c r="AY152" s="1665"/>
      <c r="AZ152" s="1665"/>
      <c r="BA152" s="1665"/>
      <c r="BB152" s="1665"/>
      <c r="BC152" s="1719"/>
      <c r="BD152" s="937"/>
      <c r="BE152" s="937"/>
      <c r="BF152" s="1173" t="s">
        <v>1070</v>
      </c>
    </row>
    <row s="1632" customFormat="1" customHeight="1" ht="14.25">
      <c r="A153" s="1443"/>
      <c r="B153" s="927"/>
      <c r="C153" s="1443"/>
      <c r="D153" s="1443"/>
      <c r="E153" s="797">
        <v>15</v>
      </c>
      <c r="F153" s="922" cm="1" t="str">
        <f t="array" ref="F153:F153">F152</f>
        <v>1</v>
      </c>
      <c r="G153" s="965"/>
      <c r="H153" s="965"/>
      <c r="I153" s="965"/>
      <c r="J153" s="965"/>
      <c r="K153" s="965"/>
      <c r="L153" s="965"/>
      <c r="M153" s="965"/>
      <c r="N153" s="965"/>
      <c r="O153" s="965"/>
      <c r="P153" s="965"/>
      <c r="Q153" s="928"/>
      <c r="R153" s="928"/>
      <c r="S153" s="965"/>
      <c r="T153" s="819" cm="1" t="str">
        <f t="array" ref="T153:T153">T152</f>
        <v>true</v>
      </c>
      <c r="U153" s="1443"/>
      <c r="V153" s="1443"/>
      <c r="W153" s="1443"/>
      <c r="X153" s="1443"/>
      <c r="Y153" s="1443"/>
      <c r="Z153" s="1443"/>
      <c r="AA153" s="937"/>
      <c r="AB153" s="489" t="str">
        <f>AB141&amp;".7"</f>
        <v>2.7</v>
      </c>
      <c r="AC153" s="490" t="s">
        <v>1053</v>
      </c>
      <c r="AD153" s="489" t="s">
        <v>1023</v>
      </c>
      <c r="AE153" s="1665"/>
      <c r="AF153" s="1665"/>
      <c r="AG153" s="1665"/>
      <c r="AH153" s="1665"/>
      <c r="AI153" s="1665"/>
      <c r="AJ153" s="1665"/>
      <c r="AK153" s="1665"/>
      <c r="AL153" s="1665"/>
      <c r="AM153" s="1665"/>
      <c r="AN153" s="1665"/>
      <c r="AO153" s="1665"/>
      <c r="AP153" s="1665"/>
      <c r="AQ153" s="1665"/>
      <c r="AR153" s="1665"/>
      <c r="AS153" s="1665"/>
      <c r="AT153" s="1665"/>
      <c r="AU153" s="1665"/>
      <c r="AV153" s="1665"/>
      <c r="AW153" s="1665"/>
      <c r="AX153" s="1665"/>
      <c r="AY153" s="1665"/>
      <c r="AZ153" s="1665"/>
      <c r="BA153" s="1665"/>
      <c r="BB153" s="1665"/>
      <c r="BC153" s="1719"/>
      <c r="BD153" s="937"/>
      <c r="BE153" s="937"/>
      <c r="BF153" s="1173" t="s">
        <v>1071</v>
      </c>
    </row>
    <row s="1632" customFormat="1" customHeight="1" ht="14.25">
      <c r="A154" s="1443"/>
      <c r="B154" s="927"/>
      <c r="C154" s="1443"/>
      <c r="D154" s="1443"/>
      <c r="E154" s="797">
        <v>15</v>
      </c>
      <c r="F154" s="922" cm="1" t="str">
        <f t="array" ref="F154:F154">F153</f>
        <v>1</v>
      </c>
      <c r="G154" s="965"/>
      <c r="H154" s="965"/>
      <c r="I154" s="965"/>
      <c r="J154" s="965"/>
      <c r="K154" s="965"/>
      <c r="L154" s="965"/>
      <c r="M154" s="965"/>
      <c r="N154" s="965"/>
      <c r="O154" s="965"/>
      <c r="P154" s="965"/>
      <c r="Q154" s="928"/>
      <c r="R154" s="928"/>
      <c r="S154" s="965"/>
      <c r="T154" s="819" cm="1" t="str">
        <f t="array" ref="T154:T154">T153</f>
        <v>true</v>
      </c>
      <c r="U154" s="1443"/>
      <c r="V154" s="1443"/>
      <c r="W154" s="1443"/>
      <c r="X154" s="1443"/>
      <c r="Y154" s="1443"/>
      <c r="Z154" s="1443"/>
      <c r="AA154" s="937"/>
      <c r="AB154" s="489" t="str">
        <f>AB141&amp;".8"</f>
        <v>2.8</v>
      </c>
      <c r="AC154" s="490" t="s">
        <v>1056</v>
      </c>
      <c r="AD154" s="489" t="s">
        <v>1023</v>
      </c>
      <c r="AE154" s="1665"/>
      <c r="AF154" s="1665"/>
      <c r="AG154" s="1665"/>
      <c r="AH154" s="1665"/>
      <c r="AI154" s="1665"/>
      <c r="AJ154" s="1665"/>
      <c r="AK154" s="1665"/>
      <c r="AL154" s="1665"/>
      <c r="AM154" s="1665"/>
      <c r="AN154" s="1665"/>
      <c r="AO154" s="1665"/>
      <c r="AP154" s="1665"/>
      <c r="AQ154" s="1665"/>
      <c r="AR154" s="1665"/>
      <c r="AS154" s="1665"/>
      <c r="AT154" s="1665"/>
      <c r="AU154" s="1665"/>
      <c r="AV154" s="1665"/>
      <c r="AW154" s="1665"/>
      <c r="AX154" s="1665"/>
      <c r="AY154" s="1665"/>
      <c r="AZ154" s="1665"/>
      <c r="BA154" s="1665"/>
      <c r="BB154" s="1665"/>
      <c r="BC154" s="1719"/>
      <c r="BD154" s="937"/>
      <c r="BE154" s="937"/>
      <c r="BF154" s="1173" t="s">
        <v>1072</v>
      </c>
    </row>
    <row s="217" customFormat="1" customHeight="1" ht="14.25">
      <c r="A155" s="217"/>
      <c r="B155" s="217"/>
      <c r="C155" s="217"/>
      <c r="D155" s="217"/>
      <c r="E155" s="797">
        <v>15</v>
      </c>
      <c r="F155" s="922" cm="1" t="str">
        <f t="array" ref="F155:F155">F154</f>
        <v>1</v>
      </c>
      <c r="G155" s="217"/>
      <c r="H155" s="217"/>
      <c r="I155" s="217"/>
      <c r="J155" s="217"/>
      <c r="K155" s="217"/>
      <c r="L155" s="217"/>
      <c r="M155" s="217"/>
      <c r="N155" s="217"/>
      <c r="O155" s="217"/>
      <c r="P155" s="217"/>
      <c r="Q155" s="217"/>
      <c r="R155" s="217"/>
      <c r="S155" s="217"/>
      <c r="T155" s="819" cm="1" t="str">
        <f t="array" ref="T155:T155">T154</f>
        <v>true</v>
      </c>
      <c r="U155" s="217"/>
      <c r="V155" s="217"/>
      <c r="W155" s="217"/>
      <c r="X155" s="217"/>
      <c r="Y155" s="217"/>
      <c r="Z155" s="217"/>
      <c r="AA155" s="217"/>
      <c r="AB155" s="280">
        <v>3</v>
      </c>
      <c r="AC155" s="281" t="s">
        <v>1073</v>
      </c>
      <c r="AD155" s="156" t="s">
        <v>810</v>
      </c>
      <c r="AE155" s="1880">
        <f>SUM(AE156:AE159)+SUM(AE165:AE168)</f>
        <v>0</v>
      </c>
      <c r="AF155" s="1880">
        <f>SUM(AF156:AF159)+SUM(AF165:AF168)</f>
        <v>0</v>
      </c>
      <c r="AG155" s="1880">
        <f>SUM(AG156:AG159)+SUM(AG165:AG168)</f>
        <v>0</v>
      </c>
      <c r="AH155" s="1880">
        <f>SUM(AH156:AH159)+SUM(AH165:AH168)</f>
        <v>0</v>
      </c>
      <c r="AI155" s="1880">
        <f>SUM(AI156:AI159)+SUM(AI165:AI168)</f>
        <v>0</v>
      </c>
      <c r="AJ155" s="1880">
        <f>SUM(AJ156:AJ159)+SUM(AJ165:AJ168)</f>
        <v>0</v>
      </c>
      <c r="AK155" s="1880">
        <f>SUM(AK156:AK159)+SUM(AK165:AK168)</f>
        <v>0</v>
      </c>
      <c r="AL155" s="1880">
        <f>SUM(AL156:AL159)+SUM(AL165:AL168)</f>
        <v>0</v>
      </c>
      <c r="AM155" s="1880">
        <f>SUM(AM156:AM159)+SUM(AM165:AM168)</f>
        <v>0</v>
      </c>
      <c r="AN155" s="1880">
        <f>SUM(AN156:AN159)+SUM(AN165:AN168)</f>
        <v>0</v>
      </c>
      <c r="AO155" s="1880">
        <f>SUM(AO156:AO159)+SUM(AO165:AO168)</f>
        <v>0</v>
      </c>
      <c r="AP155" s="1880">
        <f>SUM(AP156:AP159)+SUM(AP165:AP168)</f>
        <v>0</v>
      </c>
      <c r="AQ155" s="1880">
        <f>SUM(AQ156:AQ159)+SUM(AQ165:AQ168)</f>
        <v>0</v>
      </c>
      <c r="AR155" s="1880">
        <f>SUM(AR156:AR159)+SUM(AR165:AR168)</f>
        <v>0</v>
      </c>
      <c r="AS155" s="1880">
        <f>SUM(AS156:AS159)+SUM(AS165:AS168)</f>
        <v>0</v>
      </c>
      <c r="AT155" s="1880">
        <f>SUM(AT156:AT159)+SUM(AT165:AT168)</f>
        <v>0</v>
      </c>
      <c r="AU155" s="1880">
        <f>SUM(AU156:AU159)+SUM(AU165:AU168)</f>
        <v>0</v>
      </c>
      <c r="AV155" s="1880">
        <f>SUM(AV156:AV159)+SUM(AV165:AV168)</f>
        <v>0</v>
      </c>
      <c r="AW155" s="1880">
        <f>SUM(AW156:AW159)+SUM(AW165:AW168)</f>
        <v>0</v>
      </c>
      <c r="AX155" s="1880">
        <f>SUM(AX156:AX159)+SUM(AX165:AX168)</f>
        <v>0</v>
      </c>
      <c r="AY155" s="1880">
        <f>SUM(AY156:AY159)+SUM(AY165:AY168)</f>
        <v>0</v>
      </c>
      <c r="AZ155" s="1880">
        <f>SUM(AZ156:AZ159)+SUM(AZ165:AZ168)</f>
        <v>0</v>
      </c>
      <c r="BA155" s="1880">
        <f>SUM(BA156:BA159)+SUM(BA165:BA168)</f>
        <v>0</v>
      </c>
      <c r="BB155" s="1880">
        <f>SUM(BB156:BB159)+SUM(BB165:BB168)</f>
        <v>0</v>
      </c>
      <c r="BC155" s="1719"/>
      <c r="BD155" s="217"/>
      <c r="BE155" s="217"/>
      <c r="BF155" s="1173" t="s">
        <v>1074</v>
      </c>
    </row>
    <row s="1632" customFormat="1" customHeight="1" ht="14.25">
      <c r="A156" s="1443"/>
      <c r="B156" s="927"/>
      <c r="C156" s="1443"/>
      <c r="D156" s="1443"/>
      <c r="E156" s="797">
        <v>15</v>
      </c>
      <c r="F156" s="922" cm="1" t="str">
        <f t="array" ref="F156:F156">F155</f>
        <v>1</v>
      </c>
      <c r="G156" s="965"/>
      <c r="H156" s="965"/>
      <c r="I156" s="965"/>
      <c r="J156" s="965"/>
      <c r="K156" s="965"/>
      <c r="L156" s="965"/>
      <c r="M156" s="965"/>
      <c r="N156" s="965"/>
      <c r="O156" s="965"/>
      <c r="P156" s="965"/>
      <c r="Q156" s="928"/>
      <c r="R156" s="928"/>
      <c r="S156" s="965"/>
      <c r="T156" s="819" cm="1" t="str">
        <f t="array" ref="T156:T156">T155</f>
        <v>true</v>
      </c>
      <c r="U156" s="1443"/>
      <c r="V156" s="1443"/>
      <c r="W156" s="1443"/>
      <c r="X156" s="1443"/>
      <c r="Y156" s="1443"/>
      <c r="Z156" s="1443"/>
      <c r="AA156" s="937"/>
      <c r="AB156" s="489" t="str">
        <f>AB155&amp;".1"</f>
        <v>3.1</v>
      </c>
      <c r="AC156" s="490" t="s">
        <v>1022</v>
      </c>
      <c r="AD156" s="489" t="s">
        <v>1023</v>
      </c>
      <c r="AE156" s="1665"/>
      <c r="AF156" s="1665"/>
      <c r="AG156" s="1665"/>
      <c r="AH156" s="1665"/>
      <c r="AI156" s="1665"/>
      <c r="AJ156" s="1665"/>
      <c r="AK156" s="1665"/>
      <c r="AL156" s="1665"/>
      <c r="AM156" s="1665"/>
      <c r="AN156" s="1665"/>
      <c r="AO156" s="1665"/>
      <c r="AP156" s="1665"/>
      <c r="AQ156" s="1665"/>
      <c r="AR156" s="1665"/>
      <c r="AS156" s="1665"/>
      <c r="AT156" s="1665"/>
      <c r="AU156" s="1665"/>
      <c r="AV156" s="1665"/>
      <c r="AW156" s="1665"/>
      <c r="AX156" s="1665"/>
      <c r="AY156" s="1665"/>
      <c r="AZ156" s="1665"/>
      <c r="BA156" s="1665"/>
      <c r="BB156" s="1665"/>
      <c r="BC156" s="1719"/>
      <c r="BD156" s="937"/>
      <c r="BE156" s="937"/>
      <c r="BF156" s="1173" t="s">
        <v>1075</v>
      </c>
    </row>
    <row s="1632" customFormat="1" customHeight="1" ht="14.25">
      <c r="A157" s="1443"/>
      <c r="B157" s="927"/>
      <c r="C157" s="1443"/>
      <c r="D157" s="1443"/>
      <c r="E157" s="797">
        <v>15</v>
      </c>
      <c r="F157" s="922" cm="1" t="str">
        <f t="array" ref="F157:F157">F156</f>
        <v>1</v>
      </c>
      <c r="G157" s="965"/>
      <c r="H157" s="965"/>
      <c r="I157" s="965"/>
      <c r="J157" s="965"/>
      <c r="K157" s="965"/>
      <c r="L157" s="965"/>
      <c r="M157" s="965"/>
      <c r="N157" s="965"/>
      <c r="O157" s="965"/>
      <c r="P157" s="965"/>
      <c r="Q157" s="928"/>
      <c r="R157" s="928"/>
      <c r="S157" s="965"/>
      <c r="T157" s="819" cm="1" t="str">
        <f t="array" ref="T157:T157">T156</f>
        <v>true</v>
      </c>
      <c r="U157" s="1443"/>
      <c r="V157" s="1443"/>
      <c r="W157" s="1443"/>
      <c r="X157" s="1443"/>
      <c r="Y157" s="1443"/>
      <c r="Z157" s="1443"/>
      <c r="AA157" s="937"/>
      <c r="AB157" s="489" t="str">
        <f>AB155&amp;".2"</f>
        <v>3.2</v>
      </c>
      <c r="AC157" s="490" t="s">
        <v>1025</v>
      </c>
      <c r="AD157" s="489" t="s">
        <v>1023</v>
      </c>
      <c r="AE157" s="1665"/>
      <c r="AF157" s="1665"/>
      <c r="AG157" s="1665"/>
      <c r="AH157" s="1665"/>
      <c r="AI157" s="1665"/>
      <c r="AJ157" s="1665"/>
      <c r="AK157" s="1665"/>
      <c r="AL157" s="1665"/>
      <c r="AM157" s="1665"/>
      <c r="AN157" s="1665"/>
      <c r="AO157" s="1665"/>
      <c r="AP157" s="1665"/>
      <c r="AQ157" s="1665"/>
      <c r="AR157" s="1665"/>
      <c r="AS157" s="1665"/>
      <c r="AT157" s="1665"/>
      <c r="AU157" s="1665"/>
      <c r="AV157" s="1665"/>
      <c r="AW157" s="1665"/>
      <c r="AX157" s="1665"/>
      <c r="AY157" s="1665"/>
      <c r="AZ157" s="1665"/>
      <c r="BA157" s="1665"/>
      <c r="BB157" s="1665"/>
      <c r="BC157" s="1719"/>
      <c r="BD157" s="937"/>
      <c r="BE157" s="937"/>
      <c r="BF157" s="1173" t="s">
        <v>1076</v>
      </c>
    </row>
    <row s="1632" customFormat="1" customHeight="1" ht="14.25">
      <c r="A158" s="1443"/>
      <c r="B158" s="927"/>
      <c r="C158" s="1443"/>
      <c r="D158" s="1443"/>
      <c r="E158" s="797">
        <v>15</v>
      </c>
      <c r="F158" s="922" cm="1" t="str">
        <f t="array" ref="F158:F158">F157</f>
        <v>1</v>
      </c>
      <c r="G158" s="965"/>
      <c r="H158" s="965"/>
      <c r="I158" s="965"/>
      <c r="J158" s="965"/>
      <c r="K158" s="965"/>
      <c r="L158" s="965"/>
      <c r="M158" s="965"/>
      <c r="N158" s="965"/>
      <c r="O158" s="965"/>
      <c r="P158" s="965"/>
      <c r="Q158" s="928"/>
      <c r="R158" s="928"/>
      <c r="S158" s="965"/>
      <c r="T158" s="819" cm="1" t="str">
        <f t="array" ref="T158:T158">T157</f>
        <v>true</v>
      </c>
      <c r="U158" s="1443"/>
      <c r="V158" s="1443"/>
      <c r="W158" s="1443"/>
      <c r="X158" s="1443"/>
      <c r="Y158" s="1443"/>
      <c r="Z158" s="1443"/>
      <c r="AA158" s="937"/>
      <c r="AB158" s="489" t="str">
        <f>AB155&amp;".3"</f>
        <v>3.3</v>
      </c>
      <c r="AC158" s="490" t="s">
        <v>1027</v>
      </c>
      <c r="AD158" s="489" t="s">
        <v>1023</v>
      </c>
      <c r="AE158" s="1665"/>
      <c r="AF158" s="1665"/>
      <c r="AG158" s="1665"/>
      <c r="AH158" s="1665"/>
      <c r="AI158" s="1665"/>
      <c r="AJ158" s="1665"/>
      <c r="AK158" s="1665"/>
      <c r="AL158" s="1665"/>
      <c r="AM158" s="1665"/>
      <c r="AN158" s="1665"/>
      <c r="AO158" s="1665"/>
      <c r="AP158" s="1665"/>
      <c r="AQ158" s="1665"/>
      <c r="AR158" s="1665"/>
      <c r="AS158" s="1665"/>
      <c r="AT158" s="1665"/>
      <c r="AU158" s="1665"/>
      <c r="AV158" s="1665"/>
      <c r="AW158" s="1665"/>
      <c r="AX158" s="1665"/>
      <c r="AY158" s="1665"/>
      <c r="AZ158" s="1665"/>
      <c r="BA158" s="1665"/>
      <c r="BB158" s="1665"/>
      <c r="BC158" s="1719"/>
      <c r="BD158" s="937"/>
      <c r="BE158" s="937"/>
      <c r="BF158" s="1173" t="s">
        <v>1077</v>
      </c>
    </row>
    <row s="1632" customFormat="1" customHeight="1" ht="14.25">
      <c r="A159" s="1443"/>
      <c r="B159" s="927"/>
      <c r="C159" s="1443"/>
      <c r="D159" s="1443"/>
      <c r="E159" s="797">
        <v>15</v>
      </c>
      <c r="F159" s="922" cm="1" t="str">
        <f t="array" ref="F159:F159">F158</f>
        <v>1</v>
      </c>
      <c r="G159" s="965"/>
      <c r="H159" s="965"/>
      <c r="I159" s="965"/>
      <c r="J159" s="965"/>
      <c r="K159" s="965"/>
      <c r="L159" s="965"/>
      <c r="M159" s="965"/>
      <c r="N159" s="965"/>
      <c r="O159" s="965"/>
      <c r="P159" s="965"/>
      <c r="Q159" s="928"/>
      <c r="R159" s="928"/>
      <c r="S159" s="965"/>
      <c r="T159" s="819" cm="1" t="str">
        <f t="array" ref="T159:T159">T158</f>
        <v>true</v>
      </c>
      <c r="U159" s="1443"/>
      <c r="V159" s="1443"/>
      <c r="W159" s="1443"/>
      <c r="X159" s="1443"/>
      <c r="Y159" s="1443"/>
      <c r="Z159" s="1443"/>
      <c r="AA159" s="937"/>
      <c r="AB159" s="489" t="str">
        <f>AB155&amp;".4"</f>
        <v>3.4</v>
      </c>
      <c r="AC159" s="490" t="s">
        <v>1029</v>
      </c>
      <c r="AD159" s="489" t="s">
        <v>1023</v>
      </c>
      <c r="AE159" s="1731">
        <f>SUM(AE160:AE164)</f>
        <v>0</v>
      </c>
      <c r="AF159" s="1731">
        <f>SUM(AF160:AF164)</f>
        <v>0</v>
      </c>
      <c r="AG159" s="1731">
        <f>SUM(AG160:AG164)</f>
        <v>0</v>
      </c>
      <c r="AH159" s="1731">
        <f>SUM(AH160:AH164)</f>
        <v>0</v>
      </c>
      <c r="AI159" s="1731">
        <f>SUM(AI160:AI164)</f>
        <v>0</v>
      </c>
      <c r="AJ159" s="1731">
        <f>SUM(AJ160:AJ164)</f>
        <v>0</v>
      </c>
      <c r="AK159" s="1731">
        <f>SUM(AK160:AK164)</f>
        <v>0</v>
      </c>
      <c r="AL159" s="1731">
        <f>SUM(AL160:AL164)</f>
        <v>0</v>
      </c>
      <c r="AM159" s="1731">
        <f>SUM(AM160:AM164)</f>
        <v>0</v>
      </c>
      <c r="AN159" s="1731">
        <f>SUM(AN160:AN164)</f>
        <v>0</v>
      </c>
      <c r="AO159" s="1731">
        <f>SUM(AO160:AO164)</f>
        <v>0</v>
      </c>
      <c r="AP159" s="1731">
        <f>SUM(AP160:AP164)</f>
        <v>0</v>
      </c>
      <c r="AQ159" s="1731">
        <f>SUM(AQ160:AQ164)</f>
        <v>0</v>
      </c>
      <c r="AR159" s="1731">
        <f>SUM(AR160:AR164)</f>
        <v>0</v>
      </c>
      <c r="AS159" s="1731">
        <f>SUM(AS160:AS164)</f>
        <v>0</v>
      </c>
      <c r="AT159" s="1731">
        <f>SUM(AT160:AT164)</f>
        <v>0</v>
      </c>
      <c r="AU159" s="1731">
        <f>SUM(AU160:AU164)</f>
        <v>0</v>
      </c>
      <c r="AV159" s="1731">
        <f>SUM(AV160:AV164)</f>
        <v>0</v>
      </c>
      <c r="AW159" s="1731">
        <f>SUM(AW160:AW164)</f>
        <v>0</v>
      </c>
      <c r="AX159" s="1731">
        <f>SUM(AX160:AX164)</f>
        <v>0</v>
      </c>
      <c r="AY159" s="1731">
        <f>SUM(AY160:AY164)</f>
        <v>0</v>
      </c>
      <c r="AZ159" s="1731">
        <f>SUM(AZ160:AZ164)</f>
        <v>0</v>
      </c>
      <c r="BA159" s="1731">
        <f>SUM(BA160:BA164)</f>
        <v>0</v>
      </c>
      <c r="BB159" s="1731">
        <f>SUM(BB160:BB164)</f>
        <v>0</v>
      </c>
      <c r="BC159" s="1719"/>
      <c r="BD159" s="937"/>
      <c r="BE159" s="937"/>
      <c r="BF159" s="1173" t="s">
        <v>1078</v>
      </c>
    </row>
    <row s="1632" customFormat="1" customHeight="1" ht="14.25">
      <c r="A160" s="1443"/>
      <c r="B160" s="927"/>
      <c r="C160" s="1443"/>
      <c r="D160" s="1443"/>
      <c r="E160" s="797">
        <v>15</v>
      </c>
      <c r="F160" s="922" cm="1" t="str">
        <f t="array" ref="F160:F160">F159</f>
        <v>1</v>
      </c>
      <c r="G160" s="965"/>
      <c r="H160" s="965"/>
      <c r="I160" s="965"/>
      <c r="J160" s="965"/>
      <c r="K160" s="965"/>
      <c r="L160" s="965"/>
      <c r="M160" s="965"/>
      <c r="N160" s="965"/>
      <c r="O160" s="965"/>
      <c r="P160" s="965"/>
      <c r="Q160" s="928"/>
      <c r="R160" s="928"/>
      <c r="S160" s="965"/>
      <c r="T160" s="819" cm="1" t="str">
        <f t="array" ref="T160:T160">T159</f>
        <v>true</v>
      </c>
      <c r="U160" s="1443"/>
      <c r="V160" s="1443"/>
      <c r="W160" s="1443"/>
      <c r="X160" s="1443"/>
      <c r="Y160" s="1443"/>
      <c r="Z160" s="1443"/>
      <c r="AA160" s="937"/>
      <c r="AB160" s="489" t="str">
        <f>AB159&amp;".1"</f>
        <v>3.4.1</v>
      </c>
      <c r="AC160" s="491" t="s">
        <v>1032</v>
      </c>
      <c r="AD160" s="489" t="s">
        <v>1023</v>
      </c>
      <c r="AE160" s="1665"/>
      <c r="AF160" s="1665"/>
      <c r="AG160" s="1665"/>
      <c r="AH160" s="1665"/>
      <c r="AI160" s="1665"/>
      <c r="AJ160" s="1665"/>
      <c r="AK160" s="1665"/>
      <c r="AL160" s="1665"/>
      <c r="AM160" s="1665"/>
      <c r="AN160" s="1665"/>
      <c r="AO160" s="1665"/>
      <c r="AP160" s="1665"/>
      <c r="AQ160" s="1665"/>
      <c r="AR160" s="1665"/>
      <c r="AS160" s="1665"/>
      <c r="AT160" s="1665"/>
      <c r="AU160" s="1665"/>
      <c r="AV160" s="1665"/>
      <c r="AW160" s="1665"/>
      <c r="AX160" s="1665"/>
      <c r="AY160" s="1665"/>
      <c r="AZ160" s="1665"/>
      <c r="BA160" s="1665"/>
      <c r="BB160" s="1665"/>
      <c r="BC160" s="1719"/>
      <c r="BD160" s="937"/>
      <c r="BE160" s="937"/>
      <c r="BF160" s="1173" t="s">
        <v>1079</v>
      </c>
    </row>
    <row s="1632" customFormat="1" customHeight="1" ht="14.25">
      <c r="A161" s="1443"/>
      <c r="B161" s="927"/>
      <c r="C161" s="1443"/>
      <c r="D161" s="1443"/>
      <c r="E161" s="797">
        <v>15</v>
      </c>
      <c r="F161" s="922" cm="1" t="str">
        <f t="array" ref="F161:F161">F160</f>
        <v>1</v>
      </c>
      <c r="G161" s="965"/>
      <c r="H161" s="965"/>
      <c r="I161" s="965"/>
      <c r="J161" s="965"/>
      <c r="K161" s="965"/>
      <c r="L161" s="965"/>
      <c r="M161" s="965"/>
      <c r="N161" s="965"/>
      <c r="O161" s="965"/>
      <c r="P161" s="965"/>
      <c r="Q161" s="928"/>
      <c r="R161" s="928"/>
      <c r="S161" s="965"/>
      <c r="T161" s="819" cm="1" t="str">
        <f t="array" ref="T161:T161">T160</f>
        <v>true</v>
      </c>
      <c r="U161" s="1443"/>
      <c r="V161" s="1443"/>
      <c r="W161" s="1443"/>
      <c r="X161" s="1443"/>
      <c r="Y161" s="1443"/>
      <c r="Z161" s="1443"/>
      <c r="AA161" s="937"/>
      <c r="AB161" s="489" t="str">
        <f>AB159&amp;".2"</f>
        <v>3.4.2</v>
      </c>
      <c r="AC161" s="491" t="s">
        <v>1035</v>
      </c>
      <c r="AD161" s="489" t="s">
        <v>1023</v>
      </c>
      <c r="AE161" s="1665"/>
      <c r="AF161" s="1665"/>
      <c r="AG161" s="1665"/>
      <c r="AH161" s="1665"/>
      <c r="AI161" s="1665"/>
      <c r="AJ161" s="1665"/>
      <c r="AK161" s="1665"/>
      <c r="AL161" s="1665"/>
      <c r="AM161" s="1665"/>
      <c r="AN161" s="1665"/>
      <c r="AO161" s="1665"/>
      <c r="AP161" s="1665"/>
      <c r="AQ161" s="1665"/>
      <c r="AR161" s="1665"/>
      <c r="AS161" s="1665"/>
      <c r="AT161" s="1665"/>
      <c r="AU161" s="1665"/>
      <c r="AV161" s="1665"/>
      <c r="AW161" s="1665"/>
      <c r="AX161" s="1665"/>
      <c r="AY161" s="1665"/>
      <c r="AZ161" s="1665"/>
      <c r="BA161" s="1665"/>
      <c r="BB161" s="1665"/>
      <c r="BC161" s="1719"/>
      <c r="BD161" s="937"/>
      <c r="BE161" s="937"/>
      <c r="BF161" s="1173" t="s">
        <v>1080</v>
      </c>
    </row>
    <row s="1632" customFormat="1" customHeight="1" ht="14.25">
      <c r="A162" s="1443"/>
      <c r="B162" s="927"/>
      <c r="C162" s="1443"/>
      <c r="D162" s="1443"/>
      <c r="E162" s="797">
        <v>15</v>
      </c>
      <c r="F162" s="922" cm="1" t="str">
        <f t="array" ref="F162:F162">F161</f>
        <v>1</v>
      </c>
      <c r="G162" s="965"/>
      <c r="H162" s="965"/>
      <c r="I162" s="965"/>
      <c r="J162" s="965"/>
      <c r="K162" s="965"/>
      <c r="L162" s="965"/>
      <c r="M162" s="965"/>
      <c r="N162" s="965"/>
      <c r="O162" s="965"/>
      <c r="P162" s="965"/>
      <c r="Q162" s="928"/>
      <c r="R162" s="928"/>
      <c r="S162" s="965"/>
      <c r="T162" s="819" cm="1" t="str">
        <f t="array" ref="T162:T162">T161</f>
        <v>true</v>
      </c>
      <c r="U162" s="1443"/>
      <c r="V162" s="1443"/>
      <c r="W162" s="1443"/>
      <c r="X162" s="1443"/>
      <c r="Y162" s="1443"/>
      <c r="Z162" s="1443"/>
      <c r="AA162" s="937"/>
      <c r="AB162" s="489" t="str">
        <f>AB159&amp;".3"</f>
        <v>3.4.3</v>
      </c>
      <c r="AC162" s="491" t="s">
        <v>1038</v>
      </c>
      <c r="AD162" s="489" t="s">
        <v>1023</v>
      </c>
      <c r="AE162" s="1665"/>
      <c r="AF162" s="1665"/>
      <c r="AG162" s="1665"/>
      <c r="AH162" s="1665"/>
      <c r="AI162" s="1665"/>
      <c r="AJ162" s="1665"/>
      <c r="AK162" s="1665"/>
      <c r="AL162" s="1665"/>
      <c r="AM162" s="1665"/>
      <c r="AN162" s="1665"/>
      <c r="AO162" s="1665"/>
      <c r="AP162" s="1665"/>
      <c r="AQ162" s="1665"/>
      <c r="AR162" s="1665"/>
      <c r="AS162" s="1665"/>
      <c r="AT162" s="1665"/>
      <c r="AU162" s="1665"/>
      <c r="AV162" s="1665"/>
      <c r="AW162" s="1665"/>
      <c r="AX162" s="1665"/>
      <c r="AY162" s="1665"/>
      <c r="AZ162" s="1665"/>
      <c r="BA162" s="1665"/>
      <c r="BB162" s="1665"/>
      <c r="BC162" s="1719"/>
      <c r="BD162" s="937"/>
      <c r="BE162" s="937"/>
      <c r="BF162" s="1173" t="s">
        <v>1081</v>
      </c>
    </row>
    <row s="1632" customFormat="1" customHeight="1" ht="14.25">
      <c r="A163" s="1443"/>
      <c r="B163" s="927"/>
      <c r="C163" s="1443"/>
      <c r="D163" s="1443"/>
      <c r="E163" s="797">
        <v>15</v>
      </c>
      <c r="F163" s="922" cm="1" t="str">
        <f t="array" ref="F163:F163">F162</f>
        <v>1</v>
      </c>
      <c r="G163" s="965"/>
      <c r="H163" s="965"/>
      <c r="I163" s="965"/>
      <c r="J163" s="965"/>
      <c r="K163" s="965"/>
      <c r="L163" s="965"/>
      <c r="M163" s="965"/>
      <c r="N163" s="965"/>
      <c r="O163" s="965"/>
      <c r="P163" s="965"/>
      <c r="Q163" s="928"/>
      <c r="R163" s="928"/>
      <c r="S163" s="965"/>
      <c r="T163" s="819" cm="1" t="str">
        <f t="array" ref="T163:T163">T162</f>
        <v>true</v>
      </c>
      <c r="U163" s="1443"/>
      <c r="V163" s="1443"/>
      <c r="W163" s="1443"/>
      <c r="X163" s="1443"/>
      <c r="Y163" s="1443"/>
      <c r="Z163" s="1443"/>
      <c r="AA163" s="937"/>
      <c r="AB163" s="489" t="str">
        <f>AB159&amp;".4"</f>
        <v>3.4.4</v>
      </c>
      <c r="AC163" s="491" t="s">
        <v>1041</v>
      </c>
      <c r="AD163" s="489" t="s">
        <v>1023</v>
      </c>
      <c r="AE163" s="1665"/>
      <c r="AF163" s="1665"/>
      <c r="AG163" s="1665"/>
      <c r="AH163" s="1665"/>
      <c r="AI163" s="1665"/>
      <c r="AJ163" s="1665"/>
      <c r="AK163" s="1665"/>
      <c r="AL163" s="1665"/>
      <c r="AM163" s="1665"/>
      <c r="AN163" s="1665"/>
      <c r="AO163" s="1665"/>
      <c r="AP163" s="1665"/>
      <c r="AQ163" s="1665"/>
      <c r="AR163" s="1665"/>
      <c r="AS163" s="1665"/>
      <c r="AT163" s="1665"/>
      <c r="AU163" s="1665"/>
      <c r="AV163" s="1665"/>
      <c r="AW163" s="1665"/>
      <c r="AX163" s="1665"/>
      <c r="AY163" s="1665"/>
      <c r="AZ163" s="1665"/>
      <c r="BA163" s="1665"/>
      <c r="BB163" s="1665"/>
      <c r="BC163" s="1719"/>
      <c r="BD163" s="937"/>
      <c r="BE163" s="937"/>
      <c r="BF163" s="1173" t="s">
        <v>1082</v>
      </c>
    </row>
    <row s="1632" customFormat="1" customHeight="1" ht="14.25">
      <c r="A164" s="1443"/>
      <c r="B164" s="927"/>
      <c r="C164" s="1443"/>
      <c r="D164" s="1443"/>
      <c r="E164" s="797">
        <v>15</v>
      </c>
      <c r="F164" s="922" cm="1" t="str">
        <f t="array" ref="F164:F164">F163</f>
        <v>1</v>
      </c>
      <c r="G164" s="965"/>
      <c r="H164" s="965"/>
      <c r="I164" s="965"/>
      <c r="J164" s="965"/>
      <c r="K164" s="965"/>
      <c r="L164" s="965"/>
      <c r="M164" s="965"/>
      <c r="N164" s="965"/>
      <c r="O164" s="965"/>
      <c r="P164" s="965"/>
      <c r="Q164" s="928"/>
      <c r="R164" s="928"/>
      <c r="S164" s="965"/>
      <c r="T164" s="819" cm="1" t="str">
        <f t="array" ref="T164:T164">T163</f>
        <v>true</v>
      </c>
      <c r="U164" s="1443"/>
      <c r="V164" s="1443"/>
      <c r="W164" s="1443"/>
      <c r="X164" s="1443"/>
      <c r="Y164" s="1443"/>
      <c r="Z164" s="1443"/>
      <c r="AA164" s="937"/>
      <c r="AB164" s="489" t="str">
        <f>AB159&amp;".5"</f>
        <v>3.4.5</v>
      </c>
      <c r="AC164" s="491" t="s">
        <v>1044</v>
      </c>
      <c r="AD164" s="489" t="s">
        <v>1023</v>
      </c>
      <c r="AE164" s="1665"/>
      <c r="AF164" s="1665"/>
      <c r="AG164" s="1665"/>
      <c r="AH164" s="1665"/>
      <c r="AI164" s="1665"/>
      <c r="AJ164" s="1665"/>
      <c r="AK164" s="1665"/>
      <c r="AL164" s="1665"/>
      <c r="AM164" s="1665"/>
      <c r="AN164" s="1665"/>
      <c r="AO164" s="1665"/>
      <c r="AP164" s="1665"/>
      <c r="AQ164" s="1665"/>
      <c r="AR164" s="1665"/>
      <c r="AS164" s="1665"/>
      <c r="AT164" s="1665"/>
      <c r="AU164" s="1665"/>
      <c r="AV164" s="1665"/>
      <c r="AW164" s="1665"/>
      <c r="AX164" s="1665"/>
      <c r="AY164" s="1665"/>
      <c r="AZ164" s="1665"/>
      <c r="BA164" s="1665"/>
      <c r="BB164" s="1665"/>
      <c r="BC164" s="1719"/>
      <c r="BD164" s="937"/>
      <c r="BE164" s="937"/>
      <c r="BF164" s="1173" t="s">
        <v>1083</v>
      </c>
    </row>
    <row s="1632" customFormat="1" customHeight="1" ht="14.25">
      <c r="A165" s="1443"/>
      <c r="B165" s="927"/>
      <c r="C165" s="1443"/>
      <c r="D165" s="1443"/>
      <c r="E165" s="797">
        <v>15</v>
      </c>
      <c r="F165" s="922" cm="1" t="str">
        <f t="array" ref="F165:F165">F164</f>
        <v>1</v>
      </c>
      <c r="G165" s="965"/>
      <c r="H165" s="965"/>
      <c r="I165" s="965"/>
      <c r="J165" s="965"/>
      <c r="K165" s="965"/>
      <c r="L165" s="965"/>
      <c r="M165" s="965"/>
      <c r="N165" s="965"/>
      <c r="O165" s="965"/>
      <c r="P165" s="965"/>
      <c r="Q165" s="928"/>
      <c r="R165" s="928"/>
      <c r="S165" s="965"/>
      <c r="T165" s="819" cm="1" t="str">
        <f t="array" ref="T165:T165">T164</f>
        <v>true</v>
      </c>
      <c r="U165" s="1443"/>
      <c r="V165" s="1443"/>
      <c r="W165" s="1443"/>
      <c r="X165" s="1443"/>
      <c r="Y165" s="1443"/>
      <c r="Z165" s="1443"/>
      <c r="AA165" s="937"/>
      <c r="AB165" s="489" t="str">
        <f>AB155&amp;".5"</f>
        <v>3.5</v>
      </c>
      <c r="AC165" s="490" t="s">
        <v>1047</v>
      </c>
      <c r="AD165" s="489" t="s">
        <v>1023</v>
      </c>
      <c r="AE165" s="1665"/>
      <c r="AF165" s="1665"/>
      <c r="AG165" s="1665"/>
      <c r="AH165" s="1665"/>
      <c r="AI165" s="1665"/>
      <c r="AJ165" s="1665"/>
      <c r="AK165" s="1665"/>
      <c r="AL165" s="1665"/>
      <c r="AM165" s="1665"/>
      <c r="AN165" s="1665"/>
      <c r="AO165" s="1665"/>
      <c r="AP165" s="1665"/>
      <c r="AQ165" s="1665"/>
      <c r="AR165" s="1665"/>
      <c r="AS165" s="1665"/>
      <c r="AT165" s="1665"/>
      <c r="AU165" s="1665"/>
      <c r="AV165" s="1665"/>
      <c r="AW165" s="1665"/>
      <c r="AX165" s="1665"/>
      <c r="AY165" s="1665"/>
      <c r="AZ165" s="1665"/>
      <c r="BA165" s="1665"/>
      <c r="BB165" s="1665"/>
      <c r="BC165" s="1719"/>
      <c r="BD165" s="937"/>
      <c r="BE165" s="937"/>
      <c r="BF165" s="1173" t="s">
        <v>1084</v>
      </c>
    </row>
    <row s="1632" customFormat="1" customHeight="1" ht="14.25">
      <c r="A166" s="1443"/>
      <c r="B166" s="927"/>
      <c r="C166" s="1443"/>
      <c r="D166" s="1443"/>
      <c r="E166" s="797">
        <v>15</v>
      </c>
      <c r="F166" s="922" cm="1" t="str">
        <f t="array" ref="F166:F166">F165</f>
        <v>1</v>
      </c>
      <c r="G166" s="965"/>
      <c r="H166" s="965"/>
      <c r="I166" s="965"/>
      <c r="J166" s="965"/>
      <c r="K166" s="965"/>
      <c r="L166" s="965"/>
      <c r="M166" s="965"/>
      <c r="N166" s="965"/>
      <c r="O166" s="965"/>
      <c r="P166" s="965"/>
      <c r="Q166" s="928"/>
      <c r="R166" s="928"/>
      <c r="S166" s="965"/>
      <c r="T166" s="819" cm="1" t="str">
        <f t="array" ref="T166:T166">T165</f>
        <v>true</v>
      </c>
      <c r="U166" s="1443"/>
      <c r="V166" s="1443"/>
      <c r="W166" s="1443"/>
      <c r="X166" s="1443"/>
      <c r="Y166" s="1443"/>
      <c r="Z166" s="1443"/>
      <c r="AA166" s="937"/>
      <c r="AB166" s="489" t="str">
        <f>AB155&amp;".6"</f>
        <v>3.6</v>
      </c>
      <c r="AC166" s="490" t="s">
        <v>1050</v>
      </c>
      <c r="AD166" s="489" t="s">
        <v>1023</v>
      </c>
      <c r="AE166" s="1665"/>
      <c r="AF166" s="1665"/>
      <c r="AG166" s="1665"/>
      <c r="AH166" s="1665"/>
      <c r="AI166" s="1665"/>
      <c r="AJ166" s="1665"/>
      <c r="AK166" s="1665"/>
      <c r="AL166" s="1665"/>
      <c r="AM166" s="1665"/>
      <c r="AN166" s="1665"/>
      <c r="AO166" s="1665"/>
      <c r="AP166" s="1665"/>
      <c r="AQ166" s="1665"/>
      <c r="AR166" s="1665"/>
      <c r="AS166" s="1665"/>
      <c r="AT166" s="1665"/>
      <c r="AU166" s="1665"/>
      <c r="AV166" s="1665"/>
      <c r="AW166" s="1665"/>
      <c r="AX166" s="1665"/>
      <c r="AY166" s="1665"/>
      <c r="AZ166" s="1665"/>
      <c r="BA166" s="1665"/>
      <c r="BB166" s="1665"/>
      <c r="BC166" s="1719"/>
      <c r="BD166" s="937"/>
      <c r="BE166" s="937"/>
      <c r="BF166" s="1173" t="s">
        <v>1085</v>
      </c>
    </row>
    <row s="1632" customFormat="1" customHeight="1" ht="14.25">
      <c r="A167" s="1443"/>
      <c r="B167" s="927"/>
      <c r="C167" s="1443"/>
      <c r="D167" s="1443"/>
      <c r="E167" s="797">
        <v>15</v>
      </c>
      <c r="F167" s="922" cm="1" t="str">
        <f t="array" ref="F167:F167">F166</f>
        <v>1</v>
      </c>
      <c r="G167" s="965"/>
      <c r="H167" s="965"/>
      <c r="I167" s="965"/>
      <c r="J167" s="965"/>
      <c r="K167" s="965"/>
      <c r="L167" s="965"/>
      <c r="M167" s="965"/>
      <c r="N167" s="965"/>
      <c r="O167" s="965"/>
      <c r="P167" s="965"/>
      <c r="Q167" s="928"/>
      <c r="R167" s="928"/>
      <c r="S167" s="965"/>
      <c r="T167" s="819" cm="1" t="str">
        <f t="array" ref="T167:T167">T166</f>
        <v>true</v>
      </c>
      <c r="U167" s="1443"/>
      <c r="V167" s="1443"/>
      <c r="W167" s="1443"/>
      <c r="X167" s="1443"/>
      <c r="Y167" s="1443"/>
      <c r="Z167" s="1443"/>
      <c r="AA167" s="937"/>
      <c r="AB167" s="489" t="str">
        <f>AB155&amp;".7"</f>
        <v>3.7</v>
      </c>
      <c r="AC167" s="490" t="s">
        <v>1053</v>
      </c>
      <c r="AD167" s="489" t="s">
        <v>1023</v>
      </c>
      <c r="AE167" s="1665"/>
      <c r="AF167" s="1665"/>
      <c r="AG167" s="1665"/>
      <c r="AH167" s="1665"/>
      <c r="AI167" s="1665"/>
      <c r="AJ167" s="1665"/>
      <c r="AK167" s="1665"/>
      <c r="AL167" s="1665"/>
      <c r="AM167" s="1665"/>
      <c r="AN167" s="1665"/>
      <c r="AO167" s="1665"/>
      <c r="AP167" s="1665"/>
      <c r="AQ167" s="1665"/>
      <c r="AR167" s="1665"/>
      <c r="AS167" s="1665"/>
      <c r="AT167" s="1665"/>
      <c r="AU167" s="1665"/>
      <c r="AV167" s="1665"/>
      <c r="AW167" s="1665"/>
      <c r="AX167" s="1665"/>
      <c r="AY167" s="1665"/>
      <c r="AZ167" s="1665"/>
      <c r="BA167" s="1665"/>
      <c r="BB167" s="1665"/>
      <c r="BC167" s="1719"/>
      <c r="BD167" s="937"/>
      <c r="BE167" s="937"/>
      <c r="BF167" s="1173" t="s">
        <v>1086</v>
      </c>
    </row>
    <row s="1632" customFormat="1" customHeight="1" ht="14.25">
      <c r="A168" s="1443"/>
      <c r="B168" s="927"/>
      <c r="C168" s="1443"/>
      <c r="D168" s="1443"/>
      <c r="E168" s="797">
        <v>15</v>
      </c>
      <c r="F168" s="922" cm="1" t="str">
        <f t="array" ref="F168:F168">F167</f>
        <v>1</v>
      </c>
      <c r="G168" s="965"/>
      <c r="H168" s="965"/>
      <c r="I168" s="965"/>
      <c r="J168" s="965"/>
      <c r="K168" s="965"/>
      <c r="L168" s="965"/>
      <c r="M168" s="965"/>
      <c r="N168" s="965"/>
      <c r="O168" s="965"/>
      <c r="P168" s="965"/>
      <c r="Q168" s="928"/>
      <c r="R168" s="928"/>
      <c r="S168" s="965"/>
      <c r="T168" s="819" cm="1" t="str">
        <f t="array" ref="T168:T168">T167</f>
        <v>true</v>
      </c>
      <c r="U168" s="1443"/>
      <c r="V168" s="1443"/>
      <c r="W168" s="1443"/>
      <c r="X168" s="1443"/>
      <c r="Y168" s="1443"/>
      <c r="Z168" s="1443"/>
      <c r="AA168" s="937"/>
      <c r="AB168" s="489" t="str">
        <f>AB155&amp;".8"</f>
        <v>3.8</v>
      </c>
      <c r="AC168" s="490" t="s">
        <v>1056</v>
      </c>
      <c r="AD168" s="489" t="s">
        <v>1023</v>
      </c>
      <c r="AE168" s="1665"/>
      <c r="AF168" s="1665"/>
      <c r="AG168" s="1665"/>
      <c r="AH168" s="1665"/>
      <c r="AI168" s="1665"/>
      <c r="AJ168" s="1665"/>
      <c r="AK168" s="1665"/>
      <c r="AL168" s="1665"/>
      <c r="AM168" s="1665"/>
      <c r="AN168" s="1665"/>
      <c r="AO168" s="1665"/>
      <c r="AP168" s="1665"/>
      <c r="AQ168" s="1665"/>
      <c r="AR168" s="1665"/>
      <c r="AS168" s="1665"/>
      <c r="AT168" s="1665"/>
      <c r="AU168" s="1665"/>
      <c r="AV168" s="1665"/>
      <c r="AW168" s="1665"/>
      <c r="AX168" s="1665"/>
      <c r="AY168" s="1665"/>
      <c r="AZ168" s="1665"/>
      <c r="BA168" s="1665"/>
      <c r="BB168" s="1665"/>
      <c r="BC168" s="1719"/>
      <c r="BD168" s="937"/>
      <c r="BE168" s="937"/>
      <c r="BF168" s="1173" t="s">
        <v>1087</v>
      </c>
    </row>
    <row s="217" customFormat="1" customHeight="1" ht="14.25">
      <c r="A169" s="217"/>
      <c r="B169" s="217"/>
      <c r="C169" s="217"/>
      <c r="D169" s="217"/>
      <c r="E169" s="797">
        <v>15</v>
      </c>
      <c r="F169" s="922" cm="1" t="str">
        <f t="array" ref="F169:F169">F168</f>
        <v>1</v>
      </c>
      <c r="G169" s="217"/>
      <c r="H169" s="217"/>
      <c r="I169" s="217"/>
      <c r="J169" s="217"/>
      <c r="K169" s="217"/>
      <c r="L169" s="217"/>
      <c r="M169" s="217"/>
      <c r="N169" s="217"/>
      <c r="O169" s="217"/>
      <c r="P169" s="217"/>
      <c r="Q169" s="217"/>
      <c r="R169" s="217"/>
      <c r="S169" s="217"/>
      <c r="T169" s="819" cm="1" t="str">
        <f t="array" ref="T169:T169">T168</f>
        <v>true</v>
      </c>
      <c r="U169" s="217"/>
      <c r="V169" s="217"/>
      <c r="W169" s="217"/>
      <c r="X169" s="217"/>
      <c r="Y169" s="217"/>
      <c r="Z169" s="217"/>
      <c r="AA169" s="217"/>
      <c r="AB169" s="280">
        <v>4</v>
      </c>
      <c r="AC169" s="281" t="s">
        <v>1088</v>
      </c>
      <c r="AD169" s="156" t="s">
        <v>810</v>
      </c>
      <c r="AE169" s="1880">
        <f>SUM(AE170:AE173)+SUM(AE179:AE182)</f>
        <v>0</v>
      </c>
      <c r="AF169" s="1880">
        <f>SUM(AF170:AF173)+SUM(AF179:AF182)</f>
        <v>0</v>
      </c>
      <c r="AG169" s="1880">
        <f>SUM(AG170:AG173)+SUM(AG179:AG182)</f>
        <v>0</v>
      </c>
      <c r="AH169" s="1880">
        <f>SUM(AH170:AH173)+SUM(AH179:AH182)</f>
        <v>0</v>
      </c>
      <c r="AI169" s="1880">
        <f>SUM(AI170:AI173)+SUM(AI179:AI182)</f>
        <v>0</v>
      </c>
      <c r="AJ169" s="1880">
        <f>SUM(AJ170:AJ173)+SUM(AJ179:AJ182)</f>
        <v>0</v>
      </c>
      <c r="AK169" s="1880">
        <f>SUM(AK170:AK173)+SUM(AK179:AK182)</f>
        <v>0</v>
      </c>
      <c r="AL169" s="1880">
        <f>SUM(AL170:AL173)+SUM(AL179:AL182)</f>
        <v>0</v>
      </c>
      <c r="AM169" s="1880">
        <f>SUM(AM170:AM173)+SUM(AM179:AM182)</f>
        <v>0</v>
      </c>
      <c r="AN169" s="1880">
        <f>SUM(AN170:AN173)+SUM(AN179:AN182)</f>
        <v>0</v>
      </c>
      <c r="AO169" s="1880">
        <f>SUM(AO170:AO173)+SUM(AO179:AO182)</f>
        <v>0</v>
      </c>
      <c r="AP169" s="1880">
        <f>SUM(AP170:AP173)+SUM(AP179:AP182)</f>
        <v>0</v>
      </c>
      <c r="AQ169" s="1880">
        <f>SUM(AQ170:AQ173)+SUM(AQ179:AQ182)</f>
        <v>0</v>
      </c>
      <c r="AR169" s="1880">
        <f>SUM(AR170:AR173)+SUM(AR179:AR182)</f>
        <v>0</v>
      </c>
      <c r="AS169" s="1880">
        <f>SUM(AS170:AS173)+SUM(AS179:AS182)</f>
        <v>0</v>
      </c>
      <c r="AT169" s="1880">
        <f>SUM(AT170:AT173)+SUM(AT179:AT182)</f>
        <v>0</v>
      </c>
      <c r="AU169" s="1880">
        <f>SUM(AU170:AU173)+SUM(AU179:AU182)</f>
        <v>0</v>
      </c>
      <c r="AV169" s="1880">
        <f>SUM(AV170:AV173)+SUM(AV179:AV182)</f>
        <v>0</v>
      </c>
      <c r="AW169" s="1880">
        <f>SUM(AW170:AW173)+SUM(AW179:AW182)</f>
        <v>0</v>
      </c>
      <c r="AX169" s="1880">
        <f>SUM(AX170:AX173)+SUM(AX179:AX182)</f>
        <v>0</v>
      </c>
      <c r="AY169" s="1880">
        <f>SUM(AY170:AY173)+SUM(AY179:AY182)</f>
        <v>0</v>
      </c>
      <c r="AZ169" s="1880">
        <f>SUM(AZ170:AZ173)+SUM(AZ179:AZ182)</f>
        <v>0</v>
      </c>
      <c r="BA169" s="1880">
        <f>SUM(BA170:BA173)+SUM(BA179:BA182)</f>
        <v>0</v>
      </c>
      <c r="BB169" s="1880">
        <f>SUM(BB170:BB173)+SUM(BB179:BB182)</f>
        <v>0</v>
      </c>
      <c r="BC169" s="1719"/>
      <c r="BD169" s="217"/>
      <c r="BE169" s="217"/>
      <c r="BF169" s="1173" t="s">
        <v>1089</v>
      </c>
    </row>
    <row s="1632" customFormat="1" customHeight="1" ht="14.25">
      <c r="A170" s="1443"/>
      <c r="B170" s="927"/>
      <c r="C170" s="1443"/>
      <c r="D170" s="1443"/>
      <c r="E170" s="797">
        <v>15</v>
      </c>
      <c r="F170" s="922" cm="1" t="str">
        <f t="array" ref="F170:F170">F169</f>
        <v>1</v>
      </c>
      <c r="G170" s="965"/>
      <c r="H170" s="965"/>
      <c r="I170" s="965"/>
      <c r="J170" s="965"/>
      <c r="K170" s="965"/>
      <c r="L170" s="965"/>
      <c r="M170" s="965"/>
      <c r="N170" s="965"/>
      <c r="O170" s="965"/>
      <c r="P170" s="965"/>
      <c r="Q170" s="928"/>
      <c r="R170" s="928"/>
      <c r="S170" s="965"/>
      <c r="T170" s="819" cm="1" t="str">
        <f t="array" ref="T170:T170">T169</f>
        <v>true</v>
      </c>
      <c r="U170" s="1443"/>
      <c r="V170" s="1443"/>
      <c r="W170" s="1443"/>
      <c r="X170" s="1443"/>
      <c r="Y170" s="1443"/>
      <c r="Z170" s="1443"/>
      <c r="AA170" s="937"/>
      <c r="AB170" s="489" t="str">
        <f>AB169&amp;".1"</f>
        <v>4.1</v>
      </c>
      <c r="AC170" s="490" t="s">
        <v>1022</v>
      </c>
      <c r="AD170" s="489" t="s">
        <v>1023</v>
      </c>
      <c r="AE170" s="1665"/>
      <c r="AF170" s="1665"/>
      <c r="AG170" s="1665"/>
      <c r="AH170" s="1665"/>
      <c r="AI170" s="1665"/>
      <c r="AJ170" s="1665"/>
      <c r="AK170" s="1665"/>
      <c r="AL170" s="1665"/>
      <c r="AM170" s="1665"/>
      <c r="AN170" s="1665"/>
      <c r="AO170" s="1665"/>
      <c r="AP170" s="1665"/>
      <c r="AQ170" s="1665"/>
      <c r="AR170" s="1665"/>
      <c r="AS170" s="1665"/>
      <c r="AT170" s="1665"/>
      <c r="AU170" s="1665"/>
      <c r="AV170" s="1665"/>
      <c r="AW170" s="1665"/>
      <c r="AX170" s="1665"/>
      <c r="AY170" s="1665"/>
      <c r="AZ170" s="1665"/>
      <c r="BA170" s="1665"/>
      <c r="BB170" s="1665"/>
      <c r="BC170" s="1719"/>
      <c r="BD170" s="937"/>
      <c r="BE170" s="937"/>
      <c r="BF170" s="1173" t="s">
        <v>1090</v>
      </c>
    </row>
    <row s="1632" customFormat="1" customHeight="1" ht="14.25">
      <c r="A171" s="1443"/>
      <c r="B171" s="927"/>
      <c r="C171" s="1443"/>
      <c r="D171" s="1443"/>
      <c r="E171" s="797">
        <v>15</v>
      </c>
      <c r="F171" s="922" cm="1" t="str">
        <f t="array" ref="F171:F171">F170</f>
        <v>1</v>
      </c>
      <c r="G171" s="965"/>
      <c r="H171" s="965"/>
      <c r="I171" s="965"/>
      <c r="J171" s="965"/>
      <c r="K171" s="965"/>
      <c r="L171" s="965"/>
      <c r="M171" s="965"/>
      <c r="N171" s="965"/>
      <c r="O171" s="965"/>
      <c r="P171" s="965"/>
      <c r="Q171" s="928"/>
      <c r="R171" s="928"/>
      <c r="S171" s="965"/>
      <c r="T171" s="819" cm="1" t="str">
        <f t="array" ref="T171:T171">T170</f>
        <v>true</v>
      </c>
      <c r="U171" s="1443"/>
      <c r="V171" s="1443"/>
      <c r="W171" s="1443"/>
      <c r="X171" s="1443"/>
      <c r="Y171" s="1443"/>
      <c r="Z171" s="1443"/>
      <c r="AA171" s="937"/>
      <c r="AB171" s="489" t="str">
        <f>AB169&amp;".2"</f>
        <v>4.2</v>
      </c>
      <c r="AC171" s="490" t="s">
        <v>1025</v>
      </c>
      <c r="AD171" s="489" t="s">
        <v>1023</v>
      </c>
      <c r="AE171" s="1665"/>
      <c r="AF171" s="1665"/>
      <c r="AG171" s="1665"/>
      <c r="AH171" s="1665"/>
      <c r="AI171" s="1665"/>
      <c r="AJ171" s="1665"/>
      <c r="AK171" s="1665"/>
      <c r="AL171" s="1665"/>
      <c r="AM171" s="1665"/>
      <c r="AN171" s="1665"/>
      <c r="AO171" s="1665"/>
      <c r="AP171" s="1665"/>
      <c r="AQ171" s="1665"/>
      <c r="AR171" s="1665"/>
      <c r="AS171" s="1665"/>
      <c r="AT171" s="1665"/>
      <c r="AU171" s="1665"/>
      <c r="AV171" s="1665"/>
      <c r="AW171" s="1665"/>
      <c r="AX171" s="1665"/>
      <c r="AY171" s="1665"/>
      <c r="AZ171" s="1665"/>
      <c r="BA171" s="1665"/>
      <c r="BB171" s="1665"/>
      <c r="BC171" s="1719"/>
      <c r="BD171" s="937"/>
      <c r="BE171" s="937"/>
      <c r="BF171" s="1173" t="s">
        <v>1091</v>
      </c>
    </row>
    <row s="1632" customFormat="1" customHeight="1" ht="14.25">
      <c r="A172" s="1443"/>
      <c r="B172" s="927"/>
      <c r="C172" s="1443"/>
      <c r="D172" s="1443"/>
      <c r="E172" s="797">
        <v>15</v>
      </c>
      <c r="F172" s="922" cm="1" t="str">
        <f t="array" ref="F172:F172">F171</f>
        <v>1</v>
      </c>
      <c r="G172" s="965"/>
      <c r="H172" s="965"/>
      <c r="I172" s="965"/>
      <c r="J172" s="965"/>
      <c r="K172" s="965"/>
      <c r="L172" s="965"/>
      <c r="M172" s="965"/>
      <c r="N172" s="965"/>
      <c r="O172" s="965"/>
      <c r="P172" s="965"/>
      <c r="Q172" s="928"/>
      <c r="R172" s="928"/>
      <c r="S172" s="965"/>
      <c r="T172" s="819" cm="1" t="str">
        <f t="array" ref="T172:T172">T171</f>
        <v>true</v>
      </c>
      <c r="U172" s="1443"/>
      <c r="V172" s="1443"/>
      <c r="W172" s="1443"/>
      <c r="X172" s="1443"/>
      <c r="Y172" s="1443"/>
      <c r="Z172" s="1443"/>
      <c r="AA172" s="937"/>
      <c r="AB172" s="489" t="str">
        <f>AB169&amp;".3"</f>
        <v>4.3</v>
      </c>
      <c r="AC172" s="490" t="s">
        <v>1027</v>
      </c>
      <c r="AD172" s="489" t="s">
        <v>1023</v>
      </c>
      <c r="AE172" s="1665"/>
      <c r="AF172" s="1665"/>
      <c r="AG172" s="1665"/>
      <c r="AH172" s="1665"/>
      <c r="AI172" s="1665"/>
      <c r="AJ172" s="1665"/>
      <c r="AK172" s="1665"/>
      <c r="AL172" s="1665"/>
      <c r="AM172" s="1665"/>
      <c r="AN172" s="1665"/>
      <c r="AO172" s="1665"/>
      <c r="AP172" s="1665"/>
      <c r="AQ172" s="1665"/>
      <c r="AR172" s="1665"/>
      <c r="AS172" s="1665"/>
      <c r="AT172" s="1665"/>
      <c r="AU172" s="1665"/>
      <c r="AV172" s="1665"/>
      <c r="AW172" s="1665"/>
      <c r="AX172" s="1665"/>
      <c r="AY172" s="1665"/>
      <c r="AZ172" s="1665"/>
      <c r="BA172" s="1665"/>
      <c r="BB172" s="1665"/>
      <c r="BC172" s="1719"/>
      <c r="BD172" s="937"/>
      <c r="BE172" s="937"/>
      <c r="BF172" s="1173" t="s">
        <v>1092</v>
      </c>
    </row>
    <row s="1632" customFormat="1" customHeight="1" ht="14.25">
      <c r="A173" s="1443"/>
      <c r="B173" s="927"/>
      <c r="C173" s="1443"/>
      <c r="D173" s="1443"/>
      <c r="E173" s="797">
        <v>15</v>
      </c>
      <c r="F173" s="922" cm="1" t="str">
        <f t="array" ref="F173:F173">F172</f>
        <v>1</v>
      </c>
      <c r="G173" s="965"/>
      <c r="H173" s="965"/>
      <c r="I173" s="965"/>
      <c r="J173" s="965"/>
      <c r="K173" s="965"/>
      <c r="L173" s="965"/>
      <c r="M173" s="965"/>
      <c r="N173" s="965"/>
      <c r="O173" s="965"/>
      <c r="P173" s="965"/>
      <c r="Q173" s="928"/>
      <c r="R173" s="928"/>
      <c r="S173" s="965"/>
      <c r="T173" s="819" cm="1" t="str">
        <f t="array" ref="T173:T173">T172</f>
        <v>true</v>
      </c>
      <c r="U173" s="1443"/>
      <c r="V173" s="1443"/>
      <c r="W173" s="1443"/>
      <c r="X173" s="1443"/>
      <c r="Y173" s="1443"/>
      <c r="Z173" s="1443"/>
      <c r="AA173" s="937"/>
      <c r="AB173" s="489" t="str">
        <f>AB169&amp;".4"</f>
        <v>4.4</v>
      </c>
      <c r="AC173" s="490" t="s">
        <v>1029</v>
      </c>
      <c r="AD173" s="489" t="s">
        <v>1023</v>
      </c>
      <c r="AE173" s="1731">
        <f>SUM(AE174:AE178)</f>
        <v>0</v>
      </c>
      <c r="AF173" s="1731">
        <f>SUM(AF174:AF178)</f>
        <v>0</v>
      </c>
      <c r="AG173" s="1731">
        <f>SUM(AG174:AG178)</f>
        <v>0</v>
      </c>
      <c r="AH173" s="1731">
        <f>SUM(AH174:AH178)</f>
        <v>0</v>
      </c>
      <c r="AI173" s="1731">
        <f>SUM(AI174:AI178)</f>
        <v>0</v>
      </c>
      <c r="AJ173" s="1731">
        <f>SUM(AJ174:AJ178)</f>
        <v>0</v>
      </c>
      <c r="AK173" s="1731">
        <f>SUM(AK174:AK178)</f>
        <v>0</v>
      </c>
      <c r="AL173" s="1731">
        <f>SUM(AL174:AL178)</f>
        <v>0</v>
      </c>
      <c r="AM173" s="1731">
        <f>SUM(AM174:AM178)</f>
        <v>0</v>
      </c>
      <c r="AN173" s="1731">
        <f>SUM(AN174:AN178)</f>
        <v>0</v>
      </c>
      <c r="AO173" s="1731">
        <f>SUM(AO174:AO178)</f>
        <v>0</v>
      </c>
      <c r="AP173" s="1731">
        <f>SUM(AP174:AP178)</f>
        <v>0</v>
      </c>
      <c r="AQ173" s="1731">
        <f>SUM(AQ174:AQ178)</f>
        <v>0</v>
      </c>
      <c r="AR173" s="1731">
        <f>SUM(AR174:AR178)</f>
        <v>0</v>
      </c>
      <c r="AS173" s="1731">
        <f>SUM(AS174:AS178)</f>
        <v>0</v>
      </c>
      <c r="AT173" s="1731">
        <f>SUM(AT174:AT178)</f>
        <v>0</v>
      </c>
      <c r="AU173" s="1731">
        <f>SUM(AU174:AU178)</f>
        <v>0</v>
      </c>
      <c r="AV173" s="1731">
        <f>SUM(AV174:AV178)</f>
        <v>0</v>
      </c>
      <c r="AW173" s="1731">
        <f>SUM(AW174:AW178)</f>
        <v>0</v>
      </c>
      <c r="AX173" s="1731">
        <f>SUM(AX174:AX178)</f>
        <v>0</v>
      </c>
      <c r="AY173" s="1731">
        <f>SUM(AY174:AY178)</f>
        <v>0</v>
      </c>
      <c r="AZ173" s="1731">
        <f>SUM(AZ174:AZ178)</f>
        <v>0</v>
      </c>
      <c r="BA173" s="1731">
        <f>SUM(BA174:BA178)</f>
        <v>0</v>
      </c>
      <c r="BB173" s="1731">
        <f>SUM(BB174:BB178)</f>
        <v>0</v>
      </c>
      <c r="BC173" s="1719"/>
      <c r="BD173" s="937"/>
      <c r="BE173" s="937"/>
      <c r="BF173" s="1173" t="s">
        <v>1093</v>
      </c>
    </row>
    <row s="1632" customFormat="1" customHeight="1" ht="14.25">
      <c r="A174" s="1443"/>
      <c r="B174" s="927"/>
      <c r="C174" s="1443"/>
      <c r="D174" s="1443"/>
      <c r="E174" s="797">
        <v>15</v>
      </c>
      <c r="F174" s="922" cm="1" t="str">
        <f t="array" ref="F174:F174">F173</f>
        <v>1</v>
      </c>
      <c r="G174" s="965"/>
      <c r="H174" s="965"/>
      <c r="I174" s="965"/>
      <c r="J174" s="965"/>
      <c r="K174" s="965"/>
      <c r="L174" s="965"/>
      <c r="M174" s="965"/>
      <c r="N174" s="965"/>
      <c r="O174" s="965"/>
      <c r="P174" s="965"/>
      <c r="Q174" s="928"/>
      <c r="R174" s="928"/>
      <c r="S174" s="965"/>
      <c r="T174" s="819" cm="1" t="str">
        <f t="array" ref="T174:T174">T173</f>
        <v>true</v>
      </c>
      <c r="U174" s="1443"/>
      <c r="V174" s="1443"/>
      <c r="W174" s="1443"/>
      <c r="X174" s="1443"/>
      <c r="Y174" s="1443"/>
      <c r="Z174" s="1443"/>
      <c r="AA174" s="937"/>
      <c r="AB174" s="489" t="str">
        <f>AB173&amp;".1"</f>
        <v>4.4.1</v>
      </c>
      <c r="AC174" s="491" t="s">
        <v>1032</v>
      </c>
      <c r="AD174" s="489" t="s">
        <v>1023</v>
      </c>
      <c r="AE174" s="1665"/>
      <c r="AF174" s="1665"/>
      <c r="AG174" s="1665"/>
      <c r="AH174" s="1665"/>
      <c r="AI174" s="1665"/>
      <c r="AJ174" s="1665"/>
      <c r="AK174" s="1665"/>
      <c r="AL174" s="1665"/>
      <c r="AM174" s="1665"/>
      <c r="AN174" s="1665"/>
      <c r="AO174" s="1665"/>
      <c r="AP174" s="1665"/>
      <c r="AQ174" s="1665"/>
      <c r="AR174" s="1665"/>
      <c r="AS174" s="1665"/>
      <c r="AT174" s="1665"/>
      <c r="AU174" s="1665"/>
      <c r="AV174" s="1665"/>
      <c r="AW174" s="1665"/>
      <c r="AX174" s="1665"/>
      <c r="AY174" s="1665"/>
      <c r="AZ174" s="1665"/>
      <c r="BA174" s="1665"/>
      <c r="BB174" s="1665"/>
      <c r="BC174" s="1719"/>
      <c r="BD174" s="937"/>
      <c r="BE174" s="937"/>
      <c r="BF174" s="1173" t="s">
        <v>1094</v>
      </c>
    </row>
    <row s="1632" customFormat="1" customHeight="1" ht="14.25">
      <c r="A175" s="1443"/>
      <c r="B175" s="927"/>
      <c r="C175" s="1443"/>
      <c r="D175" s="1443"/>
      <c r="E175" s="797">
        <v>15</v>
      </c>
      <c r="F175" s="922" cm="1" t="str">
        <f t="array" ref="F175:F175">F174</f>
        <v>1</v>
      </c>
      <c r="G175" s="965"/>
      <c r="H175" s="965"/>
      <c r="I175" s="965"/>
      <c r="J175" s="965"/>
      <c r="K175" s="965"/>
      <c r="L175" s="965"/>
      <c r="M175" s="965"/>
      <c r="N175" s="965"/>
      <c r="O175" s="965"/>
      <c r="P175" s="965"/>
      <c r="Q175" s="928"/>
      <c r="R175" s="928"/>
      <c r="S175" s="965"/>
      <c r="T175" s="819" cm="1" t="str">
        <f t="array" ref="T175:T175">T174</f>
        <v>true</v>
      </c>
      <c r="U175" s="1443"/>
      <c r="V175" s="1443"/>
      <c r="W175" s="1443"/>
      <c r="X175" s="1443"/>
      <c r="Y175" s="1443"/>
      <c r="Z175" s="1443"/>
      <c r="AA175" s="937"/>
      <c r="AB175" s="489" t="str">
        <f>AB173&amp;".2"</f>
        <v>4.4.2</v>
      </c>
      <c r="AC175" s="491" t="s">
        <v>1035</v>
      </c>
      <c r="AD175" s="489" t="s">
        <v>1023</v>
      </c>
      <c r="AE175" s="1665"/>
      <c r="AF175" s="1665"/>
      <c r="AG175" s="1665"/>
      <c r="AH175" s="1665"/>
      <c r="AI175" s="1665"/>
      <c r="AJ175" s="1665"/>
      <c r="AK175" s="1665"/>
      <c r="AL175" s="1665"/>
      <c r="AM175" s="1665"/>
      <c r="AN175" s="1665"/>
      <c r="AO175" s="1665"/>
      <c r="AP175" s="1665"/>
      <c r="AQ175" s="1665"/>
      <c r="AR175" s="1665"/>
      <c r="AS175" s="1665"/>
      <c r="AT175" s="1665"/>
      <c r="AU175" s="1665"/>
      <c r="AV175" s="1665"/>
      <c r="AW175" s="1665"/>
      <c r="AX175" s="1665"/>
      <c r="AY175" s="1665"/>
      <c r="AZ175" s="1665"/>
      <c r="BA175" s="1665"/>
      <c r="BB175" s="1665"/>
      <c r="BC175" s="1719"/>
      <c r="BD175" s="937"/>
      <c r="BE175" s="937"/>
      <c r="BF175" s="1173" t="s">
        <v>1095</v>
      </c>
    </row>
    <row s="1632" customFormat="1" customHeight="1" ht="14.25">
      <c r="A176" s="1443"/>
      <c r="B176" s="927"/>
      <c r="C176" s="1443"/>
      <c r="D176" s="1443"/>
      <c r="E176" s="797">
        <v>15</v>
      </c>
      <c r="F176" s="922" cm="1" t="str">
        <f t="array" ref="F176:F176">F175</f>
        <v>1</v>
      </c>
      <c r="G176" s="965"/>
      <c r="H176" s="965"/>
      <c r="I176" s="965"/>
      <c r="J176" s="965"/>
      <c r="K176" s="965"/>
      <c r="L176" s="965"/>
      <c r="M176" s="965"/>
      <c r="N176" s="965"/>
      <c r="O176" s="965"/>
      <c r="P176" s="965"/>
      <c r="Q176" s="928"/>
      <c r="R176" s="928"/>
      <c r="S176" s="965"/>
      <c r="T176" s="819" cm="1" t="str">
        <f t="array" ref="T176:T176">T175</f>
        <v>true</v>
      </c>
      <c r="U176" s="1443"/>
      <c r="V176" s="1443"/>
      <c r="W176" s="1443"/>
      <c r="X176" s="1443"/>
      <c r="Y176" s="1443"/>
      <c r="Z176" s="1443"/>
      <c r="AA176" s="937"/>
      <c r="AB176" s="489" t="str">
        <f>AB173&amp;".3"</f>
        <v>4.4.3</v>
      </c>
      <c r="AC176" s="491" t="s">
        <v>1038</v>
      </c>
      <c r="AD176" s="489" t="s">
        <v>1023</v>
      </c>
      <c r="AE176" s="1665"/>
      <c r="AF176" s="1665"/>
      <c r="AG176" s="1665"/>
      <c r="AH176" s="1665"/>
      <c r="AI176" s="1665"/>
      <c r="AJ176" s="1665"/>
      <c r="AK176" s="1665"/>
      <c r="AL176" s="1665"/>
      <c r="AM176" s="1665"/>
      <c r="AN176" s="1665"/>
      <c r="AO176" s="1665"/>
      <c r="AP176" s="1665"/>
      <c r="AQ176" s="1665"/>
      <c r="AR176" s="1665"/>
      <c r="AS176" s="1665"/>
      <c r="AT176" s="1665"/>
      <c r="AU176" s="1665"/>
      <c r="AV176" s="1665"/>
      <c r="AW176" s="1665"/>
      <c r="AX176" s="1665"/>
      <c r="AY176" s="1665"/>
      <c r="AZ176" s="1665"/>
      <c r="BA176" s="1665"/>
      <c r="BB176" s="1665"/>
      <c r="BC176" s="1719"/>
      <c r="BD176" s="937"/>
      <c r="BE176" s="937"/>
      <c r="BF176" s="1173" t="s">
        <v>1096</v>
      </c>
    </row>
    <row s="1632" customFormat="1" customHeight="1" ht="14.25">
      <c r="A177" s="1443"/>
      <c r="B177" s="927"/>
      <c r="C177" s="1443"/>
      <c r="D177" s="1443"/>
      <c r="E177" s="797">
        <v>15</v>
      </c>
      <c r="F177" s="922" cm="1" t="str">
        <f t="array" ref="F177:F177">F176</f>
        <v>1</v>
      </c>
      <c r="G177" s="965"/>
      <c r="H177" s="965"/>
      <c r="I177" s="965"/>
      <c r="J177" s="965"/>
      <c r="K177" s="965"/>
      <c r="L177" s="965"/>
      <c r="M177" s="965"/>
      <c r="N177" s="965"/>
      <c r="O177" s="965"/>
      <c r="P177" s="965"/>
      <c r="Q177" s="928"/>
      <c r="R177" s="928"/>
      <c r="S177" s="965"/>
      <c r="T177" s="819" cm="1" t="str">
        <f t="array" ref="T177:T177">T176</f>
        <v>true</v>
      </c>
      <c r="U177" s="1443"/>
      <c r="V177" s="1443"/>
      <c r="W177" s="1443"/>
      <c r="X177" s="1443"/>
      <c r="Y177" s="1443"/>
      <c r="Z177" s="1443"/>
      <c r="AA177" s="937"/>
      <c r="AB177" s="489" t="str">
        <f>AB173&amp;".4"</f>
        <v>4.4.4</v>
      </c>
      <c r="AC177" s="491" t="s">
        <v>1041</v>
      </c>
      <c r="AD177" s="489" t="s">
        <v>1023</v>
      </c>
      <c r="AE177" s="1665"/>
      <c r="AF177" s="1665"/>
      <c r="AG177" s="1665"/>
      <c r="AH177" s="1665"/>
      <c r="AI177" s="1665"/>
      <c r="AJ177" s="1665"/>
      <c r="AK177" s="1665"/>
      <c r="AL177" s="1665"/>
      <c r="AM177" s="1665"/>
      <c r="AN177" s="1665"/>
      <c r="AO177" s="1665"/>
      <c r="AP177" s="1665"/>
      <c r="AQ177" s="1665"/>
      <c r="AR177" s="1665"/>
      <c r="AS177" s="1665"/>
      <c r="AT177" s="1665"/>
      <c r="AU177" s="1665"/>
      <c r="AV177" s="1665"/>
      <c r="AW177" s="1665"/>
      <c r="AX177" s="1665"/>
      <c r="AY177" s="1665"/>
      <c r="AZ177" s="1665"/>
      <c r="BA177" s="1665"/>
      <c r="BB177" s="1665"/>
      <c r="BC177" s="1719"/>
      <c r="BD177" s="937"/>
      <c r="BE177" s="937"/>
      <c r="BF177" s="1173" t="s">
        <v>1097</v>
      </c>
    </row>
    <row s="1632" customFormat="1" customHeight="1" ht="14.25">
      <c r="A178" s="1443"/>
      <c r="B178" s="927"/>
      <c r="C178" s="1443"/>
      <c r="D178" s="1443"/>
      <c r="E178" s="797">
        <v>15</v>
      </c>
      <c r="F178" s="922" cm="1" t="str">
        <f t="array" ref="F178:F178">F177</f>
        <v>1</v>
      </c>
      <c r="G178" s="965"/>
      <c r="H178" s="965"/>
      <c r="I178" s="965"/>
      <c r="J178" s="965"/>
      <c r="K178" s="965"/>
      <c r="L178" s="965"/>
      <c r="M178" s="965"/>
      <c r="N178" s="965"/>
      <c r="O178" s="965"/>
      <c r="P178" s="965"/>
      <c r="Q178" s="928"/>
      <c r="R178" s="928"/>
      <c r="S178" s="965"/>
      <c r="T178" s="819" cm="1" t="str">
        <f t="array" ref="T178:T178">T177</f>
        <v>true</v>
      </c>
      <c r="U178" s="1443"/>
      <c r="V178" s="1443"/>
      <c r="W178" s="1443"/>
      <c r="X178" s="1443"/>
      <c r="Y178" s="1443"/>
      <c r="Z178" s="1443"/>
      <c r="AA178" s="937"/>
      <c r="AB178" s="489" t="str">
        <f>AB173&amp;".5"</f>
        <v>4.4.5</v>
      </c>
      <c r="AC178" s="491" t="s">
        <v>1044</v>
      </c>
      <c r="AD178" s="489" t="s">
        <v>1023</v>
      </c>
      <c r="AE178" s="1665"/>
      <c r="AF178" s="1665"/>
      <c r="AG178" s="1665"/>
      <c r="AH178" s="1665"/>
      <c r="AI178" s="1665"/>
      <c r="AJ178" s="1665"/>
      <c r="AK178" s="1665"/>
      <c r="AL178" s="1665"/>
      <c r="AM178" s="1665"/>
      <c r="AN178" s="1665"/>
      <c r="AO178" s="1665"/>
      <c r="AP178" s="1665"/>
      <c r="AQ178" s="1665"/>
      <c r="AR178" s="1665"/>
      <c r="AS178" s="1665"/>
      <c r="AT178" s="1665"/>
      <c r="AU178" s="1665"/>
      <c r="AV178" s="1665"/>
      <c r="AW178" s="1665"/>
      <c r="AX178" s="1665"/>
      <c r="AY178" s="1665"/>
      <c r="AZ178" s="1665"/>
      <c r="BA178" s="1665"/>
      <c r="BB178" s="1665"/>
      <c r="BC178" s="1719"/>
      <c r="BD178" s="937"/>
      <c r="BE178" s="937"/>
      <c r="BF178" s="1173" t="s">
        <v>1098</v>
      </c>
    </row>
    <row s="1632" customFormat="1" customHeight="1" ht="14.25">
      <c r="A179" s="1443"/>
      <c r="B179" s="927"/>
      <c r="C179" s="1443"/>
      <c r="D179" s="1443"/>
      <c r="E179" s="797">
        <v>15</v>
      </c>
      <c r="F179" s="922" cm="1" t="str">
        <f t="array" ref="F179:F179">F178</f>
        <v>1</v>
      </c>
      <c r="G179" s="965"/>
      <c r="H179" s="965"/>
      <c r="I179" s="965"/>
      <c r="J179" s="965"/>
      <c r="K179" s="965"/>
      <c r="L179" s="965"/>
      <c r="M179" s="965"/>
      <c r="N179" s="965"/>
      <c r="O179" s="965"/>
      <c r="P179" s="965"/>
      <c r="Q179" s="928"/>
      <c r="R179" s="928"/>
      <c r="S179" s="965"/>
      <c r="T179" s="819" cm="1" t="str">
        <f t="array" ref="T179:T179">T178</f>
        <v>true</v>
      </c>
      <c r="U179" s="1443"/>
      <c r="V179" s="1443"/>
      <c r="W179" s="1443"/>
      <c r="X179" s="1443"/>
      <c r="Y179" s="1443"/>
      <c r="Z179" s="1443"/>
      <c r="AA179" s="937"/>
      <c r="AB179" s="489" t="str">
        <f>AB169&amp;".5"</f>
        <v>4.5</v>
      </c>
      <c r="AC179" s="490" t="s">
        <v>1047</v>
      </c>
      <c r="AD179" s="489" t="s">
        <v>1023</v>
      </c>
      <c r="AE179" s="1665"/>
      <c r="AF179" s="1665"/>
      <c r="AG179" s="1665"/>
      <c r="AH179" s="1665"/>
      <c r="AI179" s="1665"/>
      <c r="AJ179" s="1665"/>
      <c r="AK179" s="1665"/>
      <c r="AL179" s="1665"/>
      <c r="AM179" s="1665"/>
      <c r="AN179" s="1665"/>
      <c r="AO179" s="1665"/>
      <c r="AP179" s="1665"/>
      <c r="AQ179" s="1665"/>
      <c r="AR179" s="1665"/>
      <c r="AS179" s="1665"/>
      <c r="AT179" s="1665"/>
      <c r="AU179" s="1665"/>
      <c r="AV179" s="1665"/>
      <c r="AW179" s="1665"/>
      <c r="AX179" s="1665"/>
      <c r="AY179" s="1665"/>
      <c r="AZ179" s="1665"/>
      <c r="BA179" s="1665"/>
      <c r="BB179" s="1665"/>
      <c r="BC179" s="1719"/>
      <c r="BD179" s="937"/>
      <c r="BE179" s="937"/>
      <c r="BF179" s="1173" t="s">
        <v>1099</v>
      </c>
    </row>
    <row s="1632" customFormat="1" customHeight="1" ht="14.25">
      <c r="A180" s="1443"/>
      <c r="B180" s="927"/>
      <c r="C180" s="1443"/>
      <c r="D180" s="1443"/>
      <c r="E180" s="797">
        <v>15</v>
      </c>
      <c r="F180" s="922" cm="1" t="str">
        <f t="array" ref="F180:F180">F179</f>
        <v>1</v>
      </c>
      <c r="G180" s="965"/>
      <c r="H180" s="965"/>
      <c r="I180" s="965"/>
      <c r="J180" s="965"/>
      <c r="K180" s="965"/>
      <c r="L180" s="965"/>
      <c r="M180" s="965"/>
      <c r="N180" s="965"/>
      <c r="O180" s="965"/>
      <c r="P180" s="965"/>
      <c r="Q180" s="928"/>
      <c r="R180" s="928"/>
      <c r="S180" s="965"/>
      <c r="T180" s="819" cm="1" t="str">
        <f t="array" ref="T180:T180">T179</f>
        <v>true</v>
      </c>
      <c r="U180" s="1443"/>
      <c r="V180" s="1443"/>
      <c r="W180" s="1443"/>
      <c r="X180" s="1443"/>
      <c r="Y180" s="1443"/>
      <c r="Z180" s="1443"/>
      <c r="AA180" s="937"/>
      <c r="AB180" s="489" t="str">
        <f>AB169&amp;".6"</f>
        <v>4.6</v>
      </c>
      <c r="AC180" s="490" t="s">
        <v>1050</v>
      </c>
      <c r="AD180" s="489" t="s">
        <v>1023</v>
      </c>
      <c r="AE180" s="1665"/>
      <c r="AF180" s="1665"/>
      <c r="AG180" s="1665"/>
      <c r="AH180" s="1665"/>
      <c r="AI180" s="1665"/>
      <c r="AJ180" s="1665"/>
      <c r="AK180" s="1665"/>
      <c r="AL180" s="1665"/>
      <c r="AM180" s="1665"/>
      <c r="AN180" s="1665"/>
      <c r="AO180" s="1665"/>
      <c r="AP180" s="1665"/>
      <c r="AQ180" s="1665"/>
      <c r="AR180" s="1665"/>
      <c r="AS180" s="1665"/>
      <c r="AT180" s="1665"/>
      <c r="AU180" s="1665"/>
      <c r="AV180" s="1665"/>
      <c r="AW180" s="1665"/>
      <c r="AX180" s="1665"/>
      <c r="AY180" s="1665"/>
      <c r="AZ180" s="1665"/>
      <c r="BA180" s="1665"/>
      <c r="BB180" s="1665"/>
      <c r="BC180" s="1719"/>
      <c r="BD180" s="937"/>
      <c r="BE180" s="937"/>
      <c r="BF180" s="1173" t="s">
        <v>1100</v>
      </c>
    </row>
    <row s="1632" customFormat="1" customHeight="1" ht="14.25">
      <c r="A181" s="1443"/>
      <c r="B181" s="927"/>
      <c r="C181" s="1443"/>
      <c r="D181" s="1443"/>
      <c r="E181" s="797">
        <v>15</v>
      </c>
      <c r="F181" s="922" cm="1" t="str">
        <f t="array" ref="F181:F181">F180</f>
        <v>1</v>
      </c>
      <c r="G181" s="965"/>
      <c r="H181" s="965"/>
      <c r="I181" s="965"/>
      <c r="J181" s="965"/>
      <c r="K181" s="965"/>
      <c r="L181" s="965"/>
      <c r="M181" s="965"/>
      <c r="N181" s="965"/>
      <c r="O181" s="965"/>
      <c r="P181" s="965"/>
      <c r="Q181" s="928"/>
      <c r="R181" s="928"/>
      <c r="S181" s="965"/>
      <c r="T181" s="819" cm="1" t="str">
        <f t="array" ref="T181:T181">T180</f>
        <v>true</v>
      </c>
      <c r="U181" s="1443"/>
      <c r="V181" s="1443"/>
      <c r="W181" s="1443"/>
      <c r="X181" s="1443"/>
      <c r="Y181" s="1443"/>
      <c r="Z181" s="1443"/>
      <c r="AA181" s="937"/>
      <c r="AB181" s="489" t="str">
        <f>AB169&amp;".7"</f>
        <v>4.7</v>
      </c>
      <c r="AC181" s="490" t="s">
        <v>1053</v>
      </c>
      <c r="AD181" s="489" t="s">
        <v>1023</v>
      </c>
      <c r="AE181" s="1665"/>
      <c r="AF181" s="1665"/>
      <c r="AG181" s="1665"/>
      <c r="AH181" s="1665"/>
      <c r="AI181" s="1665"/>
      <c r="AJ181" s="1665"/>
      <c r="AK181" s="1665"/>
      <c r="AL181" s="1665"/>
      <c r="AM181" s="1665"/>
      <c r="AN181" s="1665"/>
      <c r="AO181" s="1665"/>
      <c r="AP181" s="1665"/>
      <c r="AQ181" s="1665"/>
      <c r="AR181" s="1665"/>
      <c r="AS181" s="1665"/>
      <c r="AT181" s="1665"/>
      <c r="AU181" s="1665"/>
      <c r="AV181" s="1665"/>
      <c r="AW181" s="1665"/>
      <c r="AX181" s="1665"/>
      <c r="AY181" s="1665"/>
      <c r="AZ181" s="1665"/>
      <c r="BA181" s="1665"/>
      <c r="BB181" s="1665"/>
      <c r="BC181" s="1719"/>
      <c r="BD181" s="937"/>
      <c r="BE181" s="937"/>
      <c r="BF181" s="1173" t="s">
        <v>1101</v>
      </c>
    </row>
    <row s="1632" customFormat="1" customHeight="1" ht="14.25">
      <c r="A182" s="1443"/>
      <c r="B182" s="927"/>
      <c r="C182" s="1443"/>
      <c r="D182" s="1443"/>
      <c r="E182" s="797">
        <v>15</v>
      </c>
      <c r="F182" s="922" cm="1" t="str">
        <f t="array" ref="F182:F182">F181</f>
        <v>1</v>
      </c>
      <c r="G182" s="965"/>
      <c r="H182" s="965"/>
      <c r="I182" s="965"/>
      <c r="J182" s="965"/>
      <c r="K182" s="965"/>
      <c r="L182" s="965"/>
      <c r="M182" s="965"/>
      <c r="N182" s="965"/>
      <c r="O182" s="965"/>
      <c r="P182" s="965"/>
      <c r="Q182" s="928"/>
      <c r="R182" s="928"/>
      <c r="S182" s="965"/>
      <c r="T182" s="819" cm="1" t="str">
        <f t="array" ref="T182:T182">T181</f>
        <v>true</v>
      </c>
      <c r="U182" s="1443"/>
      <c r="V182" s="1443"/>
      <c r="W182" s="1443"/>
      <c r="X182" s="1443"/>
      <c r="Y182" s="1443"/>
      <c r="Z182" s="1443"/>
      <c r="AA182" s="937"/>
      <c r="AB182" s="489" t="str">
        <f>AB169&amp;".8"</f>
        <v>4.8</v>
      </c>
      <c r="AC182" s="490" t="s">
        <v>1056</v>
      </c>
      <c r="AD182" s="489" t="s">
        <v>1023</v>
      </c>
      <c r="AE182" s="1665"/>
      <c r="AF182" s="1665"/>
      <c r="AG182" s="1665"/>
      <c r="AH182" s="1665"/>
      <c r="AI182" s="1665"/>
      <c r="AJ182" s="1665"/>
      <c r="AK182" s="1665"/>
      <c r="AL182" s="1665"/>
      <c r="AM182" s="1665"/>
      <c r="AN182" s="1665"/>
      <c r="AO182" s="1665"/>
      <c r="AP182" s="1665"/>
      <c r="AQ182" s="1665"/>
      <c r="AR182" s="1665"/>
      <c r="AS182" s="1665"/>
      <c r="AT182" s="1665"/>
      <c r="AU182" s="1665"/>
      <c r="AV182" s="1665"/>
      <c r="AW182" s="1665"/>
      <c r="AX182" s="1665"/>
      <c r="AY182" s="1665"/>
      <c r="AZ182" s="1665"/>
      <c r="BA182" s="1665"/>
      <c r="BB182" s="1665"/>
      <c r="BC182" s="1719"/>
      <c r="BD182" s="937"/>
      <c r="BE182" s="937"/>
      <c r="BF182" s="1173" t="s">
        <v>1102</v>
      </c>
    </row>
    <row s="217" customFormat="1" customHeight="1" ht="21.75">
      <c r="A183" s="217"/>
      <c r="B183" s="217"/>
      <c r="C183" s="217"/>
      <c r="D183" s="217"/>
      <c r="E183" s="797">
        <v>22.8</v>
      </c>
      <c r="F183" s="922" cm="1" t="str">
        <f t="array" ref="F183:F183">F182</f>
        <v>1</v>
      </c>
      <c r="G183" s="217"/>
      <c r="H183" s="217"/>
      <c r="I183" s="217"/>
      <c r="J183" s="217"/>
      <c r="K183" s="217"/>
      <c r="L183" s="217"/>
      <c r="M183" s="217"/>
      <c r="N183" s="217"/>
      <c r="O183" s="217"/>
      <c r="P183" s="217"/>
      <c r="Q183" s="217"/>
      <c r="R183" s="217"/>
      <c r="S183" s="217"/>
      <c r="T183" s="819" cm="1" t="str">
        <f t="array" ref="T183:T183">T182</f>
        <v>true</v>
      </c>
      <c r="U183" s="217"/>
      <c r="V183" s="217"/>
      <c r="W183" s="217"/>
      <c r="X183" s="217"/>
      <c r="Y183" s="217"/>
      <c r="Z183" s="217"/>
      <c r="AA183" s="217"/>
      <c r="AB183" s="280">
        <v>5</v>
      </c>
      <c r="AC183" s="281" t="s">
        <v>1103</v>
      </c>
      <c r="AD183" s="156" t="s">
        <v>810</v>
      </c>
      <c r="AE183" s="1880">
        <f>SUM(AE184:AE187)+SUM(AE193:AE196)</f>
        <v>0</v>
      </c>
      <c r="AF183" s="1880">
        <f>SUM(AF184:AF187)+SUM(AF193:AF196)</f>
        <v>0</v>
      </c>
      <c r="AG183" s="1880">
        <f>SUM(AG184:AG187)+SUM(AG193:AG196)</f>
        <v>0</v>
      </c>
      <c r="AH183" s="1880">
        <f>SUM(AH184:AH187)+SUM(AH193:AH196)</f>
        <v>0</v>
      </c>
      <c r="AI183" s="1880">
        <f>SUM(AI184:AI187)+SUM(AI193:AI196)</f>
        <v>0</v>
      </c>
      <c r="AJ183" s="1880">
        <f>SUM(AJ184:AJ187)+SUM(AJ193:AJ196)</f>
        <v>0</v>
      </c>
      <c r="AK183" s="1880">
        <f>SUM(AK184:AK187)+SUM(AK193:AK196)</f>
        <v>0</v>
      </c>
      <c r="AL183" s="1880">
        <f>SUM(AL184:AL187)+SUM(AL193:AL196)</f>
        <v>0</v>
      </c>
      <c r="AM183" s="1880">
        <f>SUM(AM184:AM187)+SUM(AM193:AM196)</f>
        <v>0</v>
      </c>
      <c r="AN183" s="1880">
        <f>SUM(AN184:AN187)+SUM(AN193:AN196)</f>
        <v>0</v>
      </c>
      <c r="AO183" s="1880">
        <f>SUM(AO184:AO187)+SUM(AO193:AO196)</f>
        <v>0</v>
      </c>
      <c r="AP183" s="1880">
        <f>SUM(AP184:AP187)+SUM(AP193:AP196)</f>
        <v>0</v>
      </c>
      <c r="AQ183" s="1880">
        <f>SUM(AQ184:AQ187)+SUM(AQ193:AQ196)</f>
        <v>0</v>
      </c>
      <c r="AR183" s="1880">
        <f>SUM(AR184:AR187)+SUM(AR193:AR196)</f>
        <v>0</v>
      </c>
      <c r="AS183" s="1880">
        <f>SUM(AS184:AS187)+SUM(AS193:AS196)</f>
        <v>0</v>
      </c>
      <c r="AT183" s="1880">
        <f>SUM(AT184:AT187)+SUM(AT193:AT196)</f>
        <v>0</v>
      </c>
      <c r="AU183" s="1880">
        <f>SUM(AU184:AU187)+SUM(AU193:AU196)</f>
        <v>0</v>
      </c>
      <c r="AV183" s="1880">
        <f>SUM(AV184:AV187)+SUM(AV193:AV196)</f>
        <v>0</v>
      </c>
      <c r="AW183" s="1880">
        <f>SUM(AW184:AW187)+SUM(AW193:AW196)</f>
        <v>0</v>
      </c>
      <c r="AX183" s="1880">
        <f>SUM(AX184:AX187)+SUM(AX193:AX196)</f>
        <v>0</v>
      </c>
      <c r="AY183" s="1880">
        <f>SUM(AY184:AY187)+SUM(AY193:AY196)</f>
        <v>0</v>
      </c>
      <c r="AZ183" s="1880">
        <f>SUM(AZ184:AZ187)+SUM(AZ193:AZ196)</f>
        <v>0</v>
      </c>
      <c r="BA183" s="1880">
        <f>SUM(BA184:BA187)+SUM(BA193:BA196)</f>
        <v>0</v>
      </c>
      <c r="BB183" s="1880">
        <f>SUM(BB184:BB187)+SUM(BB193:BB196)</f>
        <v>0</v>
      </c>
      <c r="BC183" s="1719"/>
      <c r="BD183" s="217"/>
      <c r="BE183" s="217"/>
      <c r="BF183" s="1173" t="s">
        <v>1104</v>
      </c>
    </row>
    <row s="1632" customFormat="1" customHeight="1" ht="14.25">
      <c r="A184" s="1443"/>
      <c r="B184" s="927"/>
      <c r="C184" s="1443"/>
      <c r="D184" s="1443"/>
      <c r="E184" s="797">
        <v>15</v>
      </c>
      <c r="F184" s="922" cm="1" t="str">
        <f t="array" ref="F184:F184">F183</f>
        <v>1</v>
      </c>
      <c r="G184" s="965"/>
      <c r="H184" s="965"/>
      <c r="I184" s="965"/>
      <c r="J184" s="965"/>
      <c r="K184" s="965"/>
      <c r="L184" s="965"/>
      <c r="M184" s="965"/>
      <c r="N184" s="965"/>
      <c r="O184" s="965"/>
      <c r="P184" s="965"/>
      <c r="Q184" s="928"/>
      <c r="R184" s="928"/>
      <c r="S184" s="965"/>
      <c r="T184" s="819" cm="1" t="str">
        <f t="array" ref="T184:T184">T183</f>
        <v>true</v>
      </c>
      <c r="U184" s="1443"/>
      <c r="V184" s="1443"/>
      <c r="W184" s="1443"/>
      <c r="X184" s="1443"/>
      <c r="Y184" s="1443"/>
      <c r="Z184" s="1443"/>
      <c r="AA184" s="937"/>
      <c r="AB184" s="480" t="str">
        <f>AB183&amp;".1"</f>
        <v>5.1</v>
      </c>
      <c r="AC184" s="472" t="s">
        <v>1022</v>
      </c>
      <c r="AD184" s="480" t="s">
        <v>1023</v>
      </c>
      <c r="AE184" s="1731">
        <f>(AE128*2+AE142+AE156-AE170)/2</f>
        <v>0</v>
      </c>
      <c r="AF184" s="1731">
        <f>(AF128*2+AF142+AF156-AF170)/2</f>
        <v>0</v>
      </c>
      <c r="AG184" s="1731">
        <f>(AG128*2+AG142+AG156-AG170)/2</f>
        <v>0</v>
      </c>
      <c r="AH184" s="1731">
        <f>(AH128*2+AH142+AH156-AH170)/2</f>
        <v>0</v>
      </c>
      <c r="AI184" s="1731">
        <f>(AI128*2+AI142+AI156-AI170)/2</f>
        <v>0</v>
      </c>
      <c r="AJ184" s="1731">
        <f>(AJ128*2+AJ142+AJ156-AJ170)/2</f>
        <v>0</v>
      </c>
      <c r="AK184" s="1731">
        <f>(AK128*2+AK142+AK156-AK170)/2</f>
        <v>0</v>
      </c>
      <c r="AL184" s="1731">
        <f>(AL128*2+AL142+AL156-AL170)/2</f>
        <v>0</v>
      </c>
      <c r="AM184" s="1731">
        <f>(AM128*2+AM142+AM156-AM170)/2</f>
        <v>0</v>
      </c>
      <c r="AN184" s="1731">
        <f>(AN128*2+AN142+AN156-AN170)/2</f>
        <v>0</v>
      </c>
      <c r="AO184" s="1731">
        <f>(AO128*2+AO142+AO156-AO170)/2</f>
        <v>0</v>
      </c>
      <c r="AP184" s="1731">
        <f>(AP128*2+AP142+AP156-AP170)/2</f>
        <v>0</v>
      </c>
      <c r="AQ184" s="1731">
        <f>(AQ128*2+AQ142+AQ156-AQ170)/2</f>
        <v>0</v>
      </c>
      <c r="AR184" s="1731">
        <f>(AR128*2+AR142+AR156-AR170)/2</f>
        <v>0</v>
      </c>
      <c r="AS184" s="1731">
        <f>(AS128*2+AS142+AS156-AS170)/2</f>
        <v>0</v>
      </c>
      <c r="AT184" s="1731">
        <f>(AT128*2+AT142+AT156-AT170)/2</f>
        <v>0</v>
      </c>
      <c r="AU184" s="1731">
        <f>(AU128*2+AU142+AU156-AU170)/2</f>
        <v>0</v>
      </c>
      <c r="AV184" s="1731">
        <f>(AV128*2+AV142+AV156-AV170)/2</f>
        <v>0</v>
      </c>
      <c r="AW184" s="1731">
        <f>(AW128*2+AW142+AW156-AW170)/2</f>
        <v>0</v>
      </c>
      <c r="AX184" s="1731">
        <f>(AX128*2+AX142+AX156-AX170)/2</f>
        <v>0</v>
      </c>
      <c r="AY184" s="1731">
        <f>(AY128*2+AY142+AY156-AY170)/2</f>
        <v>0</v>
      </c>
      <c r="AZ184" s="1731">
        <f>(AZ128*2+AZ142+AZ156-AZ170)/2</f>
        <v>0</v>
      </c>
      <c r="BA184" s="1731">
        <f>(BA128*2+BA142+BA156-BA170)/2</f>
        <v>0</v>
      </c>
      <c r="BB184" s="1731">
        <f>(BB128*2+BB142+BB156-BB170)/2</f>
        <v>0</v>
      </c>
      <c r="BC184" s="1895"/>
      <c r="BD184" s="937"/>
      <c r="BE184" s="937"/>
      <c r="BF184" s="1173" t="s">
        <v>1105</v>
      </c>
    </row>
    <row s="1632" customFormat="1" customHeight="1" ht="14.25">
      <c r="A185" s="1443"/>
      <c r="B185" s="927"/>
      <c r="C185" s="1443"/>
      <c r="D185" s="1443"/>
      <c r="E185" s="797">
        <v>15</v>
      </c>
      <c r="F185" s="922" cm="1" t="str">
        <f t="array" ref="F185:F185">F184</f>
        <v>1</v>
      </c>
      <c r="G185" s="965"/>
      <c r="H185" s="965"/>
      <c r="I185" s="965"/>
      <c r="J185" s="965"/>
      <c r="K185" s="965"/>
      <c r="L185" s="965"/>
      <c r="M185" s="965"/>
      <c r="N185" s="965"/>
      <c r="O185" s="965"/>
      <c r="P185" s="965"/>
      <c r="Q185" s="928"/>
      <c r="R185" s="928"/>
      <c r="S185" s="965"/>
      <c r="T185" s="819" cm="1" t="str">
        <f t="array" ref="T185:T185">T184</f>
        <v>true</v>
      </c>
      <c r="U185" s="1443"/>
      <c r="V185" s="1443"/>
      <c r="W185" s="1443"/>
      <c r="X185" s="1443"/>
      <c r="Y185" s="1443"/>
      <c r="Z185" s="1443"/>
      <c r="AA185" s="937"/>
      <c r="AB185" s="480" t="str">
        <f>AB183&amp;".2"</f>
        <v>5.2</v>
      </c>
      <c r="AC185" s="472" t="s">
        <v>1025</v>
      </c>
      <c r="AD185" s="480" t="s">
        <v>1023</v>
      </c>
      <c r="AE185" s="1731">
        <f>(AE129*2+AE143+AE157-AE171)/2</f>
        <v>0</v>
      </c>
      <c r="AF185" s="1731">
        <f>(AF129*2+AF143+AF157-AF171)/2</f>
        <v>0</v>
      </c>
      <c r="AG185" s="1731">
        <f>(AG129*2+AG143+AG157-AG171)/2</f>
        <v>0</v>
      </c>
      <c r="AH185" s="1731">
        <f>(AH129*2+AH143+AH157-AH171)/2</f>
        <v>0</v>
      </c>
      <c r="AI185" s="1731">
        <f>(AI129*2+AI143+AI157-AI171)/2</f>
        <v>0</v>
      </c>
      <c r="AJ185" s="1731">
        <f>(AJ129*2+AJ143+AJ157-AJ171)/2</f>
        <v>0</v>
      </c>
      <c r="AK185" s="1731">
        <f>(AK129*2+AK143+AK157-AK171)/2</f>
        <v>0</v>
      </c>
      <c r="AL185" s="1731">
        <f>(AL129*2+AL143+AL157-AL171)/2</f>
        <v>0</v>
      </c>
      <c r="AM185" s="1731">
        <f>(AM129*2+AM143+AM157-AM171)/2</f>
        <v>0</v>
      </c>
      <c r="AN185" s="1731">
        <f>(AN129*2+AN143+AN157-AN171)/2</f>
        <v>0</v>
      </c>
      <c r="AO185" s="1731">
        <f>(AO129*2+AO143+AO157-AO171)/2</f>
        <v>0</v>
      </c>
      <c r="AP185" s="1731">
        <f>(AP129*2+AP143+AP157-AP171)/2</f>
        <v>0</v>
      </c>
      <c r="AQ185" s="1731">
        <f>(AQ129*2+AQ143+AQ157-AQ171)/2</f>
        <v>0</v>
      </c>
      <c r="AR185" s="1731">
        <f>(AR129*2+AR143+AR157-AR171)/2</f>
        <v>0</v>
      </c>
      <c r="AS185" s="1731">
        <f>(AS129*2+AS143+AS157-AS171)/2</f>
        <v>0</v>
      </c>
      <c r="AT185" s="1731">
        <f>(AT129*2+AT143+AT157-AT171)/2</f>
        <v>0</v>
      </c>
      <c r="AU185" s="1731">
        <f>(AU129*2+AU143+AU157-AU171)/2</f>
        <v>0</v>
      </c>
      <c r="AV185" s="1731">
        <f>(AV129*2+AV143+AV157-AV171)/2</f>
        <v>0</v>
      </c>
      <c r="AW185" s="1731">
        <f>(AW129*2+AW143+AW157-AW171)/2</f>
        <v>0</v>
      </c>
      <c r="AX185" s="1731">
        <f>(AX129*2+AX143+AX157-AX171)/2</f>
        <v>0</v>
      </c>
      <c r="AY185" s="1731">
        <f>(AY129*2+AY143+AY157-AY171)/2</f>
        <v>0</v>
      </c>
      <c r="AZ185" s="1731">
        <f>(AZ129*2+AZ143+AZ157-AZ171)/2</f>
        <v>0</v>
      </c>
      <c r="BA185" s="1731">
        <f>(BA129*2+BA143+BA157-BA171)/2</f>
        <v>0</v>
      </c>
      <c r="BB185" s="1731">
        <f>(BB129*2+BB143+BB157-BB171)/2</f>
        <v>0</v>
      </c>
      <c r="BC185" s="1895"/>
      <c r="BD185" s="937"/>
      <c r="BE185" s="937"/>
      <c r="BF185" s="1173" t="s">
        <v>1106</v>
      </c>
    </row>
    <row s="1632" customFormat="1" customHeight="1" ht="14.25">
      <c r="A186" s="1443"/>
      <c r="B186" s="927"/>
      <c r="C186" s="1443"/>
      <c r="D186" s="1443"/>
      <c r="E186" s="797">
        <v>15</v>
      </c>
      <c r="F186" s="922" cm="1" t="str">
        <f t="array" ref="F186:F186">F185</f>
        <v>1</v>
      </c>
      <c r="G186" s="965"/>
      <c r="H186" s="965"/>
      <c r="I186" s="965"/>
      <c r="J186" s="965"/>
      <c r="K186" s="965"/>
      <c r="L186" s="965"/>
      <c r="M186" s="965"/>
      <c r="N186" s="965"/>
      <c r="O186" s="965"/>
      <c r="P186" s="965"/>
      <c r="Q186" s="928"/>
      <c r="R186" s="928"/>
      <c r="S186" s="965"/>
      <c r="T186" s="819" cm="1" t="str">
        <f t="array" ref="T186:T186">T185</f>
        <v>true</v>
      </c>
      <c r="U186" s="1443"/>
      <c r="V186" s="1443"/>
      <c r="W186" s="1443"/>
      <c r="X186" s="1443"/>
      <c r="Y186" s="1443"/>
      <c r="Z186" s="1443"/>
      <c r="AA186" s="937"/>
      <c r="AB186" s="480" t="str">
        <f>AB183&amp;".3"</f>
        <v>5.3</v>
      </c>
      <c r="AC186" s="472" t="s">
        <v>1027</v>
      </c>
      <c r="AD186" s="480" t="s">
        <v>1023</v>
      </c>
      <c r="AE186" s="1731">
        <f>(AE130*2+AE144+AE158-AE172)/2</f>
        <v>0</v>
      </c>
      <c r="AF186" s="1731">
        <f>(AF130*2+AF144+AF158-AF172)/2</f>
        <v>0</v>
      </c>
      <c r="AG186" s="1731">
        <f>(AG130*2+AG144+AG158-AG172)/2</f>
        <v>0</v>
      </c>
      <c r="AH186" s="1731">
        <f>(AH130*2+AH144+AH158-AH172)/2</f>
        <v>0</v>
      </c>
      <c r="AI186" s="1731">
        <f>(AI130*2+AI144+AI158-AI172)/2</f>
        <v>0</v>
      </c>
      <c r="AJ186" s="1731">
        <f>(AJ130*2+AJ144+AJ158-AJ172)/2</f>
        <v>0</v>
      </c>
      <c r="AK186" s="1731">
        <f>(AK130*2+AK144+AK158-AK172)/2</f>
        <v>0</v>
      </c>
      <c r="AL186" s="1731">
        <f>(AL130*2+AL144+AL158-AL172)/2</f>
        <v>0</v>
      </c>
      <c r="AM186" s="1731">
        <f>(AM130*2+AM144+AM158-AM172)/2</f>
        <v>0</v>
      </c>
      <c r="AN186" s="1731">
        <f>(AN130*2+AN144+AN158-AN172)/2</f>
        <v>0</v>
      </c>
      <c r="AO186" s="1731">
        <f>(AO130*2+AO144+AO158-AO172)/2</f>
        <v>0</v>
      </c>
      <c r="AP186" s="1731">
        <f>(AP130*2+AP144+AP158-AP172)/2</f>
        <v>0</v>
      </c>
      <c r="AQ186" s="1731">
        <f>(AQ130*2+AQ144+AQ158-AQ172)/2</f>
        <v>0</v>
      </c>
      <c r="AR186" s="1731">
        <f>(AR130*2+AR144+AR158-AR172)/2</f>
        <v>0</v>
      </c>
      <c r="AS186" s="1731">
        <f>(AS130*2+AS144+AS158-AS172)/2</f>
        <v>0</v>
      </c>
      <c r="AT186" s="1731">
        <f>(AT130*2+AT144+AT158-AT172)/2</f>
        <v>0</v>
      </c>
      <c r="AU186" s="1731">
        <f>(AU130*2+AU144+AU158-AU172)/2</f>
        <v>0</v>
      </c>
      <c r="AV186" s="1731">
        <f>(AV130*2+AV144+AV158-AV172)/2</f>
        <v>0</v>
      </c>
      <c r="AW186" s="1731">
        <f>(AW130*2+AW144+AW158-AW172)/2</f>
        <v>0</v>
      </c>
      <c r="AX186" s="1731">
        <f>(AX130*2+AX144+AX158-AX172)/2</f>
        <v>0</v>
      </c>
      <c r="AY186" s="1731">
        <f>(AY130*2+AY144+AY158-AY172)/2</f>
        <v>0</v>
      </c>
      <c r="AZ186" s="1731">
        <f>(AZ130*2+AZ144+AZ158-AZ172)/2</f>
        <v>0</v>
      </c>
      <c r="BA186" s="1731">
        <f>(BA130*2+BA144+BA158-BA172)/2</f>
        <v>0</v>
      </c>
      <c r="BB186" s="1731">
        <f>(BB130*2+BB144+BB158-BB172)/2</f>
        <v>0</v>
      </c>
      <c r="BC186" s="1895"/>
      <c r="BD186" s="937"/>
      <c r="BE186" s="937"/>
      <c r="BF186" s="1173" t="s">
        <v>1107</v>
      </c>
    </row>
    <row s="1632" customFormat="1" customHeight="1" ht="14.25">
      <c r="A187" s="1443"/>
      <c r="B187" s="927"/>
      <c r="C187" s="1443"/>
      <c r="D187" s="1443"/>
      <c r="E187" s="797">
        <v>15</v>
      </c>
      <c r="F187" s="922" cm="1" t="str">
        <f t="array" ref="F187:F187">F186</f>
        <v>1</v>
      </c>
      <c r="G187" s="965"/>
      <c r="H187" s="965"/>
      <c r="I187" s="965"/>
      <c r="J187" s="965"/>
      <c r="K187" s="965"/>
      <c r="L187" s="965"/>
      <c r="M187" s="965"/>
      <c r="N187" s="965"/>
      <c r="O187" s="965"/>
      <c r="P187" s="965"/>
      <c r="Q187" s="928"/>
      <c r="R187" s="928"/>
      <c r="S187" s="965"/>
      <c r="T187" s="819" cm="1" t="str">
        <f t="array" ref="T187:T187">T186</f>
        <v>true</v>
      </c>
      <c r="U187" s="1443"/>
      <c r="V187" s="1443"/>
      <c r="W187" s="1443"/>
      <c r="X187" s="1443"/>
      <c r="Y187" s="1443"/>
      <c r="Z187" s="1443"/>
      <c r="AA187" s="937"/>
      <c r="AB187" s="480" t="str">
        <f>AB183&amp;".4"</f>
        <v>5.4</v>
      </c>
      <c r="AC187" s="472" t="s">
        <v>1029</v>
      </c>
      <c r="AD187" s="480" t="s">
        <v>1023</v>
      </c>
      <c r="AE187" s="1731">
        <f>SUM(AE188:AE192)</f>
        <v>0</v>
      </c>
      <c r="AF187" s="1731">
        <f>SUM(AF188:AF192)</f>
        <v>0</v>
      </c>
      <c r="AG187" s="1731">
        <f>SUM(AG188:AG192)</f>
        <v>0</v>
      </c>
      <c r="AH187" s="1731">
        <f>SUM(AH188:AH192)</f>
        <v>0</v>
      </c>
      <c r="AI187" s="1731">
        <f>SUM(AI188:AI192)</f>
        <v>0</v>
      </c>
      <c r="AJ187" s="1731">
        <f>SUM(AJ188:AJ192)</f>
        <v>0</v>
      </c>
      <c r="AK187" s="1731">
        <f>SUM(AK188:AK192)</f>
        <v>0</v>
      </c>
      <c r="AL187" s="1731">
        <f>SUM(AL188:AL192)</f>
        <v>0</v>
      </c>
      <c r="AM187" s="1731">
        <f>SUM(AM188:AM192)</f>
        <v>0</v>
      </c>
      <c r="AN187" s="1731">
        <f>SUM(AN188:AN192)</f>
        <v>0</v>
      </c>
      <c r="AO187" s="1731">
        <f>SUM(AO188:AO192)</f>
        <v>0</v>
      </c>
      <c r="AP187" s="1731">
        <f>SUM(AP188:AP192)</f>
        <v>0</v>
      </c>
      <c r="AQ187" s="1731">
        <f>SUM(AQ188:AQ192)</f>
        <v>0</v>
      </c>
      <c r="AR187" s="1731">
        <f>SUM(AR188:AR192)</f>
        <v>0</v>
      </c>
      <c r="AS187" s="1731">
        <f>SUM(AS188:AS192)</f>
        <v>0</v>
      </c>
      <c r="AT187" s="1731">
        <f>SUM(AT188:AT192)</f>
        <v>0</v>
      </c>
      <c r="AU187" s="1731">
        <f>SUM(AU188:AU192)</f>
        <v>0</v>
      </c>
      <c r="AV187" s="1731">
        <f>SUM(AV188:AV192)</f>
        <v>0</v>
      </c>
      <c r="AW187" s="1731">
        <f>SUM(AW188:AW192)</f>
        <v>0</v>
      </c>
      <c r="AX187" s="1731">
        <f>SUM(AX188:AX192)</f>
        <v>0</v>
      </c>
      <c r="AY187" s="1731">
        <f>SUM(AY188:AY192)</f>
        <v>0</v>
      </c>
      <c r="AZ187" s="1731">
        <f>SUM(AZ188:AZ192)</f>
        <v>0</v>
      </c>
      <c r="BA187" s="1731">
        <f>SUM(BA188:BA192)</f>
        <v>0</v>
      </c>
      <c r="BB187" s="1731">
        <f>SUM(BB188:BB192)</f>
        <v>0</v>
      </c>
      <c r="BC187" s="1895"/>
      <c r="BD187" s="937"/>
      <c r="BE187" s="937"/>
      <c r="BF187" s="1173" t="s">
        <v>1108</v>
      </c>
    </row>
    <row s="1632" customFormat="1" customHeight="1" ht="14.25">
      <c r="A188" s="1443"/>
      <c r="B188" s="927"/>
      <c r="C188" s="1443"/>
      <c r="D188" s="1443"/>
      <c r="E188" s="797">
        <v>15</v>
      </c>
      <c r="F188" s="922" cm="1" t="str">
        <f t="array" ref="F188:F188">F187</f>
        <v>1</v>
      </c>
      <c r="G188" s="965"/>
      <c r="H188" s="965"/>
      <c r="I188" s="965"/>
      <c r="J188" s="965"/>
      <c r="K188" s="965"/>
      <c r="L188" s="965"/>
      <c r="M188" s="965"/>
      <c r="N188" s="965"/>
      <c r="O188" s="965"/>
      <c r="P188" s="965"/>
      <c r="Q188" s="928"/>
      <c r="R188" s="928"/>
      <c r="S188" s="965"/>
      <c r="T188" s="819" cm="1" t="str">
        <f t="array" ref="T188:T188">T187</f>
        <v>true</v>
      </c>
      <c r="U188" s="1443"/>
      <c r="V188" s="1443"/>
      <c r="W188" s="1443"/>
      <c r="X188" s="1443"/>
      <c r="Y188" s="1443"/>
      <c r="Z188" s="1443"/>
      <c r="AA188" s="937"/>
      <c r="AB188" s="480" t="str">
        <f>AB187&amp;".1"</f>
        <v>5.4.1</v>
      </c>
      <c r="AC188" s="530" t="s">
        <v>1032</v>
      </c>
      <c r="AD188" s="480" t="s">
        <v>1023</v>
      </c>
      <c r="AE188" s="1731">
        <f>(AE132*2+AE146+AE160-AE174)/2</f>
        <v>0</v>
      </c>
      <c r="AF188" s="1731">
        <f>(AF132*2+AF146+AF160-AF174)/2</f>
        <v>0</v>
      </c>
      <c r="AG188" s="1731">
        <f>(AG132*2+AG146+AG160-AG174)/2</f>
        <v>0</v>
      </c>
      <c r="AH188" s="1731">
        <f>(AH132*2+AH146+AH160-AH174)/2</f>
        <v>0</v>
      </c>
      <c r="AI188" s="1731">
        <f>(AI132*2+AI146+AI160-AI174)/2</f>
        <v>0</v>
      </c>
      <c r="AJ188" s="1731">
        <f>(AJ132*2+AJ146+AJ160-AJ174)/2</f>
        <v>0</v>
      </c>
      <c r="AK188" s="1731">
        <f>(AK132*2+AK146+AK160-AK174)/2</f>
        <v>0</v>
      </c>
      <c r="AL188" s="1731">
        <f>(AL132*2+AL146+AL160-AL174)/2</f>
        <v>0</v>
      </c>
      <c r="AM188" s="1731">
        <f>(AM132*2+AM146+AM160-AM174)/2</f>
        <v>0</v>
      </c>
      <c r="AN188" s="1731">
        <f>(AN132*2+AN146+AN160-AN174)/2</f>
        <v>0</v>
      </c>
      <c r="AO188" s="1731">
        <f>(AO132*2+AO146+AO160-AO174)/2</f>
        <v>0</v>
      </c>
      <c r="AP188" s="1731">
        <f>(AP132*2+AP146+AP160-AP174)/2</f>
        <v>0</v>
      </c>
      <c r="AQ188" s="1731">
        <f>(AQ132*2+AQ146+AQ160-AQ174)/2</f>
        <v>0</v>
      </c>
      <c r="AR188" s="1731">
        <f>(AR132*2+AR146+AR160-AR174)/2</f>
        <v>0</v>
      </c>
      <c r="AS188" s="1731">
        <f>(AS132*2+AS146+AS160-AS174)/2</f>
        <v>0</v>
      </c>
      <c r="AT188" s="1731">
        <f>(AT132*2+AT146+AT160-AT174)/2</f>
        <v>0</v>
      </c>
      <c r="AU188" s="1731">
        <f>(AU132*2+AU146+AU160-AU174)/2</f>
        <v>0</v>
      </c>
      <c r="AV188" s="1731">
        <f>(AV132*2+AV146+AV160-AV174)/2</f>
        <v>0</v>
      </c>
      <c r="AW188" s="1731">
        <f>(AW132*2+AW146+AW160-AW174)/2</f>
        <v>0</v>
      </c>
      <c r="AX188" s="1731">
        <f>(AX132*2+AX146+AX160-AX174)/2</f>
        <v>0</v>
      </c>
      <c r="AY188" s="1731">
        <f>(AY132*2+AY146+AY160-AY174)/2</f>
        <v>0</v>
      </c>
      <c r="AZ188" s="1731">
        <f>(AZ132*2+AZ146+AZ160-AZ174)/2</f>
        <v>0</v>
      </c>
      <c r="BA188" s="1731">
        <f>(BA132*2+BA146+BA160-BA174)/2</f>
        <v>0</v>
      </c>
      <c r="BB188" s="1731">
        <f>(BB132*2+BB146+BB160-BB174)/2</f>
        <v>0</v>
      </c>
      <c r="BC188" s="1895"/>
      <c r="BD188" s="937"/>
      <c r="BE188" s="937"/>
      <c r="BF188" s="1173" t="s">
        <v>1109</v>
      </c>
    </row>
    <row s="1632" customFormat="1" customHeight="1" ht="14.25">
      <c r="A189" s="1443"/>
      <c r="B189" s="927"/>
      <c r="C189" s="1443"/>
      <c r="D189" s="1443"/>
      <c r="E189" s="797">
        <v>15</v>
      </c>
      <c r="F189" s="922" cm="1" t="str">
        <f t="array" ref="F189:F189">F188</f>
        <v>1</v>
      </c>
      <c r="G189" s="965"/>
      <c r="H189" s="965"/>
      <c r="I189" s="965"/>
      <c r="J189" s="965"/>
      <c r="K189" s="965"/>
      <c r="L189" s="965"/>
      <c r="M189" s="965"/>
      <c r="N189" s="965"/>
      <c r="O189" s="965"/>
      <c r="P189" s="965"/>
      <c r="Q189" s="928"/>
      <c r="R189" s="928"/>
      <c r="S189" s="965"/>
      <c r="T189" s="819" cm="1" t="str">
        <f t="array" ref="T189:T189">T188</f>
        <v>true</v>
      </c>
      <c r="U189" s="1443"/>
      <c r="V189" s="1443"/>
      <c r="W189" s="1443"/>
      <c r="X189" s="1443"/>
      <c r="Y189" s="1443"/>
      <c r="Z189" s="1443"/>
      <c r="AA189" s="937"/>
      <c r="AB189" s="480" t="str">
        <f>AB187&amp;".2"</f>
        <v>5.4.2</v>
      </c>
      <c r="AC189" s="530" t="s">
        <v>1035</v>
      </c>
      <c r="AD189" s="480" t="s">
        <v>1023</v>
      </c>
      <c r="AE189" s="1731">
        <f>(AE133*2+AE147+AE161-AE175)/2</f>
        <v>0</v>
      </c>
      <c r="AF189" s="1731">
        <f>(AF133*2+AF147+AF161-AF175)/2</f>
        <v>0</v>
      </c>
      <c r="AG189" s="1731">
        <f>(AG133*2+AG147+AG161-AG175)/2</f>
        <v>0</v>
      </c>
      <c r="AH189" s="1731">
        <f>(AH133*2+AH147+AH161-AH175)/2</f>
        <v>0</v>
      </c>
      <c r="AI189" s="1731">
        <f>(AI133*2+AI147+AI161-AI175)/2</f>
        <v>0</v>
      </c>
      <c r="AJ189" s="1731">
        <f>(AJ133*2+AJ147+AJ161-AJ175)/2</f>
        <v>0</v>
      </c>
      <c r="AK189" s="1731">
        <f>(AK133*2+AK147+AK161-AK175)/2</f>
        <v>0</v>
      </c>
      <c r="AL189" s="1731">
        <f>(AL133*2+AL147+AL161-AL175)/2</f>
        <v>0</v>
      </c>
      <c r="AM189" s="1731">
        <f>(AM133*2+AM147+AM161-AM175)/2</f>
        <v>0</v>
      </c>
      <c r="AN189" s="1731">
        <f>(AN133*2+AN147+AN161-AN175)/2</f>
        <v>0</v>
      </c>
      <c r="AO189" s="1731">
        <f>(AO133*2+AO147+AO161-AO175)/2</f>
        <v>0</v>
      </c>
      <c r="AP189" s="1731">
        <f>(AP133*2+AP147+AP161-AP175)/2</f>
        <v>0</v>
      </c>
      <c r="AQ189" s="1731">
        <f>(AQ133*2+AQ147+AQ161-AQ175)/2</f>
        <v>0</v>
      </c>
      <c r="AR189" s="1731">
        <f>(AR133*2+AR147+AR161-AR175)/2</f>
        <v>0</v>
      </c>
      <c r="AS189" s="1731">
        <f>(AS133*2+AS147+AS161-AS175)/2</f>
        <v>0</v>
      </c>
      <c r="AT189" s="1731">
        <f>(AT133*2+AT147+AT161-AT175)/2</f>
        <v>0</v>
      </c>
      <c r="AU189" s="1731">
        <f>(AU133*2+AU147+AU161-AU175)/2</f>
        <v>0</v>
      </c>
      <c r="AV189" s="1731">
        <f>(AV133*2+AV147+AV161-AV175)/2</f>
        <v>0</v>
      </c>
      <c r="AW189" s="1731">
        <f>(AW133*2+AW147+AW161-AW175)/2</f>
        <v>0</v>
      </c>
      <c r="AX189" s="1731">
        <f>(AX133*2+AX147+AX161-AX175)/2</f>
        <v>0</v>
      </c>
      <c r="AY189" s="1731">
        <f>(AY133*2+AY147+AY161-AY175)/2</f>
        <v>0</v>
      </c>
      <c r="AZ189" s="1731">
        <f>(AZ133*2+AZ147+AZ161-AZ175)/2</f>
        <v>0</v>
      </c>
      <c r="BA189" s="1731">
        <f>(BA133*2+BA147+BA161-BA175)/2</f>
        <v>0</v>
      </c>
      <c r="BB189" s="1731">
        <f>(BB133*2+BB147+BB161-BB175)/2</f>
        <v>0</v>
      </c>
      <c r="BC189" s="1895"/>
      <c r="BD189" s="937"/>
      <c r="BE189" s="937"/>
      <c r="BF189" s="1173" t="s">
        <v>1110</v>
      </c>
    </row>
    <row s="1632" customFormat="1" customHeight="1" ht="14.25">
      <c r="A190" s="1443"/>
      <c r="B190" s="927"/>
      <c r="C190" s="1443"/>
      <c r="D190" s="1443"/>
      <c r="E190" s="797">
        <v>15</v>
      </c>
      <c r="F190" s="922" cm="1" t="str">
        <f t="array" ref="F190:F190">F189</f>
        <v>1</v>
      </c>
      <c r="G190" s="965"/>
      <c r="H190" s="965"/>
      <c r="I190" s="965"/>
      <c r="J190" s="965"/>
      <c r="K190" s="965"/>
      <c r="L190" s="965"/>
      <c r="M190" s="965"/>
      <c r="N190" s="965"/>
      <c r="O190" s="965"/>
      <c r="P190" s="965"/>
      <c r="Q190" s="928"/>
      <c r="R190" s="928"/>
      <c r="S190" s="965"/>
      <c r="T190" s="819" cm="1" t="str">
        <f t="array" ref="T190:T190">T189</f>
        <v>true</v>
      </c>
      <c r="U190" s="1443"/>
      <c r="V190" s="1443"/>
      <c r="W190" s="1443"/>
      <c r="X190" s="1443"/>
      <c r="Y190" s="1443"/>
      <c r="Z190" s="1443"/>
      <c r="AA190" s="937"/>
      <c r="AB190" s="480" t="str">
        <f>AB187&amp;".3"</f>
        <v>5.4.3</v>
      </c>
      <c r="AC190" s="530" t="s">
        <v>1038</v>
      </c>
      <c r="AD190" s="480" t="s">
        <v>1023</v>
      </c>
      <c r="AE190" s="1731">
        <f>(AE134*2+AE148+AE162-AE176)/2</f>
        <v>0</v>
      </c>
      <c r="AF190" s="1731">
        <f>(AF134*2+AF148+AF162-AF176)/2</f>
        <v>0</v>
      </c>
      <c r="AG190" s="1731">
        <f>(AG134*2+AG148+AG162-AG176)/2</f>
        <v>0</v>
      </c>
      <c r="AH190" s="1731">
        <f>(AH134*2+AH148+AH162-AH176)/2</f>
        <v>0</v>
      </c>
      <c r="AI190" s="1731">
        <f>(AI134*2+AI148+AI162-AI176)/2</f>
        <v>0</v>
      </c>
      <c r="AJ190" s="1731">
        <f>(AJ134*2+AJ148+AJ162-AJ176)/2</f>
        <v>0</v>
      </c>
      <c r="AK190" s="1731">
        <f>(AK134*2+AK148+AK162-AK176)/2</f>
        <v>0</v>
      </c>
      <c r="AL190" s="1731">
        <f>(AL134*2+AL148+AL162-AL176)/2</f>
        <v>0</v>
      </c>
      <c r="AM190" s="1731">
        <f>(AM134*2+AM148+AM162-AM176)/2</f>
        <v>0</v>
      </c>
      <c r="AN190" s="1731">
        <f>(AN134*2+AN148+AN162-AN176)/2</f>
        <v>0</v>
      </c>
      <c r="AO190" s="1731">
        <f>(AO134*2+AO148+AO162-AO176)/2</f>
        <v>0</v>
      </c>
      <c r="AP190" s="1731">
        <f>(AP134*2+AP148+AP162-AP176)/2</f>
        <v>0</v>
      </c>
      <c r="AQ190" s="1731">
        <f>(AQ134*2+AQ148+AQ162-AQ176)/2</f>
        <v>0</v>
      </c>
      <c r="AR190" s="1731">
        <f>(AR134*2+AR148+AR162-AR176)/2</f>
        <v>0</v>
      </c>
      <c r="AS190" s="1731">
        <f>(AS134*2+AS148+AS162-AS176)/2</f>
        <v>0</v>
      </c>
      <c r="AT190" s="1731">
        <f>(AT134*2+AT148+AT162-AT176)/2</f>
        <v>0</v>
      </c>
      <c r="AU190" s="1731">
        <f>(AU134*2+AU148+AU162-AU176)/2</f>
        <v>0</v>
      </c>
      <c r="AV190" s="1731">
        <f>(AV134*2+AV148+AV162-AV176)/2</f>
        <v>0</v>
      </c>
      <c r="AW190" s="1731">
        <f>(AW134*2+AW148+AW162-AW176)/2</f>
        <v>0</v>
      </c>
      <c r="AX190" s="1731">
        <f>(AX134*2+AX148+AX162-AX176)/2</f>
        <v>0</v>
      </c>
      <c r="AY190" s="1731">
        <f>(AY134*2+AY148+AY162-AY176)/2</f>
        <v>0</v>
      </c>
      <c r="AZ190" s="1731">
        <f>(AZ134*2+AZ148+AZ162-AZ176)/2</f>
        <v>0</v>
      </c>
      <c r="BA190" s="1731">
        <f>(BA134*2+BA148+BA162-BA176)/2</f>
        <v>0</v>
      </c>
      <c r="BB190" s="1731">
        <f>(BB134*2+BB148+BB162-BB176)/2</f>
        <v>0</v>
      </c>
      <c r="BC190" s="1895"/>
      <c r="BD190" s="937"/>
      <c r="BE190" s="937"/>
      <c r="BF190" s="1173" t="s">
        <v>1111</v>
      </c>
    </row>
    <row s="1632" customFormat="1" customHeight="1" ht="14.25">
      <c r="A191" s="1443"/>
      <c r="B191" s="927"/>
      <c r="C191" s="1443"/>
      <c r="D191" s="1443"/>
      <c r="E191" s="797">
        <v>15</v>
      </c>
      <c r="F191" s="922" cm="1" t="str">
        <f t="array" ref="F191:F191">F190</f>
        <v>1</v>
      </c>
      <c r="G191" s="965"/>
      <c r="H191" s="965"/>
      <c r="I191" s="965"/>
      <c r="J191" s="965"/>
      <c r="K191" s="965"/>
      <c r="L191" s="965"/>
      <c r="M191" s="965"/>
      <c r="N191" s="965"/>
      <c r="O191" s="965"/>
      <c r="P191" s="965"/>
      <c r="Q191" s="928"/>
      <c r="R191" s="928"/>
      <c r="S191" s="965"/>
      <c r="T191" s="819" cm="1" t="str">
        <f t="array" ref="T191:T191">T190</f>
        <v>true</v>
      </c>
      <c r="U191" s="1443"/>
      <c r="V191" s="1443"/>
      <c r="W191" s="1443"/>
      <c r="X191" s="1443"/>
      <c r="Y191" s="1443"/>
      <c r="Z191" s="1443"/>
      <c r="AA191" s="937"/>
      <c r="AB191" s="480" t="str">
        <f>AB187&amp;".4"</f>
        <v>5.4.4</v>
      </c>
      <c r="AC191" s="530" t="s">
        <v>1041</v>
      </c>
      <c r="AD191" s="480" t="s">
        <v>1023</v>
      </c>
      <c r="AE191" s="1731">
        <f>(AE135*2+AE149+AE163-AE177)/2</f>
        <v>0</v>
      </c>
      <c r="AF191" s="1731">
        <f>(AF135*2+AF149+AF163-AF177)/2</f>
        <v>0</v>
      </c>
      <c r="AG191" s="1731">
        <f>(AG135*2+AG149+AG163-AG177)/2</f>
        <v>0</v>
      </c>
      <c r="AH191" s="1731">
        <f>(AH135*2+AH149+AH163-AH177)/2</f>
        <v>0</v>
      </c>
      <c r="AI191" s="1731">
        <f>(AI135*2+AI149+AI163-AI177)/2</f>
        <v>0</v>
      </c>
      <c r="AJ191" s="1731">
        <f>(AJ135*2+AJ149+AJ163-AJ177)/2</f>
        <v>0</v>
      </c>
      <c r="AK191" s="1731">
        <f>(AK135*2+AK149+AK163-AK177)/2</f>
        <v>0</v>
      </c>
      <c r="AL191" s="1731">
        <f>(AL135*2+AL149+AL163-AL177)/2</f>
        <v>0</v>
      </c>
      <c r="AM191" s="1731">
        <f>(AM135*2+AM149+AM163-AM177)/2</f>
        <v>0</v>
      </c>
      <c r="AN191" s="1731">
        <f>(AN135*2+AN149+AN163-AN177)/2</f>
        <v>0</v>
      </c>
      <c r="AO191" s="1731">
        <f>(AO135*2+AO149+AO163-AO177)/2</f>
        <v>0</v>
      </c>
      <c r="AP191" s="1731">
        <f>(AP135*2+AP149+AP163-AP177)/2</f>
        <v>0</v>
      </c>
      <c r="AQ191" s="1731">
        <f>(AQ135*2+AQ149+AQ163-AQ177)/2</f>
        <v>0</v>
      </c>
      <c r="AR191" s="1731">
        <f>(AR135*2+AR149+AR163-AR177)/2</f>
        <v>0</v>
      </c>
      <c r="AS191" s="1731">
        <f>(AS135*2+AS149+AS163-AS177)/2</f>
        <v>0</v>
      </c>
      <c r="AT191" s="1731">
        <f>(AT135*2+AT149+AT163-AT177)/2</f>
        <v>0</v>
      </c>
      <c r="AU191" s="1731">
        <f>(AU135*2+AU149+AU163-AU177)/2</f>
        <v>0</v>
      </c>
      <c r="AV191" s="1731">
        <f>(AV135*2+AV149+AV163-AV177)/2</f>
        <v>0</v>
      </c>
      <c r="AW191" s="1731">
        <f>(AW135*2+AW149+AW163-AW177)/2</f>
        <v>0</v>
      </c>
      <c r="AX191" s="1731">
        <f>(AX135*2+AX149+AX163-AX177)/2</f>
        <v>0</v>
      </c>
      <c r="AY191" s="1731">
        <f>(AY135*2+AY149+AY163-AY177)/2</f>
        <v>0</v>
      </c>
      <c r="AZ191" s="1731">
        <f>(AZ135*2+AZ149+AZ163-AZ177)/2</f>
        <v>0</v>
      </c>
      <c r="BA191" s="1731">
        <f>(BA135*2+BA149+BA163-BA177)/2</f>
        <v>0</v>
      </c>
      <c r="BB191" s="1731">
        <f>(BB135*2+BB149+BB163-BB177)/2</f>
        <v>0</v>
      </c>
      <c r="BC191" s="1895"/>
      <c r="BD191" s="937"/>
      <c r="BE191" s="937"/>
      <c r="BF191" s="1173" t="s">
        <v>1112</v>
      </c>
    </row>
    <row s="1632" customFormat="1" customHeight="1" ht="14.25">
      <c r="A192" s="1443"/>
      <c r="B192" s="927"/>
      <c r="C192" s="1443"/>
      <c r="D192" s="1443"/>
      <c r="E192" s="797">
        <v>15</v>
      </c>
      <c r="F192" s="922" cm="1" t="str">
        <f t="array" ref="F192:F192">F191</f>
        <v>1</v>
      </c>
      <c r="G192" s="965"/>
      <c r="H192" s="965"/>
      <c r="I192" s="965"/>
      <c r="J192" s="965"/>
      <c r="K192" s="965"/>
      <c r="L192" s="965"/>
      <c r="M192" s="965"/>
      <c r="N192" s="965"/>
      <c r="O192" s="965"/>
      <c r="P192" s="965"/>
      <c r="Q192" s="928"/>
      <c r="R192" s="928"/>
      <c r="S192" s="965"/>
      <c r="T192" s="819" cm="1" t="str">
        <f t="array" ref="T192:T192">T191</f>
        <v>true</v>
      </c>
      <c r="U192" s="1443"/>
      <c r="V192" s="1443"/>
      <c r="W192" s="1443"/>
      <c r="X192" s="1443"/>
      <c r="Y192" s="1443"/>
      <c r="Z192" s="1443"/>
      <c r="AA192" s="937"/>
      <c r="AB192" s="480" t="str">
        <f>AB187&amp;".5"</f>
        <v>5.4.5</v>
      </c>
      <c r="AC192" s="530" t="s">
        <v>1044</v>
      </c>
      <c r="AD192" s="480" t="s">
        <v>1023</v>
      </c>
      <c r="AE192" s="1731">
        <f>(AE136*2+AE150+AE164-AE178)/2</f>
        <v>0</v>
      </c>
      <c r="AF192" s="1731">
        <f>(AF136*2+AF150+AF164-AF178)/2</f>
        <v>0</v>
      </c>
      <c r="AG192" s="1731">
        <f>(AG136*2+AG150+AG164-AG178)/2</f>
        <v>0</v>
      </c>
      <c r="AH192" s="1731">
        <f>(AH136*2+AH150+AH164-AH178)/2</f>
        <v>0</v>
      </c>
      <c r="AI192" s="1731">
        <f>(AI136*2+AI150+AI164-AI178)/2</f>
        <v>0</v>
      </c>
      <c r="AJ192" s="1731">
        <f>(AJ136*2+AJ150+AJ164-AJ178)/2</f>
        <v>0</v>
      </c>
      <c r="AK192" s="1731">
        <f>(AK136*2+AK150+AK164-AK178)/2</f>
        <v>0</v>
      </c>
      <c r="AL192" s="1731">
        <f>(AL136*2+AL150+AL164-AL178)/2</f>
        <v>0</v>
      </c>
      <c r="AM192" s="1731">
        <f>(AM136*2+AM150+AM164-AM178)/2</f>
        <v>0</v>
      </c>
      <c r="AN192" s="1731">
        <f>(AN136*2+AN150+AN164-AN178)/2</f>
        <v>0</v>
      </c>
      <c r="AO192" s="1731">
        <f>(AO136*2+AO150+AO164-AO178)/2</f>
        <v>0</v>
      </c>
      <c r="AP192" s="1731">
        <f>(AP136*2+AP150+AP164-AP178)/2</f>
        <v>0</v>
      </c>
      <c r="AQ192" s="1731">
        <f>(AQ136*2+AQ150+AQ164-AQ178)/2</f>
        <v>0</v>
      </c>
      <c r="AR192" s="1731">
        <f>(AR136*2+AR150+AR164-AR178)/2</f>
        <v>0</v>
      </c>
      <c r="AS192" s="1731">
        <f>(AS136*2+AS150+AS164-AS178)/2</f>
        <v>0</v>
      </c>
      <c r="AT192" s="1731">
        <f>(AT136*2+AT150+AT164-AT178)/2</f>
        <v>0</v>
      </c>
      <c r="AU192" s="1731">
        <f>(AU136*2+AU150+AU164-AU178)/2</f>
        <v>0</v>
      </c>
      <c r="AV192" s="1731">
        <f>(AV136*2+AV150+AV164-AV178)/2</f>
        <v>0</v>
      </c>
      <c r="AW192" s="1731">
        <f>(AW136*2+AW150+AW164-AW178)/2</f>
        <v>0</v>
      </c>
      <c r="AX192" s="1731">
        <f>(AX136*2+AX150+AX164-AX178)/2</f>
        <v>0</v>
      </c>
      <c r="AY192" s="1731">
        <f>(AY136*2+AY150+AY164-AY178)/2</f>
        <v>0</v>
      </c>
      <c r="AZ192" s="1731">
        <f>(AZ136*2+AZ150+AZ164-AZ178)/2</f>
        <v>0</v>
      </c>
      <c r="BA192" s="1731">
        <f>(BA136*2+BA150+BA164-BA178)/2</f>
        <v>0</v>
      </c>
      <c r="BB192" s="1731">
        <f>(BB136*2+BB150+BB164-BB178)/2</f>
        <v>0</v>
      </c>
      <c r="BC192" s="1895"/>
      <c r="BD192" s="937"/>
      <c r="BE192" s="937"/>
      <c r="BF192" s="1173" t="s">
        <v>1113</v>
      </c>
    </row>
    <row s="1632" customFormat="1" customHeight="1" ht="14.25">
      <c r="A193" s="1443"/>
      <c r="B193" s="927"/>
      <c r="C193" s="1443"/>
      <c r="D193" s="1443"/>
      <c r="E193" s="797">
        <v>15</v>
      </c>
      <c r="F193" s="922" cm="1" t="str">
        <f t="array" ref="F193:F193">F192</f>
        <v>1</v>
      </c>
      <c r="G193" s="965"/>
      <c r="H193" s="965"/>
      <c r="I193" s="965"/>
      <c r="J193" s="965"/>
      <c r="K193" s="965"/>
      <c r="L193" s="965"/>
      <c r="M193" s="965"/>
      <c r="N193" s="965"/>
      <c r="O193" s="965"/>
      <c r="P193" s="965"/>
      <c r="Q193" s="928"/>
      <c r="R193" s="928"/>
      <c r="S193" s="965"/>
      <c r="T193" s="819" cm="1" t="str">
        <f t="array" ref="T193:T193">T192</f>
        <v>true</v>
      </c>
      <c r="U193" s="1443"/>
      <c r="V193" s="1443"/>
      <c r="W193" s="1443"/>
      <c r="X193" s="1443"/>
      <c r="Y193" s="1443"/>
      <c r="Z193" s="1443"/>
      <c r="AA193" s="937"/>
      <c r="AB193" s="480" t="str">
        <f>AB183&amp;".5"</f>
        <v>5.5</v>
      </c>
      <c r="AC193" s="472" t="s">
        <v>1047</v>
      </c>
      <c r="AD193" s="480" t="s">
        <v>1023</v>
      </c>
      <c r="AE193" s="1731">
        <f>(AE137*2+AE151+AE165-AE179)/2</f>
        <v>0</v>
      </c>
      <c r="AF193" s="1731">
        <f>(AF137*2+AF151+AF165-AF179)/2</f>
        <v>0</v>
      </c>
      <c r="AG193" s="1731">
        <f>(AG137*2+AG151+AG165-AG179)/2</f>
        <v>0</v>
      </c>
      <c r="AH193" s="1731">
        <f>(AH137*2+AH151+AH165-AH179)/2</f>
        <v>0</v>
      </c>
      <c r="AI193" s="1731">
        <f>(AI137*2+AI151+AI165-AI179)/2</f>
        <v>0</v>
      </c>
      <c r="AJ193" s="1731">
        <f>(AJ137*2+AJ151+AJ165-AJ179)/2</f>
        <v>0</v>
      </c>
      <c r="AK193" s="1731">
        <f>(AK137*2+AK151+AK165-AK179)/2</f>
        <v>0</v>
      </c>
      <c r="AL193" s="1731">
        <f>(AL137*2+AL151+AL165-AL179)/2</f>
        <v>0</v>
      </c>
      <c r="AM193" s="1731">
        <f>(AM137*2+AM151+AM165-AM179)/2</f>
        <v>0</v>
      </c>
      <c r="AN193" s="1731">
        <f>(AN137*2+AN151+AN165-AN179)/2</f>
        <v>0</v>
      </c>
      <c r="AO193" s="1731">
        <f>(AO137*2+AO151+AO165-AO179)/2</f>
        <v>0</v>
      </c>
      <c r="AP193" s="1731">
        <f>(AP137*2+AP151+AP165-AP179)/2</f>
        <v>0</v>
      </c>
      <c r="AQ193" s="1731">
        <f>(AQ137*2+AQ151+AQ165-AQ179)/2</f>
        <v>0</v>
      </c>
      <c r="AR193" s="1731">
        <f>(AR137*2+AR151+AR165-AR179)/2</f>
        <v>0</v>
      </c>
      <c r="AS193" s="1731">
        <f>(AS137*2+AS151+AS165-AS179)/2</f>
        <v>0</v>
      </c>
      <c r="AT193" s="1731">
        <f>(AT137*2+AT151+AT165-AT179)/2</f>
        <v>0</v>
      </c>
      <c r="AU193" s="1731">
        <f>(AU137*2+AU151+AU165-AU179)/2</f>
        <v>0</v>
      </c>
      <c r="AV193" s="1731">
        <f>(AV137*2+AV151+AV165-AV179)/2</f>
        <v>0</v>
      </c>
      <c r="AW193" s="1731">
        <f>(AW137*2+AW151+AW165-AW179)/2</f>
        <v>0</v>
      </c>
      <c r="AX193" s="1731">
        <f>(AX137*2+AX151+AX165-AX179)/2</f>
        <v>0</v>
      </c>
      <c r="AY193" s="1731">
        <f>(AY137*2+AY151+AY165-AY179)/2</f>
        <v>0</v>
      </c>
      <c r="AZ193" s="1731">
        <f>(AZ137*2+AZ151+AZ165-AZ179)/2</f>
        <v>0</v>
      </c>
      <c r="BA193" s="1731">
        <f>(BA137*2+BA151+BA165-BA179)/2</f>
        <v>0</v>
      </c>
      <c r="BB193" s="1731">
        <f>(BB137*2+BB151+BB165-BB179)/2</f>
        <v>0</v>
      </c>
      <c r="BC193" s="1895"/>
      <c r="BD193" s="937"/>
      <c r="BE193" s="937"/>
      <c r="BF193" s="1173" t="s">
        <v>1114</v>
      </c>
    </row>
    <row s="1632" customFormat="1" customHeight="1" ht="14.25">
      <c r="A194" s="1443"/>
      <c r="B194" s="927"/>
      <c r="C194" s="1443"/>
      <c r="D194" s="1443"/>
      <c r="E194" s="797">
        <v>15</v>
      </c>
      <c r="F194" s="922" cm="1" t="str">
        <f t="array" ref="F194:F194">F193</f>
        <v>1</v>
      </c>
      <c r="G194" s="965"/>
      <c r="H194" s="965"/>
      <c r="I194" s="965"/>
      <c r="J194" s="965"/>
      <c r="K194" s="965"/>
      <c r="L194" s="965"/>
      <c r="M194" s="965"/>
      <c r="N194" s="965"/>
      <c r="O194" s="965"/>
      <c r="P194" s="965"/>
      <c r="Q194" s="928"/>
      <c r="R194" s="928"/>
      <c r="S194" s="965"/>
      <c r="T194" s="819" cm="1" t="str">
        <f t="array" ref="T194:T194">T193</f>
        <v>true</v>
      </c>
      <c r="U194" s="1443"/>
      <c r="V194" s="1443"/>
      <c r="W194" s="1443"/>
      <c r="X194" s="1443"/>
      <c r="Y194" s="1443"/>
      <c r="Z194" s="1443"/>
      <c r="AA194" s="937"/>
      <c r="AB194" s="480" t="str">
        <f>AB183&amp;".6"</f>
        <v>5.6</v>
      </c>
      <c r="AC194" s="472" t="s">
        <v>1050</v>
      </c>
      <c r="AD194" s="480" t="s">
        <v>1023</v>
      </c>
      <c r="AE194" s="1731">
        <f>(AE138*2+AE152+AE166-AE180)/2</f>
        <v>0</v>
      </c>
      <c r="AF194" s="1731">
        <f>(AF138*2+AF152+AF166-AF180)/2</f>
        <v>0</v>
      </c>
      <c r="AG194" s="1731">
        <f>(AG138*2+AG152+AG166-AG180)/2</f>
        <v>0</v>
      </c>
      <c r="AH194" s="1731">
        <f>(AH138*2+AH152+AH166-AH180)/2</f>
        <v>0</v>
      </c>
      <c r="AI194" s="1731">
        <f>(AI138*2+AI152+AI166-AI180)/2</f>
        <v>0</v>
      </c>
      <c r="AJ194" s="1731">
        <f>(AJ138*2+AJ152+AJ166-AJ180)/2</f>
        <v>0</v>
      </c>
      <c r="AK194" s="1731">
        <f>(AK138*2+AK152+AK166-AK180)/2</f>
        <v>0</v>
      </c>
      <c r="AL194" s="1731">
        <f>(AL138*2+AL152+AL166-AL180)/2</f>
        <v>0</v>
      </c>
      <c r="AM194" s="1731">
        <f>(AM138*2+AM152+AM166-AM180)/2</f>
        <v>0</v>
      </c>
      <c r="AN194" s="1731">
        <f>(AN138*2+AN152+AN166-AN180)/2</f>
        <v>0</v>
      </c>
      <c r="AO194" s="1731">
        <f>(AO138*2+AO152+AO166-AO180)/2</f>
        <v>0</v>
      </c>
      <c r="AP194" s="1731">
        <f>(AP138*2+AP152+AP166-AP180)/2</f>
        <v>0</v>
      </c>
      <c r="AQ194" s="1731">
        <f>(AQ138*2+AQ152+AQ166-AQ180)/2</f>
        <v>0</v>
      </c>
      <c r="AR194" s="1731">
        <f>(AR138*2+AR152+AR166-AR180)/2</f>
        <v>0</v>
      </c>
      <c r="AS194" s="1731">
        <f>(AS138*2+AS152+AS166-AS180)/2</f>
        <v>0</v>
      </c>
      <c r="AT194" s="1731">
        <f>(AT138*2+AT152+AT166-AT180)/2</f>
        <v>0</v>
      </c>
      <c r="AU194" s="1731">
        <f>(AU138*2+AU152+AU166-AU180)/2</f>
        <v>0</v>
      </c>
      <c r="AV194" s="1731">
        <f>(AV138*2+AV152+AV166-AV180)/2</f>
        <v>0</v>
      </c>
      <c r="AW194" s="1731">
        <f>(AW138*2+AW152+AW166-AW180)/2</f>
        <v>0</v>
      </c>
      <c r="AX194" s="1731">
        <f>(AX138*2+AX152+AX166-AX180)/2</f>
        <v>0</v>
      </c>
      <c r="AY194" s="1731">
        <f>(AY138*2+AY152+AY166-AY180)/2</f>
        <v>0</v>
      </c>
      <c r="AZ194" s="1731">
        <f>(AZ138*2+AZ152+AZ166-AZ180)/2</f>
        <v>0</v>
      </c>
      <c r="BA194" s="1731">
        <f>(BA138*2+BA152+BA166-BA180)/2</f>
        <v>0</v>
      </c>
      <c r="BB194" s="1731">
        <f>(BB138*2+BB152+BB166-BB180)/2</f>
        <v>0</v>
      </c>
      <c r="BC194" s="1895"/>
      <c r="BD194" s="937"/>
      <c r="BE194" s="937"/>
      <c r="BF194" s="1173" t="s">
        <v>1115</v>
      </c>
    </row>
    <row s="1632" customFormat="1" customHeight="1" ht="14.25">
      <c r="A195" s="1443"/>
      <c r="B195" s="927"/>
      <c r="C195" s="1443"/>
      <c r="D195" s="1443"/>
      <c r="E195" s="797">
        <v>15</v>
      </c>
      <c r="F195" s="922" cm="1" t="str">
        <f t="array" ref="F195:F195">F194</f>
        <v>1</v>
      </c>
      <c r="G195" s="965"/>
      <c r="H195" s="965"/>
      <c r="I195" s="965"/>
      <c r="J195" s="965"/>
      <c r="K195" s="965"/>
      <c r="L195" s="965"/>
      <c r="M195" s="965"/>
      <c r="N195" s="965"/>
      <c r="O195" s="965"/>
      <c r="P195" s="965"/>
      <c r="Q195" s="928"/>
      <c r="R195" s="928"/>
      <c r="S195" s="965"/>
      <c r="T195" s="819" cm="1" t="str">
        <f t="array" ref="T195:T195">T194</f>
        <v>true</v>
      </c>
      <c r="U195" s="1443"/>
      <c r="V195" s="1443"/>
      <c r="W195" s="1443"/>
      <c r="X195" s="1443"/>
      <c r="Y195" s="1443"/>
      <c r="Z195" s="1443"/>
      <c r="AA195" s="937"/>
      <c r="AB195" s="480" t="str">
        <f>AB183&amp;".7"</f>
        <v>5.7</v>
      </c>
      <c r="AC195" s="472" t="s">
        <v>1053</v>
      </c>
      <c r="AD195" s="480" t="s">
        <v>1023</v>
      </c>
      <c r="AE195" s="1731">
        <f>(AE139*2+AE153+AE167-AE181)/2</f>
        <v>0</v>
      </c>
      <c r="AF195" s="1731">
        <f>(AF139*2+AF153+AF167-AF181)/2</f>
        <v>0</v>
      </c>
      <c r="AG195" s="1731">
        <f>(AG139*2+AG153+AG167-AG181)/2</f>
        <v>0</v>
      </c>
      <c r="AH195" s="1731">
        <f>(AH139*2+AH153+AH167-AH181)/2</f>
        <v>0</v>
      </c>
      <c r="AI195" s="1731">
        <f>(AI139*2+AI153+AI167-AI181)/2</f>
        <v>0</v>
      </c>
      <c r="AJ195" s="1731">
        <f>(AJ139*2+AJ153+AJ167-AJ181)/2</f>
        <v>0</v>
      </c>
      <c r="AK195" s="1731">
        <f>(AK139*2+AK153+AK167-AK181)/2</f>
        <v>0</v>
      </c>
      <c r="AL195" s="1731">
        <f>(AL139*2+AL153+AL167-AL181)/2</f>
        <v>0</v>
      </c>
      <c r="AM195" s="1731">
        <f>(AM139*2+AM153+AM167-AM181)/2</f>
        <v>0</v>
      </c>
      <c r="AN195" s="1731">
        <f>(AN139*2+AN153+AN167-AN181)/2</f>
        <v>0</v>
      </c>
      <c r="AO195" s="1731">
        <f>(AO139*2+AO153+AO167-AO181)/2</f>
        <v>0</v>
      </c>
      <c r="AP195" s="1731">
        <f>(AP139*2+AP153+AP167-AP181)/2</f>
        <v>0</v>
      </c>
      <c r="AQ195" s="1731">
        <f>(AQ139*2+AQ153+AQ167-AQ181)/2</f>
        <v>0</v>
      </c>
      <c r="AR195" s="1731">
        <f>(AR139*2+AR153+AR167-AR181)/2</f>
        <v>0</v>
      </c>
      <c r="AS195" s="1731">
        <f>(AS139*2+AS153+AS167-AS181)/2</f>
        <v>0</v>
      </c>
      <c r="AT195" s="1731">
        <f>(AT139*2+AT153+AT167-AT181)/2</f>
        <v>0</v>
      </c>
      <c r="AU195" s="1731">
        <f>(AU139*2+AU153+AU167-AU181)/2</f>
        <v>0</v>
      </c>
      <c r="AV195" s="1731">
        <f>(AV139*2+AV153+AV167-AV181)/2</f>
        <v>0</v>
      </c>
      <c r="AW195" s="1731">
        <f>(AW139*2+AW153+AW167-AW181)/2</f>
        <v>0</v>
      </c>
      <c r="AX195" s="1731">
        <f>(AX139*2+AX153+AX167-AX181)/2</f>
        <v>0</v>
      </c>
      <c r="AY195" s="1731">
        <f>(AY139*2+AY153+AY167-AY181)/2</f>
        <v>0</v>
      </c>
      <c r="AZ195" s="1731">
        <f>(AZ139*2+AZ153+AZ167-AZ181)/2</f>
        <v>0</v>
      </c>
      <c r="BA195" s="1731">
        <f>(BA139*2+BA153+BA167-BA181)/2</f>
        <v>0</v>
      </c>
      <c r="BB195" s="1731">
        <f>(BB139*2+BB153+BB167-BB181)/2</f>
        <v>0</v>
      </c>
      <c r="BC195" s="1895"/>
      <c r="BD195" s="937"/>
      <c r="BE195" s="937"/>
      <c r="BF195" s="1173" t="s">
        <v>1116</v>
      </c>
    </row>
    <row s="1632" customFormat="1" customHeight="1" ht="14.25">
      <c r="A196" s="1443"/>
      <c r="B196" s="927"/>
      <c r="C196" s="1443"/>
      <c r="D196" s="1443"/>
      <c r="E196" s="797">
        <v>15</v>
      </c>
      <c r="F196" s="922" cm="1" t="str">
        <f t="array" ref="F196:F196">F195</f>
        <v>1</v>
      </c>
      <c r="G196" s="965"/>
      <c r="H196" s="965"/>
      <c r="I196" s="965"/>
      <c r="J196" s="965"/>
      <c r="K196" s="965"/>
      <c r="L196" s="965"/>
      <c r="M196" s="965"/>
      <c r="N196" s="965"/>
      <c r="O196" s="965"/>
      <c r="P196" s="965"/>
      <c r="Q196" s="928"/>
      <c r="R196" s="928"/>
      <c r="S196" s="965"/>
      <c r="T196" s="819" cm="1" t="str">
        <f t="array" ref="T196:T196">T195</f>
        <v>true</v>
      </c>
      <c r="U196" s="1443"/>
      <c r="V196" s="1443"/>
      <c r="W196" s="1443"/>
      <c r="X196" s="1443"/>
      <c r="Y196" s="1443"/>
      <c r="Z196" s="1443"/>
      <c r="AA196" s="937"/>
      <c r="AB196" s="480" t="str">
        <f>AB183&amp;".8"</f>
        <v>5.8</v>
      </c>
      <c r="AC196" s="472" t="s">
        <v>1056</v>
      </c>
      <c r="AD196" s="480" t="s">
        <v>1023</v>
      </c>
      <c r="AE196" s="1731">
        <f>(AE140*2+AE154+AE168-AE182)/2</f>
        <v>0</v>
      </c>
      <c r="AF196" s="1731">
        <f>(AF140*2+AF154+AF168-AF182)/2</f>
        <v>0</v>
      </c>
      <c r="AG196" s="1731">
        <f>(AG140*2+AG154+AG168-AG182)/2</f>
        <v>0</v>
      </c>
      <c r="AH196" s="1731">
        <f>(AH140*2+AH154+AH168-AH182)/2</f>
        <v>0</v>
      </c>
      <c r="AI196" s="1731">
        <f>(AI140*2+AI154+AI168-AI182)/2</f>
        <v>0</v>
      </c>
      <c r="AJ196" s="1731">
        <f>(AJ140*2+AJ154+AJ168-AJ182)/2</f>
        <v>0</v>
      </c>
      <c r="AK196" s="1731">
        <f>(AK140*2+AK154+AK168-AK182)/2</f>
        <v>0</v>
      </c>
      <c r="AL196" s="1731">
        <f>(AL140*2+AL154+AL168-AL182)/2</f>
        <v>0</v>
      </c>
      <c r="AM196" s="1731">
        <f>(AM140*2+AM154+AM168-AM182)/2</f>
        <v>0</v>
      </c>
      <c r="AN196" s="1731">
        <f>(AN140*2+AN154+AN168-AN182)/2</f>
        <v>0</v>
      </c>
      <c r="AO196" s="1731">
        <f>(AO140*2+AO154+AO168-AO182)/2</f>
        <v>0</v>
      </c>
      <c r="AP196" s="1731">
        <f>(AP140*2+AP154+AP168-AP182)/2</f>
        <v>0</v>
      </c>
      <c r="AQ196" s="1731">
        <f>(AQ140*2+AQ154+AQ168-AQ182)/2</f>
        <v>0</v>
      </c>
      <c r="AR196" s="1731">
        <f>(AR140*2+AR154+AR168-AR182)/2</f>
        <v>0</v>
      </c>
      <c r="AS196" s="1731">
        <f>(AS140*2+AS154+AS168-AS182)/2</f>
        <v>0</v>
      </c>
      <c r="AT196" s="1731">
        <f>(AT140*2+AT154+AT168-AT182)/2</f>
        <v>0</v>
      </c>
      <c r="AU196" s="1731">
        <f>(AU140*2+AU154+AU168-AU182)/2</f>
        <v>0</v>
      </c>
      <c r="AV196" s="1731">
        <f>(AV140*2+AV154+AV168-AV182)/2</f>
        <v>0</v>
      </c>
      <c r="AW196" s="1731">
        <f>(AW140*2+AW154+AW168-AW182)/2</f>
        <v>0</v>
      </c>
      <c r="AX196" s="1731">
        <f>(AX140*2+AX154+AX168-AX182)/2</f>
        <v>0</v>
      </c>
      <c r="AY196" s="1731">
        <f>(AY140*2+AY154+AY168-AY182)/2</f>
        <v>0</v>
      </c>
      <c r="AZ196" s="1731">
        <f>(AZ140*2+AZ154+AZ168-AZ182)/2</f>
        <v>0</v>
      </c>
      <c r="BA196" s="1731">
        <f>(BA140*2+BA154+BA168-BA182)/2</f>
        <v>0</v>
      </c>
      <c r="BB196" s="1731">
        <f>(BB140*2+BB154+BB168-BB182)/2</f>
        <v>0</v>
      </c>
      <c r="BC196" s="1895"/>
      <c r="BD196" s="937"/>
      <c r="BE196" s="937"/>
      <c r="BF196" s="1173" t="s">
        <v>1117</v>
      </c>
    </row>
    <row s="217" customFormat="1" customHeight="1" ht="21.75">
      <c r="A197" s="217"/>
      <c r="B197" s="217"/>
      <c r="C197" s="217"/>
      <c r="D197" s="217"/>
      <c r="E197" s="797">
        <v>22.8</v>
      </c>
      <c r="F197" s="922" cm="1" t="str">
        <f t="array" ref="F197:F197">F196</f>
        <v>1</v>
      </c>
      <c r="G197" s="217"/>
      <c r="H197" s="217"/>
      <c r="I197" s="217"/>
      <c r="J197" s="217"/>
      <c r="K197" s="217"/>
      <c r="L197" s="217"/>
      <c r="M197" s="217"/>
      <c r="N197" s="217"/>
      <c r="O197" s="217"/>
      <c r="P197" s="217"/>
      <c r="Q197" s="217"/>
      <c r="R197" s="217"/>
      <c r="S197" s="217"/>
      <c r="T197" s="819" cm="1" t="str">
        <f t="array" ref="T197:T197">T196</f>
        <v>true</v>
      </c>
      <c r="U197" s="217"/>
      <c r="V197" s="217"/>
      <c r="W197" s="217"/>
      <c r="X197" s="217"/>
      <c r="Y197" s="217"/>
      <c r="Z197" s="217"/>
      <c r="AA197" s="217"/>
      <c r="AB197" s="280">
        <v>6</v>
      </c>
      <c r="AC197" s="281" t="s">
        <v>1118</v>
      </c>
      <c r="AD197" s="489" t="s">
        <v>498</v>
      </c>
      <c r="AE197" s="1880"/>
      <c r="AF197" s="1880"/>
      <c r="AG197" s="1880"/>
      <c r="AH197" s="1880"/>
      <c r="AI197" s="1880"/>
      <c r="AJ197" s="1880"/>
      <c r="AK197" s="1880"/>
      <c r="AL197" s="1880"/>
      <c r="AM197" s="1880"/>
      <c r="AN197" s="1880"/>
      <c r="AO197" s="1880"/>
      <c r="AP197" s="1880"/>
      <c r="AQ197" s="1880"/>
      <c r="AR197" s="1880"/>
      <c r="AS197" s="1880"/>
      <c r="AT197" s="1880"/>
      <c r="AU197" s="1880"/>
      <c r="AV197" s="1880"/>
      <c r="AW197" s="1880"/>
      <c r="AX197" s="1880"/>
      <c r="AY197" s="1880"/>
      <c r="AZ197" s="1880"/>
      <c r="BA197" s="1880"/>
      <c r="BB197" s="1880"/>
      <c r="BC197" s="1719"/>
      <c r="BD197" s="217"/>
      <c r="BE197" s="217"/>
      <c r="BF197" s="1173" t="s">
        <v>1119</v>
      </c>
    </row>
    <row s="1632" customFormat="1" customHeight="1" ht="14.25">
      <c r="A198" s="1443"/>
      <c r="B198" s="927"/>
      <c r="C198" s="1443"/>
      <c r="D198" s="1443"/>
      <c r="E198" s="797">
        <v>15</v>
      </c>
      <c r="F198" s="922" cm="1" t="str">
        <f t="array" ref="F198:F198">F197</f>
        <v>1</v>
      </c>
      <c r="G198" s="965"/>
      <c r="H198" s="965"/>
      <c r="I198" s="965"/>
      <c r="J198" s="965"/>
      <c r="K198" s="965"/>
      <c r="L198" s="965"/>
      <c r="M198" s="965"/>
      <c r="N198" s="965"/>
      <c r="O198" s="965"/>
      <c r="P198" s="965"/>
      <c r="Q198" s="928"/>
      <c r="R198" s="928"/>
      <c r="S198" s="965"/>
      <c r="T198" s="819" cm="1" t="str">
        <f t="array" ref="T198:T198">T197</f>
        <v>true</v>
      </c>
      <c r="U198" s="1443"/>
      <c r="V198" s="1443"/>
      <c r="W198" s="1443"/>
      <c r="X198" s="1443"/>
      <c r="Y198" s="1443"/>
      <c r="Z198" s="1443"/>
      <c r="AA198" s="937"/>
      <c r="AB198" s="489" t="str">
        <f>AB197&amp;".1"</f>
        <v>6.1</v>
      </c>
      <c r="AC198" s="490" t="s">
        <v>1022</v>
      </c>
      <c r="AD198" s="489" t="s">
        <v>498</v>
      </c>
      <c r="AE198" s="1665">
        <f>IF(AE184=0,0,AE212/AE184*100)</f>
        <v>0</v>
      </c>
      <c r="AF198" s="1665">
        <f>IF(AF184=0,0,AF212/AF184*100)</f>
        <v>0</v>
      </c>
      <c r="AG198" s="1665">
        <f>IF(AG184=0,0,AG212/AG184*100)</f>
        <v>0</v>
      </c>
      <c r="AH198" s="1665">
        <f>IF(AH184=0,0,AH212/AH184*100)</f>
        <v>0</v>
      </c>
      <c r="AI198" s="1665">
        <f>IF(AI184=0,0,AI212/AI184*100)</f>
        <v>0</v>
      </c>
      <c r="AJ198" s="1665">
        <f>IF(AJ184=0,0,AJ212/AJ184*100)</f>
        <v>0</v>
      </c>
      <c r="AK198" s="1665">
        <f>IF(AK184=0,0,AK212/AK184*100)</f>
        <v>0</v>
      </c>
      <c r="AL198" s="1665">
        <f>IF(AL184=0,0,AL212/AL184*100)</f>
        <v>0</v>
      </c>
      <c r="AM198" s="1665">
        <f>IF(AM184=0,0,AM212/AM184*100)</f>
        <v>0</v>
      </c>
      <c r="AN198" s="1665">
        <f>IF(AN184=0,0,AN212/AN184*100)</f>
        <v>0</v>
      </c>
      <c r="AO198" s="1665">
        <f>IF(AO184=0,0,AO212/AO184*100)</f>
        <v>0</v>
      </c>
      <c r="AP198" s="1665">
        <f>IF(AP184=0,0,AP212/AP184*100)</f>
        <v>0</v>
      </c>
      <c r="AQ198" s="1665">
        <f>IF(AQ184=0,0,AQ212/AQ184*100)</f>
        <v>0</v>
      </c>
      <c r="AR198" s="1665">
        <f>IF(AR184=0,0,AR212/AR184*100)</f>
        <v>0</v>
      </c>
      <c r="AS198" s="1665">
        <f>IF(AS184=0,0,AS212/AS184*100)</f>
        <v>0</v>
      </c>
      <c r="AT198" s="1665">
        <f>IF(AT184=0,0,AT212/AT184*100)</f>
        <v>0</v>
      </c>
      <c r="AU198" s="1665">
        <f>IF(AU184=0,0,AU212/AU184*100)</f>
        <v>0</v>
      </c>
      <c r="AV198" s="1665">
        <f>IF(AV184=0,0,AV212/AV184*100)</f>
        <v>0</v>
      </c>
      <c r="AW198" s="1665">
        <f>IF(AW184=0,0,AW212/AW184*100)</f>
        <v>0</v>
      </c>
      <c r="AX198" s="1665">
        <f>IF(AX184=0,0,AX212/AX184*100)</f>
        <v>0</v>
      </c>
      <c r="AY198" s="1665">
        <f>IF(AY184=0,0,AY212/AY184*100)</f>
        <v>0</v>
      </c>
      <c r="AZ198" s="1665">
        <f>IF(AZ184=0,0,AZ212/AZ184*100)</f>
        <v>0</v>
      </c>
      <c r="BA198" s="1665">
        <f>IF(BA184=0,0,BA212/BA184*100)</f>
        <v>0</v>
      </c>
      <c r="BB198" s="1665">
        <f>IF(BB184=0,0,BB212/BB184*100)</f>
        <v>0</v>
      </c>
      <c r="BC198" s="1719"/>
      <c r="BD198" s="937"/>
      <c r="BE198" s="937"/>
      <c r="BF198" s="1173" t="s">
        <v>1120</v>
      </c>
    </row>
    <row s="1632" customFormat="1" customHeight="1" ht="14.25">
      <c r="A199" s="1443"/>
      <c r="B199" s="927"/>
      <c r="C199" s="1443"/>
      <c r="D199" s="1443"/>
      <c r="E199" s="797">
        <v>15</v>
      </c>
      <c r="F199" s="922" cm="1" t="str">
        <f t="array" ref="F199:F199">F198</f>
        <v>1</v>
      </c>
      <c r="G199" s="965"/>
      <c r="H199" s="965"/>
      <c r="I199" s="965"/>
      <c r="J199" s="965"/>
      <c r="K199" s="965"/>
      <c r="L199" s="965"/>
      <c r="M199" s="965"/>
      <c r="N199" s="965"/>
      <c r="O199" s="965"/>
      <c r="P199" s="965"/>
      <c r="Q199" s="928"/>
      <c r="R199" s="928"/>
      <c r="S199" s="965"/>
      <c r="T199" s="819" cm="1" t="str">
        <f t="array" ref="T199:T199">T198</f>
        <v>true</v>
      </c>
      <c r="U199" s="1443"/>
      <c r="V199" s="1443"/>
      <c r="W199" s="1443"/>
      <c r="X199" s="1443"/>
      <c r="Y199" s="1443"/>
      <c r="Z199" s="1443"/>
      <c r="AA199" s="937"/>
      <c r="AB199" s="489" t="str">
        <f>AB197&amp;".2"</f>
        <v>6.2</v>
      </c>
      <c r="AC199" s="490" t="s">
        <v>1025</v>
      </c>
      <c r="AD199" s="489" t="s">
        <v>498</v>
      </c>
      <c r="AE199" s="1665">
        <f>IF(AE185=0,0,AE213/AE185*100)</f>
        <v>0</v>
      </c>
      <c r="AF199" s="1665">
        <f>IF(AF185=0,0,AF213/AF185*100)</f>
        <v>0</v>
      </c>
      <c r="AG199" s="1665">
        <f>IF(AG185=0,0,AG213/AG185*100)</f>
        <v>0</v>
      </c>
      <c r="AH199" s="1665">
        <f>IF(AH185=0,0,AH213/AH185*100)</f>
        <v>0</v>
      </c>
      <c r="AI199" s="1665">
        <f>IF(AI185=0,0,AI213/AI185*100)</f>
        <v>0</v>
      </c>
      <c r="AJ199" s="1665">
        <f>IF(AJ185=0,0,AJ213/AJ185*100)</f>
        <v>0</v>
      </c>
      <c r="AK199" s="1665">
        <f>IF(AK185=0,0,AK213/AK185*100)</f>
        <v>0</v>
      </c>
      <c r="AL199" s="1665">
        <f>IF(AL185=0,0,AL213/AL185*100)</f>
        <v>0</v>
      </c>
      <c r="AM199" s="1665">
        <f>IF(AM185=0,0,AM213/AM185*100)</f>
        <v>0</v>
      </c>
      <c r="AN199" s="1665">
        <f>IF(AN185=0,0,AN213/AN185*100)</f>
        <v>0</v>
      </c>
      <c r="AO199" s="1665">
        <f>IF(AO185=0,0,AO213/AO185*100)</f>
        <v>0</v>
      </c>
      <c r="AP199" s="1665">
        <f>IF(AP185=0,0,AP213/AP185*100)</f>
        <v>0</v>
      </c>
      <c r="AQ199" s="1665">
        <f>IF(AQ185=0,0,AQ213/AQ185*100)</f>
        <v>0</v>
      </c>
      <c r="AR199" s="1665">
        <f>IF(AR185=0,0,AR213/AR185*100)</f>
        <v>0</v>
      </c>
      <c r="AS199" s="1665">
        <f>IF(AS185=0,0,AS213/AS185*100)</f>
        <v>0</v>
      </c>
      <c r="AT199" s="1665">
        <f>IF(AT185=0,0,AT213/AT185*100)</f>
        <v>0</v>
      </c>
      <c r="AU199" s="1665">
        <f>IF(AU185=0,0,AU213/AU185*100)</f>
        <v>0</v>
      </c>
      <c r="AV199" s="1665">
        <f>IF(AV185=0,0,AV213/AV185*100)</f>
        <v>0</v>
      </c>
      <c r="AW199" s="1665">
        <f>IF(AW185=0,0,AW213/AW185*100)</f>
        <v>0</v>
      </c>
      <c r="AX199" s="1665">
        <f>IF(AX185=0,0,AX213/AX185*100)</f>
        <v>0</v>
      </c>
      <c r="AY199" s="1665">
        <f>IF(AY185=0,0,AY213/AY185*100)</f>
        <v>0</v>
      </c>
      <c r="AZ199" s="1665">
        <f>IF(AZ185=0,0,AZ213/AZ185*100)</f>
        <v>0</v>
      </c>
      <c r="BA199" s="1665">
        <f>IF(BA185=0,0,BA213/BA185*100)</f>
        <v>0</v>
      </c>
      <c r="BB199" s="1665">
        <f>IF(BB185=0,0,BB213/BB185*100)</f>
        <v>0</v>
      </c>
      <c r="BC199" s="1719"/>
      <c r="BD199" s="937"/>
      <c r="BE199" s="937"/>
      <c r="BF199" s="1173" t="s">
        <v>1121</v>
      </c>
    </row>
    <row s="1632" customFormat="1" customHeight="1" ht="14.25">
      <c r="A200" s="1443"/>
      <c r="B200" s="927"/>
      <c r="C200" s="1443"/>
      <c r="D200" s="1443"/>
      <c r="E200" s="797">
        <v>15</v>
      </c>
      <c r="F200" s="922" cm="1" t="str">
        <f t="array" ref="F200:F200">F199</f>
        <v>1</v>
      </c>
      <c r="G200" s="965"/>
      <c r="H200" s="965"/>
      <c r="I200" s="965"/>
      <c r="J200" s="965"/>
      <c r="K200" s="965"/>
      <c r="L200" s="965"/>
      <c r="M200" s="965"/>
      <c r="N200" s="965"/>
      <c r="O200" s="965"/>
      <c r="P200" s="965"/>
      <c r="Q200" s="928"/>
      <c r="R200" s="928"/>
      <c r="S200" s="965"/>
      <c r="T200" s="819" cm="1" t="str">
        <f t="array" ref="T200:T200">T199</f>
        <v>true</v>
      </c>
      <c r="U200" s="1443"/>
      <c r="V200" s="1443"/>
      <c r="W200" s="1443"/>
      <c r="X200" s="1443"/>
      <c r="Y200" s="1443"/>
      <c r="Z200" s="1443"/>
      <c r="AA200" s="937"/>
      <c r="AB200" s="489" t="str">
        <f>AB197&amp;".3"</f>
        <v>6.3</v>
      </c>
      <c r="AC200" s="490" t="s">
        <v>1027</v>
      </c>
      <c r="AD200" s="489" t="s">
        <v>498</v>
      </c>
      <c r="AE200" s="1665">
        <f>IF(AE186=0,0,AE214/AE186*100)</f>
        <v>0</v>
      </c>
      <c r="AF200" s="1665">
        <f>IF(AF186=0,0,AF214/AF186*100)</f>
        <v>0</v>
      </c>
      <c r="AG200" s="1665">
        <f>IF(AG186=0,0,AG214/AG186*100)</f>
        <v>0</v>
      </c>
      <c r="AH200" s="1665">
        <f>IF(AH186=0,0,AH214/AH186*100)</f>
        <v>0</v>
      </c>
      <c r="AI200" s="1665">
        <f>IF(AI186=0,0,AI214/AI186*100)</f>
        <v>0</v>
      </c>
      <c r="AJ200" s="1665">
        <f>IF(AJ186=0,0,AJ214/AJ186*100)</f>
        <v>0</v>
      </c>
      <c r="AK200" s="1665">
        <f>IF(AK186=0,0,AK214/AK186*100)</f>
        <v>0</v>
      </c>
      <c r="AL200" s="1665">
        <f>IF(AL186=0,0,AL214/AL186*100)</f>
        <v>0</v>
      </c>
      <c r="AM200" s="1665">
        <f>IF(AM186=0,0,AM214/AM186*100)</f>
        <v>0</v>
      </c>
      <c r="AN200" s="1665">
        <f>IF(AN186=0,0,AN214/AN186*100)</f>
        <v>0</v>
      </c>
      <c r="AO200" s="1665">
        <f>IF(AO186=0,0,AO214/AO186*100)</f>
        <v>0</v>
      </c>
      <c r="AP200" s="1665">
        <f>IF(AP186=0,0,AP214/AP186*100)</f>
        <v>0</v>
      </c>
      <c r="AQ200" s="1665">
        <f>IF(AQ186=0,0,AQ214/AQ186*100)</f>
        <v>0</v>
      </c>
      <c r="AR200" s="1665">
        <f>IF(AR186=0,0,AR214/AR186*100)</f>
        <v>0</v>
      </c>
      <c r="AS200" s="1665">
        <f>IF(AS186=0,0,AS214/AS186*100)</f>
        <v>0</v>
      </c>
      <c r="AT200" s="1665">
        <f>IF(AT186=0,0,AT214/AT186*100)</f>
        <v>0</v>
      </c>
      <c r="AU200" s="1665">
        <f>IF(AU186=0,0,AU214/AU186*100)</f>
        <v>0</v>
      </c>
      <c r="AV200" s="1665">
        <f>IF(AV186=0,0,AV214/AV186*100)</f>
        <v>0</v>
      </c>
      <c r="AW200" s="1665">
        <f>IF(AW186=0,0,AW214/AW186*100)</f>
        <v>0</v>
      </c>
      <c r="AX200" s="1665">
        <f>IF(AX186=0,0,AX214/AX186*100)</f>
        <v>0</v>
      </c>
      <c r="AY200" s="1665">
        <f>IF(AY186=0,0,AY214/AY186*100)</f>
        <v>0</v>
      </c>
      <c r="AZ200" s="1665">
        <f>IF(AZ186=0,0,AZ214/AZ186*100)</f>
        <v>0</v>
      </c>
      <c r="BA200" s="1665">
        <f>IF(BA186=0,0,BA214/BA186*100)</f>
        <v>0</v>
      </c>
      <c r="BB200" s="1665">
        <f>IF(BB186=0,0,BB214/BB186*100)</f>
        <v>0</v>
      </c>
      <c r="BC200" s="1719"/>
      <c r="BD200" s="937"/>
      <c r="BE200" s="937"/>
      <c r="BF200" s="1173" t="s">
        <v>1122</v>
      </c>
    </row>
    <row s="1632" customFormat="1" customHeight="1" ht="14.25">
      <c r="A201" s="1443"/>
      <c r="B201" s="927"/>
      <c r="C201" s="1443"/>
      <c r="D201" s="1443"/>
      <c r="E201" s="797">
        <v>15</v>
      </c>
      <c r="F201" s="922" cm="1" t="str">
        <f t="array" ref="F201:F201">F200</f>
        <v>1</v>
      </c>
      <c r="G201" s="965"/>
      <c r="H201" s="965"/>
      <c r="I201" s="965"/>
      <c r="J201" s="965"/>
      <c r="K201" s="965"/>
      <c r="L201" s="965"/>
      <c r="M201" s="965"/>
      <c r="N201" s="965"/>
      <c r="O201" s="965"/>
      <c r="P201" s="965"/>
      <c r="Q201" s="928"/>
      <c r="R201" s="928"/>
      <c r="S201" s="965"/>
      <c r="T201" s="819" cm="1" t="str">
        <f t="array" ref="T201:T201">T200</f>
        <v>true</v>
      </c>
      <c r="U201" s="1443"/>
      <c r="V201" s="1443"/>
      <c r="W201" s="1443"/>
      <c r="X201" s="1443"/>
      <c r="Y201" s="1443"/>
      <c r="Z201" s="1443"/>
      <c r="AA201" s="937"/>
      <c r="AB201" s="489" t="str">
        <f>AB197&amp;".4"</f>
        <v>6.4</v>
      </c>
      <c r="AC201" s="490" t="s">
        <v>1029</v>
      </c>
      <c r="AD201" s="489" t="s">
        <v>498</v>
      </c>
      <c r="AE201" s="1665">
        <f>IF(AE187=0,0,AE215/AE187*100)</f>
        <v>0</v>
      </c>
      <c r="AF201" s="1665">
        <f>IF(AF187=0,0,AF215/AF187*100)</f>
        <v>0</v>
      </c>
      <c r="AG201" s="1665">
        <f>IF(AG187=0,0,AG215/AG187*100)</f>
        <v>0</v>
      </c>
      <c r="AH201" s="1665">
        <f>IF(AH187=0,0,AH215/AH187*100)</f>
        <v>0</v>
      </c>
      <c r="AI201" s="1665">
        <f>IF(AI187=0,0,AI215/AI187*100)</f>
        <v>0</v>
      </c>
      <c r="AJ201" s="1665">
        <f>IF(AJ187=0,0,AJ215/AJ187*100)</f>
        <v>0</v>
      </c>
      <c r="AK201" s="1665">
        <f>IF(AK187=0,0,AK215/AK187*100)</f>
        <v>0</v>
      </c>
      <c r="AL201" s="1665">
        <f>IF(AL187=0,0,AL215/AL187*100)</f>
        <v>0</v>
      </c>
      <c r="AM201" s="1665">
        <f>IF(AM187=0,0,AM215/AM187*100)</f>
        <v>0</v>
      </c>
      <c r="AN201" s="1665">
        <f>IF(AN187=0,0,AN215/AN187*100)</f>
        <v>0</v>
      </c>
      <c r="AO201" s="1665">
        <f>IF(AO187=0,0,AO215/AO187*100)</f>
        <v>0</v>
      </c>
      <c r="AP201" s="1665">
        <f>IF(AP187=0,0,AP215/AP187*100)</f>
        <v>0</v>
      </c>
      <c r="AQ201" s="1665">
        <f>IF(AQ187=0,0,AQ215/AQ187*100)</f>
        <v>0</v>
      </c>
      <c r="AR201" s="1665">
        <f>IF(AR187=0,0,AR215/AR187*100)</f>
        <v>0</v>
      </c>
      <c r="AS201" s="1665">
        <f>IF(AS187=0,0,AS215/AS187*100)</f>
        <v>0</v>
      </c>
      <c r="AT201" s="1665">
        <f>IF(AT187=0,0,AT215/AT187*100)</f>
        <v>0</v>
      </c>
      <c r="AU201" s="1665">
        <f>IF(AU187=0,0,AU215/AU187*100)</f>
        <v>0</v>
      </c>
      <c r="AV201" s="1665">
        <f>IF(AV187=0,0,AV215/AV187*100)</f>
        <v>0</v>
      </c>
      <c r="AW201" s="1665">
        <f>IF(AW187=0,0,AW215/AW187*100)</f>
        <v>0</v>
      </c>
      <c r="AX201" s="1665">
        <f>IF(AX187=0,0,AX215/AX187*100)</f>
        <v>0</v>
      </c>
      <c r="AY201" s="1665">
        <f>IF(AY187=0,0,AY215/AY187*100)</f>
        <v>0</v>
      </c>
      <c r="AZ201" s="1665">
        <f>IF(AZ187=0,0,AZ215/AZ187*100)</f>
        <v>0</v>
      </c>
      <c r="BA201" s="1665">
        <f>IF(BA187=0,0,BA215/BA187*100)</f>
        <v>0</v>
      </c>
      <c r="BB201" s="1665">
        <f>IF(BB187=0,0,BB215/BB187*100)</f>
        <v>0</v>
      </c>
      <c r="BC201" s="1719"/>
      <c r="BD201" s="937"/>
      <c r="BE201" s="937"/>
      <c r="BF201" s="1173" t="s">
        <v>1123</v>
      </c>
    </row>
    <row s="1632" customFormat="1" customHeight="1" ht="14.25">
      <c r="A202" s="1443"/>
      <c r="B202" s="927"/>
      <c r="C202" s="1443"/>
      <c r="D202" s="1443"/>
      <c r="E202" s="797">
        <v>15</v>
      </c>
      <c r="F202" s="922" cm="1" t="str">
        <f t="array" ref="F202:F202">F201</f>
        <v>1</v>
      </c>
      <c r="G202" s="965"/>
      <c r="H202" s="965"/>
      <c r="I202" s="965"/>
      <c r="J202" s="965"/>
      <c r="K202" s="965"/>
      <c r="L202" s="965"/>
      <c r="M202" s="965"/>
      <c r="N202" s="965"/>
      <c r="O202" s="965"/>
      <c r="P202" s="965"/>
      <c r="Q202" s="928"/>
      <c r="R202" s="928"/>
      <c r="S202" s="965"/>
      <c r="T202" s="819" cm="1" t="str">
        <f t="array" ref="T202:T202">T201</f>
        <v>true</v>
      </c>
      <c r="U202" s="1443"/>
      <c r="V202" s="1443"/>
      <c r="W202" s="1443"/>
      <c r="X202" s="1443"/>
      <c r="Y202" s="1443"/>
      <c r="Z202" s="1443"/>
      <c r="AA202" s="937"/>
      <c r="AB202" s="489" t="str">
        <f>AB201&amp;".1"</f>
        <v>6.4.1</v>
      </c>
      <c r="AC202" s="491" t="s">
        <v>1032</v>
      </c>
      <c r="AD202" s="489" t="s">
        <v>498</v>
      </c>
      <c r="AE202" s="1665">
        <f>IF(AE188=0,0,AE216/AE188*100)</f>
        <v>0</v>
      </c>
      <c r="AF202" s="1665">
        <f>IF(AF188=0,0,AF216/AF188*100)</f>
        <v>0</v>
      </c>
      <c r="AG202" s="1665">
        <f>IF(AG188=0,0,AG216/AG188*100)</f>
        <v>0</v>
      </c>
      <c r="AH202" s="1665">
        <f>IF(AH188=0,0,AH216/AH188*100)</f>
        <v>0</v>
      </c>
      <c r="AI202" s="1665">
        <f>IF(AI188=0,0,AI216/AI188*100)</f>
        <v>0</v>
      </c>
      <c r="AJ202" s="1665">
        <f>IF(AJ188=0,0,AJ216/AJ188*100)</f>
        <v>0</v>
      </c>
      <c r="AK202" s="1665">
        <f>IF(AK188=0,0,AK216/AK188*100)</f>
        <v>0</v>
      </c>
      <c r="AL202" s="1665">
        <f>IF(AL188=0,0,AL216/AL188*100)</f>
        <v>0</v>
      </c>
      <c r="AM202" s="1665">
        <f>IF(AM188=0,0,AM216/AM188*100)</f>
        <v>0</v>
      </c>
      <c r="AN202" s="1665">
        <f>IF(AN188=0,0,AN216/AN188*100)</f>
        <v>0</v>
      </c>
      <c r="AO202" s="1665">
        <f>IF(AO188=0,0,AO216/AO188*100)</f>
        <v>0</v>
      </c>
      <c r="AP202" s="1665">
        <f>IF(AP188=0,0,AP216/AP188*100)</f>
        <v>0</v>
      </c>
      <c r="AQ202" s="1665">
        <f>IF(AQ188=0,0,AQ216/AQ188*100)</f>
        <v>0</v>
      </c>
      <c r="AR202" s="1665">
        <f>IF(AR188=0,0,AR216/AR188*100)</f>
        <v>0</v>
      </c>
      <c r="AS202" s="1665">
        <f>IF(AS188=0,0,AS216/AS188*100)</f>
        <v>0</v>
      </c>
      <c r="AT202" s="1665">
        <f>IF(AT188=0,0,AT216/AT188*100)</f>
        <v>0</v>
      </c>
      <c r="AU202" s="1665">
        <f>IF(AU188=0,0,AU216/AU188*100)</f>
        <v>0</v>
      </c>
      <c r="AV202" s="1665">
        <f>IF(AV188=0,0,AV216/AV188*100)</f>
        <v>0</v>
      </c>
      <c r="AW202" s="1665">
        <f>IF(AW188=0,0,AW216/AW188*100)</f>
        <v>0</v>
      </c>
      <c r="AX202" s="1665">
        <f>IF(AX188=0,0,AX216/AX188*100)</f>
        <v>0</v>
      </c>
      <c r="AY202" s="1665">
        <f>IF(AY188=0,0,AY216/AY188*100)</f>
        <v>0</v>
      </c>
      <c r="AZ202" s="1665">
        <f>IF(AZ188=0,0,AZ216/AZ188*100)</f>
        <v>0</v>
      </c>
      <c r="BA202" s="1665">
        <f>IF(BA188=0,0,BA216/BA188*100)</f>
        <v>0</v>
      </c>
      <c r="BB202" s="1665">
        <f>IF(BB188=0,0,BB216/BB188*100)</f>
        <v>0</v>
      </c>
      <c r="BC202" s="1719"/>
      <c r="BD202" s="937"/>
      <c r="BE202" s="937"/>
      <c r="BF202" s="1173" t="s">
        <v>1124</v>
      </c>
    </row>
    <row s="1632" customFormat="1" customHeight="1" ht="14.25">
      <c r="A203" s="1443"/>
      <c r="B203" s="927"/>
      <c r="C203" s="1443"/>
      <c r="D203" s="1443"/>
      <c r="E203" s="797">
        <v>15</v>
      </c>
      <c r="F203" s="922" cm="1" t="str">
        <f t="array" ref="F203:F203">F202</f>
        <v>1</v>
      </c>
      <c r="G203" s="965"/>
      <c r="H203" s="965"/>
      <c r="I203" s="965"/>
      <c r="J203" s="965"/>
      <c r="K203" s="965"/>
      <c r="L203" s="965"/>
      <c r="M203" s="965"/>
      <c r="N203" s="965"/>
      <c r="O203" s="965"/>
      <c r="P203" s="965"/>
      <c r="Q203" s="928"/>
      <c r="R203" s="928"/>
      <c r="S203" s="965"/>
      <c r="T203" s="819" cm="1" t="str">
        <f t="array" ref="T203:T203">T202</f>
        <v>true</v>
      </c>
      <c r="U203" s="1443"/>
      <c r="V203" s="1443"/>
      <c r="W203" s="1443"/>
      <c r="X203" s="1443"/>
      <c r="Y203" s="1443"/>
      <c r="Z203" s="1443"/>
      <c r="AA203" s="937"/>
      <c r="AB203" s="489" t="str">
        <f>AB201&amp;".2"</f>
        <v>6.4.2</v>
      </c>
      <c r="AC203" s="491" t="s">
        <v>1035</v>
      </c>
      <c r="AD203" s="489" t="s">
        <v>498</v>
      </c>
      <c r="AE203" s="1665">
        <f>IF(AE189=0,0,AE217/AE189*100)</f>
        <v>0</v>
      </c>
      <c r="AF203" s="1665">
        <f>IF(AF189=0,0,AF217/AF189*100)</f>
        <v>0</v>
      </c>
      <c r="AG203" s="1665">
        <f>IF(AG189=0,0,AG217/AG189*100)</f>
        <v>0</v>
      </c>
      <c r="AH203" s="1665">
        <f>IF(AH189=0,0,AH217/AH189*100)</f>
        <v>0</v>
      </c>
      <c r="AI203" s="1665">
        <f>IF(AI189=0,0,AI217/AI189*100)</f>
        <v>0</v>
      </c>
      <c r="AJ203" s="1665">
        <f>IF(AJ189=0,0,AJ217/AJ189*100)</f>
        <v>0</v>
      </c>
      <c r="AK203" s="1665">
        <f>IF(AK189=0,0,AK217/AK189*100)</f>
        <v>0</v>
      </c>
      <c r="AL203" s="1665">
        <f>IF(AL189=0,0,AL217/AL189*100)</f>
        <v>0</v>
      </c>
      <c r="AM203" s="1665">
        <f>IF(AM189=0,0,AM217/AM189*100)</f>
        <v>0</v>
      </c>
      <c r="AN203" s="1665">
        <f>IF(AN189=0,0,AN217/AN189*100)</f>
        <v>0</v>
      </c>
      <c r="AO203" s="1665">
        <f>IF(AO189=0,0,AO217/AO189*100)</f>
        <v>0</v>
      </c>
      <c r="AP203" s="1665">
        <f>IF(AP189=0,0,AP217/AP189*100)</f>
        <v>0</v>
      </c>
      <c r="AQ203" s="1665">
        <f>IF(AQ189=0,0,AQ217/AQ189*100)</f>
        <v>0</v>
      </c>
      <c r="AR203" s="1665">
        <f>IF(AR189=0,0,AR217/AR189*100)</f>
        <v>0</v>
      </c>
      <c r="AS203" s="1665">
        <f>IF(AS189=0,0,AS217/AS189*100)</f>
        <v>0</v>
      </c>
      <c r="AT203" s="1665">
        <f>IF(AT189=0,0,AT217/AT189*100)</f>
        <v>0</v>
      </c>
      <c r="AU203" s="1665">
        <f>IF(AU189=0,0,AU217/AU189*100)</f>
        <v>0</v>
      </c>
      <c r="AV203" s="1665">
        <f>IF(AV189=0,0,AV217/AV189*100)</f>
        <v>0</v>
      </c>
      <c r="AW203" s="1665">
        <f>IF(AW189=0,0,AW217/AW189*100)</f>
        <v>0</v>
      </c>
      <c r="AX203" s="1665">
        <f>IF(AX189=0,0,AX217/AX189*100)</f>
        <v>0</v>
      </c>
      <c r="AY203" s="1665">
        <f>IF(AY189=0,0,AY217/AY189*100)</f>
        <v>0</v>
      </c>
      <c r="AZ203" s="1665">
        <f>IF(AZ189=0,0,AZ217/AZ189*100)</f>
        <v>0</v>
      </c>
      <c r="BA203" s="1665">
        <f>IF(BA189=0,0,BA217/BA189*100)</f>
        <v>0</v>
      </c>
      <c r="BB203" s="1665">
        <f>IF(BB189=0,0,BB217/BB189*100)</f>
        <v>0</v>
      </c>
      <c r="BC203" s="1719"/>
      <c r="BD203" s="937"/>
      <c r="BE203" s="937"/>
      <c r="BF203" s="1173" t="s">
        <v>1125</v>
      </c>
    </row>
    <row s="1632" customFormat="1" customHeight="1" ht="14.25">
      <c r="A204" s="1443"/>
      <c r="B204" s="927"/>
      <c r="C204" s="1443"/>
      <c r="D204" s="1443"/>
      <c r="E204" s="797">
        <v>15</v>
      </c>
      <c r="F204" s="922" cm="1" t="str">
        <f t="array" ref="F204:F204">F203</f>
        <v>1</v>
      </c>
      <c r="G204" s="965"/>
      <c r="H204" s="965"/>
      <c r="I204" s="965"/>
      <c r="J204" s="965"/>
      <c r="K204" s="965"/>
      <c r="L204" s="965"/>
      <c r="M204" s="965"/>
      <c r="N204" s="965"/>
      <c r="O204" s="965"/>
      <c r="P204" s="965"/>
      <c r="Q204" s="928"/>
      <c r="R204" s="928"/>
      <c r="S204" s="965"/>
      <c r="T204" s="819" cm="1" t="str">
        <f t="array" ref="T204:T204">T203</f>
        <v>true</v>
      </c>
      <c r="U204" s="1443"/>
      <c r="V204" s="1443"/>
      <c r="W204" s="1443"/>
      <c r="X204" s="1443"/>
      <c r="Y204" s="1443"/>
      <c r="Z204" s="1443"/>
      <c r="AA204" s="937"/>
      <c r="AB204" s="489" t="str">
        <f>AB201&amp;".3"</f>
        <v>6.4.3</v>
      </c>
      <c r="AC204" s="491" t="s">
        <v>1038</v>
      </c>
      <c r="AD204" s="489" t="s">
        <v>498</v>
      </c>
      <c r="AE204" s="1665">
        <f>IF(AE190=0,0,AE218/AE190*100)</f>
        <v>0</v>
      </c>
      <c r="AF204" s="1665">
        <f>IF(AF190=0,0,AF218/AF190*100)</f>
        <v>0</v>
      </c>
      <c r="AG204" s="1665">
        <f>IF(AG190=0,0,AG218/AG190*100)</f>
        <v>0</v>
      </c>
      <c r="AH204" s="1665">
        <f>IF(AH190=0,0,AH218/AH190*100)</f>
        <v>0</v>
      </c>
      <c r="AI204" s="1665">
        <f>IF(AI190=0,0,AI218/AI190*100)</f>
        <v>0</v>
      </c>
      <c r="AJ204" s="1665">
        <f>IF(AJ190=0,0,AJ218/AJ190*100)</f>
        <v>0</v>
      </c>
      <c r="AK204" s="1665">
        <f>IF(AK190=0,0,AK218/AK190*100)</f>
        <v>0</v>
      </c>
      <c r="AL204" s="1665">
        <f>IF(AL190=0,0,AL218/AL190*100)</f>
        <v>0</v>
      </c>
      <c r="AM204" s="1665">
        <f>IF(AM190=0,0,AM218/AM190*100)</f>
        <v>0</v>
      </c>
      <c r="AN204" s="1665">
        <f>IF(AN190=0,0,AN218/AN190*100)</f>
        <v>0</v>
      </c>
      <c r="AO204" s="1665">
        <f>IF(AO190=0,0,AO218/AO190*100)</f>
        <v>0</v>
      </c>
      <c r="AP204" s="1665">
        <f>IF(AP190=0,0,AP218/AP190*100)</f>
        <v>0</v>
      </c>
      <c r="AQ204" s="1665">
        <f>IF(AQ190=0,0,AQ218/AQ190*100)</f>
        <v>0</v>
      </c>
      <c r="AR204" s="1665">
        <f>IF(AR190=0,0,AR218/AR190*100)</f>
        <v>0</v>
      </c>
      <c r="AS204" s="1665">
        <f>IF(AS190=0,0,AS218/AS190*100)</f>
        <v>0</v>
      </c>
      <c r="AT204" s="1665">
        <f>IF(AT190=0,0,AT218/AT190*100)</f>
        <v>0</v>
      </c>
      <c r="AU204" s="1665">
        <f>IF(AU190=0,0,AU218/AU190*100)</f>
        <v>0</v>
      </c>
      <c r="AV204" s="1665">
        <f>IF(AV190=0,0,AV218/AV190*100)</f>
        <v>0</v>
      </c>
      <c r="AW204" s="1665">
        <f>IF(AW190=0,0,AW218/AW190*100)</f>
        <v>0</v>
      </c>
      <c r="AX204" s="1665">
        <f>IF(AX190=0,0,AX218/AX190*100)</f>
        <v>0</v>
      </c>
      <c r="AY204" s="1665">
        <f>IF(AY190=0,0,AY218/AY190*100)</f>
        <v>0</v>
      </c>
      <c r="AZ204" s="1665">
        <f>IF(AZ190=0,0,AZ218/AZ190*100)</f>
        <v>0</v>
      </c>
      <c r="BA204" s="1665">
        <f>IF(BA190=0,0,BA218/BA190*100)</f>
        <v>0</v>
      </c>
      <c r="BB204" s="1665">
        <f>IF(BB190=0,0,BB218/BB190*100)</f>
        <v>0</v>
      </c>
      <c r="BC204" s="1719"/>
      <c r="BD204" s="937"/>
      <c r="BE204" s="937"/>
      <c r="BF204" s="1173" t="s">
        <v>1126</v>
      </c>
    </row>
    <row s="1632" customFormat="1" customHeight="1" ht="14.25">
      <c r="A205" s="1443"/>
      <c r="B205" s="927"/>
      <c r="C205" s="1443"/>
      <c r="D205" s="1443"/>
      <c r="E205" s="797">
        <v>15</v>
      </c>
      <c r="F205" s="922" cm="1" t="str">
        <f t="array" ref="F205:F205">F204</f>
        <v>1</v>
      </c>
      <c r="G205" s="965"/>
      <c r="H205" s="965"/>
      <c r="I205" s="965"/>
      <c r="J205" s="965"/>
      <c r="K205" s="965"/>
      <c r="L205" s="965"/>
      <c r="M205" s="965"/>
      <c r="N205" s="965"/>
      <c r="O205" s="965"/>
      <c r="P205" s="965"/>
      <c r="Q205" s="928"/>
      <c r="R205" s="928"/>
      <c r="S205" s="965"/>
      <c r="T205" s="819" cm="1" t="str">
        <f t="array" ref="T205:T205">T204</f>
        <v>true</v>
      </c>
      <c r="U205" s="1443"/>
      <c r="V205" s="1443"/>
      <c r="W205" s="1443"/>
      <c r="X205" s="1443"/>
      <c r="Y205" s="1443"/>
      <c r="Z205" s="1443"/>
      <c r="AA205" s="937"/>
      <c r="AB205" s="489" t="str">
        <f>AB201&amp;".4"</f>
        <v>6.4.4</v>
      </c>
      <c r="AC205" s="491" t="s">
        <v>1041</v>
      </c>
      <c r="AD205" s="489" t="s">
        <v>498</v>
      </c>
      <c r="AE205" s="1665">
        <f>IF(AE191=0,0,AE219/AE191*100)</f>
        <v>0</v>
      </c>
      <c r="AF205" s="1665">
        <f>IF(AF191=0,0,AF219/AF191*100)</f>
        <v>0</v>
      </c>
      <c r="AG205" s="1665">
        <f>IF(AG191=0,0,AG219/AG191*100)</f>
        <v>0</v>
      </c>
      <c r="AH205" s="1665">
        <f>IF(AH191=0,0,AH219/AH191*100)</f>
        <v>0</v>
      </c>
      <c r="AI205" s="1665">
        <f>IF(AI191=0,0,AI219/AI191*100)</f>
        <v>0</v>
      </c>
      <c r="AJ205" s="1665">
        <f>IF(AJ191=0,0,AJ219/AJ191*100)</f>
        <v>0</v>
      </c>
      <c r="AK205" s="1665">
        <f>IF(AK191=0,0,AK219/AK191*100)</f>
        <v>0</v>
      </c>
      <c r="AL205" s="1665">
        <f>IF(AL191=0,0,AL219/AL191*100)</f>
        <v>0</v>
      </c>
      <c r="AM205" s="1665">
        <f>IF(AM191=0,0,AM219/AM191*100)</f>
        <v>0</v>
      </c>
      <c r="AN205" s="1665">
        <f>IF(AN191=0,0,AN219/AN191*100)</f>
        <v>0</v>
      </c>
      <c r="AO205" s="1665">
        <f>IF(AO191=0,0,AO219/AO191*100)</f>
        <v>0</v>
      </c>
      <c r="AP205" s="1665">
        <f>IF(AP191=0,0,AP219/AP191*100)</f>
        <v>0</v>
      </c>
      <c r="AQ205" s="1665">
        <f>IF(AQ191=0,0,AQ219/AQ191*100)</f>
        <v>0</v>
      </c>
      <c r="AR205" s="1665">
        <f>IF(AR191=0,0,AR219/AR191*100)</f>
        <v>0</v>
      </c>
      <c r="AS205" s="1665">
        <f>IF(AS191=0,0,AS219/AS191*100)</f>
        <v>0</v>
      </c>
      <c r="AT205" s="1665">
        <f>IF(AT191=0,0,AT219/AT191*100)</f>
        <v>0</v>
      </c>
      <c r="AU205" s="1665">
        <f>IF(AU191=0,0,AU219/AU191*100)</f>
        <v>0</v>
      </c>
      <c r="AV205" s="1665">
        <f>IF(AV191=0,0,AV219/AV191*100)</f>
        <v>0</v>
      </c>
      <c r="AW205" s="1665">
        <f>IF(AW191=0,0,AW219/AW191*100)</f>
        <v>0</v>
      </c>
      <c r="AX205" s="1665">
        <f>IF(AX191=0,0,AX219/AX191*100)</f>
        <v>0</v>
      </c>
      <c r="AY205" s="1665">
        <f>IF(AY191=0,0,AY219/AY191*100)</f>
        <v>0</v>
      </c>
      <c r="AZ205" s="1665">
        <f>IF(AZ191=0,0,AZ219/AZ191*100)</f>
        <v>0</v>
      </c>
      <c r="BA205" s="1665">
        <f>IF(BA191=0,0,BA219/BA191*100)</f>
        <v>0</v>
      </c>
      <c r="BB205" s="1665">
        <f>IF(BB191=0,0,BB219/BB191*100)</f>
        <v>0</v>
      </c>
      <c r="BC205" s="1719"/>
      <c r="BD205" s="937"/>
      <c r="BE205" s="937"/>
      <c r="BF205" s="1173" t="s">
        <v>1127</v>
      </c>
    </row>
    <row s="1632" customFormat="1" customHeight="1" ht="14.25">
      <c r="A206" s="1443"/>
      <c r="B206" s="927"/>
      <c r="C206" s="1443"/>
      <c r="D206" s="1443"/>
      <c r="E206" s="797">
        <v>15</v>
      </c>
      <c r="F206" s="922" cm="1" t="str">
        <f t="array" ref="F206:F206">F205</f>
        <v>1</v>
      </c>
      <c r="G206" s="965"/>
      <c r="H206" s="965"/>
      <c r="I206" s="965"/>
      <c r="J206" s="965"/>
      <c r="K206" s="965"/>
      <c r="L206" s="965"/>
      <c r="M206" s="965"/>
      <c r="N206" s="965"/>
      <c r="O206" s="965"/>
      <c r="P206" s="965"/>
      <c r="Q206" s="928"/>
      <c r="R206" s="928"/>
      <c r="S206" s="965"/>
      <c r="T206" s="819" cm="1" t="str">
        <f t="array" ref="T206:T206">T205</f>
        <v>true</v>
      </c>
      <c r="U206" s="1443"/>
      <c r="V206" s="1443"/>
      <c r="W206" s="1443"/>
      <c r="X206" s="1443"/>
      <c r="Y206" s="1443"/>
      <c r="Z206" s="1443"/>
      <c r="AA206" s="937"/>
      <c r="AB206" s="489" t="str">
        <f>AB201&amp;".5"</f>
        <v>6.4.5</v>
      </c>
      <c r="AC206" s="491" t="s">
        <v>1044</v>
      </c>
      <c r="AD206" s="489" t="s">
        <v>498</v>
      </c>
      <c r="AE206" s="1665">
        <f>IF(AE192=0,0,AE220/AE192*100)</f>
        <v>0</v>
      </c>
      <c r="AF206" s="1665">
        <f>IF(AF192=0,0,AF220/AF192*100)</f>
        <v>0</v>
      </c>
      <c r="AG206" s="1665">
        <f>IF(AG192=0,0,AG220/AG192*100)</f>
        <v>0</v>
      </c>
      <c r="AH206" s="1665">
        <f>IF(AH192=0,0,AH220/AH192*100)</f>
        <v>0</v>
      </c>
      <c r="AI206" s="1665">
        <f>IF(AI192=0,0,AI220/AI192*100)</f>
        <v>0</v>
      </c>
      <c r="AJ206" s="1665">
        <f>IF(AJ192=0,0,AJ220/AJ192*100)</f>
        <v>0</v>
      </c>
      <c r="AK206" s="1665">
        <f>IF(AK192=0,0,AK220/AK192*100)</f>
        <v>0</v>
      </c>
      <c r="AL206" s="1665">
        <f>IF(AL192=0,0,AL220/AL192*100)</f>
        <v>0</v>
      </c>
      <c r="AM206" s="1665">
        <f>IF(AM192=0,0,AM220/AM192*100)</f>
        <v>0</v>
      </c>
      <c r="AN206" s="1665">
        <f>IF(AN192=0,0,AN220/AN192*100)</f>
        <v>0</v>
      </c>
      <c r="AO206" s="1665">
        <f>IF(AO192=0,0,AO220/AO192*100)</f>
        <v>0</v>
      </c>
      <c r="AP206" s="1665">
        <f>IF(AP192=0,0,AP220/AP192*100)</f>
        <v>0</v>
      </c>
      <c r="AQ206" s="1665">
        <f>IF(AQ192=0,0,AQ220/AQ192*100)</f>
        <v>0</v>
      </c>
      <c r="AR206" s="1665">
        <f>IF(AR192=0,0,AR220/AR192*100)</f>
        <v>0</v>
      </c>
      <c r="AS206" s="1665">
        <f>IF(AS192=0,0,AS220/AS192*100)</f>
        <v>0</v>
      </c>
      <c r="AT206" s="1665">
        <f>IF(AT192=0,0,AT220/AT192*100)</f>
        <v>0</v>
      </c>
      <c r="AU206" s="1665">
        <f>IF(AU192=0,0,AU220/AU192*100)</f>
        <v>0</v>
      </c>
      <c r="AV206" s="1665">
        <f>IF(AV192=0,0,AV220/AV192*100)</f>
        <v>0</v>
      </c>
      <c r="AW206" s="1665">
        <f>IF(AW192=0,0,AW220/AW192*100)</f>
        <v>0</v>
      </c>
      <c r="AX206" s="1665">
        <f>IF(AX192=0,0,AX220/AX192*100)</f>
        <v>0</v>
      </c>
      <c r="AY206" s="1665">
        <f>IF(AY192=0,0,AY220/AY192*100)</f>
        <v>0</v>
      </c>
      <c r="AZ206" s="1665">
        <f>IF(AZ192=0,0,AZ220/AZ192*100)</f>
        <v>0</v>
      </c>
      <c r="BA206" s="1665">
        <f>IF(BA192=0,0,BA220/BA192*100)</f>
        <v>0</v>
      </c>
      <c r="BB206" s="1665">
        <f>IF(BB192=0,0,BB220/BB192*100)</f>
        <v>0</v>
      </c>
      <c r="BC206" s="1719"/>
      <c r="BD206" s="937"/>
      <c r="BE206" s="937"/>
      <c r="BF206" s="1173" t="s">
        <v>1128</v>
      </c>
    </row>
    <row s="1632" customFormat="1" customHeight="1" ht="14.25">
      <c r="A207" s="1443"/>
      <c r="B207" s="927"/>
      <c r="C207" s="1443"/>
      <c r="D207" s="1443"/>
      <c r="E207" s="797">
        <v>15</v>
      </c>
      <c r="F207" s="922" cm="1" t="str">
        <f t="array" ref="F207:F207">F206</f>
        <v>1</v>
      </c>
      <c r="G207" s="965"/>
      <c r="H207" s="965"/>
      <c r="I207" s="965"/>
      <c r="J207" s="965"/>
      <c r="K207" s="965"/>
      <c r="L207" s="965"/>
      <c r="M207" s="965"/>
      <c r="N207" s="965"/>
      <c r="O207" s="965"/>
      <c r="P207" s="965"/>
      <c r="Q207" s="928"/>
      <c r="R207" s="928"/>
      <c r="S207" s="965"/>
      <c r="T207" s="819" cm="1" t="str">
        <f t="array" ref="T207:T207">T206</f>
        <v>true</v>
      </c>
      <c r="U207" s="1443"/>
      <c r="V207" s="1443"/>
      <c r="W207" s="1443"/>
      <c r="X207" s="1443"/>
      <c r="Y207" s="1443"/>
      <c r="Z207" s="1443"/>
      <c r="AA207" s="937"/>
      <c r="AB207" s="489" t="str">
        <f>AB197&amp;".5"</f>
        <v>6.5</v>
      </c>
      <c r="AC207" s="490" t="s">
        <v>1047</v>
      </c>
      <c r="AD207" s="489" t="s">
        <v>498</v>
      </c>
      <c r="AE207" s="1665">
        <f>IF(AE193=0,0,AE221/AE193*100)</f>
        <v>0</v>
      </c>
      <c r="AF207" s="1665">
        <f>IF(AF193=0,0,AF221/AF193*100)</f>
        <v>0</v>
      </c>
      <c r="AG207" s="1665">
        <f>IF(AG193=0,0,AG221/AG193*100)</f>
        <v>0</v>
      </c>
      <c r="AH207" s="1665">
        <f>IF(AH193=0,0,AH221/AH193*100)</f>
        <v>0</v>
      </c>
      <c r="AI207" s="1665">
        <f>IF(AI193=0,0,AI221/AI193*100)</f>
        <v>0</v>
      </c>
      <c r="AJ207" s="1665">
        <f>IF(AJ193=0,0,AJ221/AJ193*100)</f>
        <v>0</v>
      </c>
      <c r="AK207" s="1665">
        <f>IF(AK193=0,0,AK221/AK193*100)</f>
        <v>0</v>
      </c>
      <c r="AL207" s="1665">
        <f>IF(AL193=0,0,AL221/AL193*100)</f>
        <v>0</v>
      </c>
      <c r="AM207" s="1665">
        <f>IF(AM193=0,0,AM221/AM193*100)</f>
        <v>0</v>
      </c>
      <c r="AN207" s="1665">
        <f>IF(AN193=0,0,AN221/AN193*100)</f>
        <v>0</v>
      </c>
      <c r="AO207" s="1665">
        <f>IF(AO193=0,0,AO221/AO193*100)</f>
        <v>0</v>
      </c>
      <c r="AP207" s="1665">
        <f>IF(AP193=0,0,AP221/AP193*100)</f>
        <v>0</v>
      </c>
      <c r="AQ207" s="1665">
        <f>IF(AQ193=0,0,AQ221/AQ193*100)</f>
        <v>0</v>
      </c>
      <c r="AR207" s="1665">
        <f>IF(AR193=0,0,AR221/AR193*100)</f>
        <v>0</v>
      </c>
      <c r="AS207" s="1665">
        <f>IF(AS193=0,0,AS221/AS193*100)</f>
        <v>0</v>
      </c>
      <c r="AT207" s="1665">
        <f>IF(AT193=0,0,AT221/AT193*100)</f>
        <v>0</v>
      </c>
      <c r="AU207" s="1665">
        <f>IF(AU193=0,0,AU221/AU193*100)</f>
        <v>0</v>
      </c>
      <c r="AV207" s="1665">
        <f>IF(AV193=0,0,AV221/AV193*100)</f>
        <v>0</v>
      </c>
      <c r="AW207" s="1665">
        <f>IF(AW193=0,0,AW221/AW193*100)</f>
        <v>0</v>
      </c>
      <c r="AX207" s="1665">
        <f>IF(AX193=0,0,AX221/AX193*100)</f>
        <v>0</v>
      </c>
      <c r="AY207" s="1665">
        <f>IF(AY193=0,0,AY221/AY193*100)</f>
        <v>0</v>
      </c>
      <c r="AZ207" s="1665">
        <f>IF(AZ193=0,0,AZ221/AZ193*100)</f>
        <v>0</v>
      </c>
      <c r="BA207" s="1665">
        <f>IF(BA193=0,0,BA221/BA193*100)</f>
        <v>0</v>
      </c>
      <c r="BB207" s="1665">
        <f>IF(BB193=0,0,BB221/BB193*100)</f>
        <v>0</v>
      </c>
      <c r="BC207" s="1719"/>
      <c r="BD207" s="937"/>
      <c r="BE207" s="937"/>
      <c r="BF207" s="1173" t="s">
        <v>1129</v>
      </c>
    </row>
    <row s="1632" customFormat="1" customHeight="1" ht="14.25">
      <c r="A208" s="1443"/>
      <c r="B208" s="927"/>
      <c r="C208" s="1443"/>
      <c r="D208" s="1443"/>
      <c r="E208" s="797">
        <v>15</v>
      </c>
      <c r="F208" s="922" cm="1" t="str">
        <f t="array" ref="F208:F208">F207</f>
        <v>1</v>
      </c>
      <c r="G208" s="965"/>
      <c r="H208" s="965"/>
      <c r="I208" s="965"/>
      <c r="J208" s="965"/>
      <c r="K208" s="965"/>
      <c r="L208" s="965"/>
      <c r="M208" s="965"/>
      <c r="N208" s="965"/>
      <c r="O208" s="965"/>
      <c r="P208" s="965"/>
      <c r="Q208" s="928"/>
      <c r="R208" s="928"/>
      <c r="S208" s="965"/>
      <c r="T208" s="819" cm="1" t="str">
        <f t="array" ref="T208:T208">T207</f>
        <v>true</v>
      </c>
      <c r="U208" s="1443"/>
      <c r="V208" s="1443"/>
      <c r="W208" s="1443"/>
      <c r="X208" s="1443"/>
      <c r="Y208" s="1443"/>
      <c r="Z208" s="1443"/>
      <c r="AA208" s="937"/>
      <c r="AB208" s="489" t="str">
        <f>AB197&amp;".6"</f>
        <v>6.6</v>
      </c>
      <c r="AC208" s="490" t="s">
        <v>1050</v>
      </c>
      <c r="AD208" s="489" t="s">
        <v>498</v>
      </c>
      <c r="AE208" s="1665">
        <f>IF(AE194=0,0,AE222/AE194*100)</f>
        <v>0</v>
      </c>
      <c r="AF208" s="1665">
        <f>IF(AF194=0,0,AF222/AF194*100)</f>
        <v>0</v>
      </c>
      <c r="AG208" s="1665">
        <f>IF(AG194=0,0,AG222/AG194*100)</f>
        <v>0</v>
      </c>
      <c r="AH208" s="1665">
        <f>IF(AH194=0,0,AH222/AH194*100)</f>
        <v>0</v>
      </c>
      <c r="AI208" s="1665">
        <f>IF(AI194=0,0,AI222/AI194*100)</f>
        <v>0</v>
      </c>
      <c r="AJ208" s="1665">
        <f>IF(AJ194=0,0,AJ222/AJ194*100)</f>
        <v>0</v>
      </c>
      <c r="AK208" s="1665">
        <f>IF(AK194=0,0,AK222/AK194*100)</f>
        <v>0</v>
      </c>
      <c r="AL208" s="1665">
        <f>IF(AL194=0,0,AL222/AL194*100)</f>
        <v>0</v>
      </c>
      <c r="AM208" s="1665">
        <f>IF(AM194=0,0,AM222/AM194*100)</f>
        <v>0</v>
      </c>
      <c r="AN208" s="1665">
        <f>IF(AN194=0,0,AN222/AN194*100)</f>
        <v>0</v>
      </c>
      <c r="AO208" s="1665">
        <f>IF(AO194=0,0,AO222/AO194*100)</f>
        <v>0</v>
      </c>
      <c r="AP208" s="1665">
        <f>IF(AP194=0,0,AP222/AP194*100)</f>
        <v>0</v>
      </c>
      <c r="AQ208" s="1665">
        <f>IF(AQ194=0,0,AQ222/AQ194*100)</f>
        <v>0</v>
      </c>
      <c r="AR208" s="1665">
        <f>IF(AR194=0,0,AR222/AR194*100)</f>
        <v>0</v>
      </c>
      <c r="AS208" s="1665">
        <f>IF(AS194=0,0,AS222/AS194*100)</f>
        <v>0</v>
      </c>
      <c r="AT208" s="1665">
        <f>IF(AT194=0,0,AT222/AT194*100)</f>
        <v>0</v>
      </c>
      <c r="AU208" s="1665">
        <f>IF(AU194=0,0,AU222/AU194*100)</f>
        <v>0</v>
      </c>
      <c r="AV208" s="1665">
        <f>IF(AV194=0,0,AV222/AV194*100)</f>
        <v>0</v>
      </c>
      <c r="AW208" s="1665">
        <f>IF(AW194=0,0,AW222/AW194*100)</f>
        <v>0</v>
      </c>
      <c r="AX208" s="1665">
        <f>IF(AX194=0,0,AX222/AX194*100)</f>
        <v>0</v>
      </c>
      <c r="AY208" s="1665">
        <f>IF(AY194=0,0,AY222/AY194*100)</f>
        <v>0</v>
      </c>
      <c r="AZ208" s="1665">
        <f>IF(AZ194=0,0,AZ222/AZ194*100)</f>
        <v>0</v>
      </c>
      <c r="BA208" s="1665">
        <f>IF(BA194=0,0,BA222/BA194*100)</f>
        <v>0</v>
      </c>
      <c r="BB208" s="1665">
        <f>IF(BB194=0,0,BB222/BB194*100)</f>
        <v>0</v>
      </c>
      <c r="BC208" s="1719"/>
      <c r="BD208" s="937"/>
      <c r="BE208" s="937"/>
      <c r="BF208" s="1173" t="s">
        <v>1130</v>
      </c>
    </row>
    <row s="1632" customFormat="1" customHeight="1" ht="14.25">
      <c r="A209" s="1443"/>
      <c r="B209" s="927"/>
      <c r="C209" s="1443"/>
      <c r="D209" s="1443"/>
      <c r="E209" s="797">
        <v>15</v>
      </c>
      <c r="F209" s="922" cm="1" t="str">
        <f t="array" ref="F209:F209">F208</f>
        <v>1</v>
      </c>
      <c r="G209" s="965"/>
      <c r="H209" s="965"/>
      <c r="I209" s="965"/>
      <c r="J209" s="965"/>
      <c r="K209" s="965"/>
      <c r="L209" s="965"/>
      <c r="M209" s="965"/>
      <c r="N209" s="965"/>
      <c r="O209" s="965"/>
      <c r="P209" s="965"/>
      <c r="Q209" s="928"/>
      <c r="R209" s="928"/>
      <c r="S209" s="965"/>
      <c r="T209" s="819" cm="1" t="str">
        <f t="array" ref="T209:T209">T208</f>
        <v>true</v>
      </c>
      <c r="U209" s="1443"/>
      <c r="V209" s="1443"/>
      <c r="W209" s="1443"/>
      <c r="X209" s="1443"/>
      <c r="Y209" s="1443"/>
      <c r="Z209" s="1443"/>
      <c r="AA209" s="937"/>
      <c r="AB209" s="489" t="str">
        <f>AB197&amp;".7"</f>
        <v>6.7</v>
      </c>
      <c r="AC209" s="490" t="s">
        <v>1053</v>
      </c>
      <c r="AD209" s="489" t="s">
        <v>498</v>
      </c>
      <c r="AE209" s="1665">
        <f>IF(AE195=0,0,AE223/AE195*100)</f>
        <v>0</v>
      </c>
      <c r="AF209" s="1665">
        <f>IF(AF195=0,0,AF223/AF195*100)</f>
        <v>0</v>
      </c>
      <c r="AG209" s="1665">
        <f>IF(AG195=0,0,AG223/AG195*100)</f>
        <v>0</v>
      </c>
      <c r="AH209" s="1665">
        <f>IF(AH195=0,0,AH223/AH195*100)</f>
        <v>0</v>
      </c>
      <c r="AI209" s="1665">
        <f>IF(AI195=0,0,AI223/AI195*100)</f>
        <v>0</v>
      </c>
      <c r="AJ209" s="1665">
        <f>IF(AJ195=0,0,AJ223/AJ195*100)</f>
        <v>0</v>
      </c>
      <c r="AK209" s="1665">
        <f>IF(AK195=0,0,AK223/AK195*100)</f>
        <v>0</v>
      </c>
      <c r="AL209" s="1665">
        <f>IF(AL195=0,0,AL223/AL195*100)</f>
        <v>0</v>
      </c>
      <c r="AM209" s="1665">
        <f>IF(AM195=0,0,AM223/AM195*100)</f>
        <v>0</v>
      </c>
      <c r="AN209" s="1665">
        <f>IF(AN195=0,0,AN223/AN195*100)</f>
        <v>0</v>
      </c>
      <c r="AO209" s="1665">
        <f>IF(AO195=0,0,AO223/AO195*100)</f>
        <v>0</v>
      </c>
      <c r="AP209" s="1665">
        <f>IF(AP195=0,0,AP223/AP195*100)</f>
        <v>0</v>
      </c>
      <c r="AQ209" s="1665">
        <f>IF(AQ195=0,0,AQ223/AQ195*100)</f>
        <v>0</v>
      </c>
      <c r="AR209" s="1665">
        <f>IF(AR195=0,0,AR223/AR195*100)</f>
        <v>0</v>
      </c>
      <c r="AS209" s="1665">
        <f>IF(AS195=0,0,AS223/AS195*100)</f>
        <v>0</v>
      </c>
      <c r="AT209" s="1665">
        <f>IF(AT195=0,0,AT223/AT195*100)</f>
        <v>0</v>
      </c>
      <c r="AU209" s="1665">
        <f>IF(AU195=0,0,AU223/AU195*100)</f>
        <v>0</v>
      </c>
      <c r="AV209" s="1665">
        <f>IF(AV195=0,0,AV223/AV195*100)</f>
        <v>0</v>
      </c>
      <c r="AW209" s="1665">
        <f>IF(AW195=0,0,AW223/AW195*100)</f>
        <v>0</v>
      </c>
      <c r="AX209" s="1665">
        <f>IF(AX195=0,0,AX223/AX195*100)</f>
        <v>0</v>
      </c>
      <c r="AY209" s="1665">
        <f>IF(AY195=0,0,AY223/AY195*100)</f>
        <v>0</v>
      </c>
      <c r="AZ209" s="1665">
        <f>IF(AZ195=0,0,AZ223/AZ195*100)</f>
        <v>0</v>
      </c>
      <c r="BA209" s="1665">
        <f>IF(BA195=0,0,BA223/BA195*100)</f>
        <v>0</v>
      </c>
      <c r="BB209" s="1665">
        <f>IF(BB195=0,0,BB223/BB195*100)</f>
        <v>0</v>
      </c>
      <c r="BC209" s="1719"/>
      <c r="BD209" s="937"/>
      <c r="BE209" s="937"/>
      <c r="BF209" s="1173" t="s">
        <v>1131</v>
      </c>
    </row>
    <row s="1632" customFormat="1" customHeight="1" ht="14.25">
      <c r="A210" s="1443"/>
      <c r="B210" s="927"/>
      <c r="C210" s="1443"/>
      <c r="D210" s="1443"/>
      <c r="E210" s="797">
        <v>15</v>
      </c>
      <c r="F210" s="922" cm="1" t="str">
        <f t="array" ref="F210:F210">F209</f>
        <v>1</v>
      </c>
      <c r="G210" s="965"/>
      <c r="H210" s="965"/>
      <c r="I210" s="965"/>
      <c r="J210" s="965"/>
      <c r="K210" s="965"/>
      <c r="L210" s="965"/>
      <c r="M210" s="965"/>
      <c r="N210" s="965"/>
      <c r="O210" s="965"/>
      <c r="P210" s="965"/>
      <c r="Q210" s="928"/>
      <c r="R210" s="928"/>
      <c r="S210" s="965"/>
      <c r="T210" s="819" cm="1" t="str">
        <f t="array" ref="T210:T210">T209</f>
        <v>true</v>
      </c>
      <c r="U210" s="1443"/>
      <c r="V210" s="1443"/>
      <c r="W210" s="1443"/>
      <c r="X210" s="1443"/>
      <c r="Y210" s="1443"/>
      <c r="Z210" s="1443"/>
      <c r="AA210" s="937"/>
      <c r="AB210" s="489" t="str">
        <f>AB197&amp;".8"</f>
        <v>6.8</v>
      </c>
      <c r="AC210" s="490" t="s">
        <v>1056</v>
      </c>
      <c r="AD210" s="489" t="s">
        <v>498</v>
      </c>
      <c r="AE210" s="1665">
        <f>IF(AE196=0,0,AE224/AE196*100)</f>
        <v>0</v>
      </c>
      <c r="AF210" s="1665">
        <f>IF(AF196=0,0,AF224/AF196*100)</f>
        <v>0</v>
      </c>
      <c r="AG210" s="1665">
        <f>IF(AG196=0,0,AG224/AG196*100)</f>
        <v>0</v>
      </c>
      <c r="AH210" s="1665">
        <f>IF(AH196=0,0,AH224/AH196*100)</f>
        <v>0</v>
      </c>
      <c r="AI210" s="1665">
        <f>IF(AI196=0,0,AI224/AI196*100)</f>
        <v>0</v>
      </c>
      <c r="AJ210" s="1665">
        <f>IF(AJ196=0,0,AJ224/AJ196*100)</f>
        <v>0</v>
      </c>
      <c r="AK210" s="1665">
        <f>IF(AK196=0,0,AK224/AK196*100)</f>
        <v>0</v>
      </c>
      <c r="AL210" s="1665">
        <f>IF(AL196=0,0,AL224/AL196*100)</f>
        <v>0</v>
      </c>
      <c r="AM210" s="1665">
        <f>IF(AM196=0,0,AM224/AM196*100)</f>
        <v>0</v>
      </c>
      <c r="AN210" s="1665">
        <f>IF(AN196=0,0,AN224/AN196*100)</f>
        <v>0</v>
      </c>
      <c r="AO210" s="1665">
        <f>IF(AO196=0,0,AO224/AO196*100)</f>
        <v>0</v>
      </c>
      <c r="AP210" s="1665">
        <f>IF(AP196=0,0,AP224/AP196*100)</f>
        <v>0</v>
      </c>
      <c r="AQ210" s="1665">
        <f>IF(AQ196=0,0,AQ224/AQ196*100)</f>
        <v>0</v>
      </c>
      <c r="AR210" s="1665">
        <f>IF(AR196=0,0,AR224/AR196*100)</f>
        <v>0</v>
      </c>
      <c r="AS210" s="1665">
        <f>IF(AS196=0,0,AS224/AS196*100)</f>
        <v>0</v>
      </c>
      <c r="AT210" s="1665">
        <f>IF(AT196=0,0,AT224/AT196*100)</f>
        <v>0</v>
      </c>
      <c r="AU210" s="1665">
        <f>IF(AU196=0,0,AU224/AU196*100)</f>
        <v>0</v>
      </c>
      <c r="AV210" s="1665">
        <f>IF(AV196=0,0,AV224/AV196*100)</f>
        <v>0</v>
      </c>
      <c r="AW210" s="1665">
        <f>IF(AW196=0,0,AW224/AW196*100)</f>
        <v>0</v>
      </c>
      <c r="AX210" s="1665">
        <f>IF(AX196=0,0,AX224/AX196*100)</f>
        <v>0</v>
      </c>
      <c r="AY210" s="1665">
        <f>IF(AY196=0,0,AY224/AY196*100)</f>
        <v>0</v>
      </c>
      <c r="AZ210" s="1665">
        <f>IF(AZ196=0,0,AZ224/AZ196*100)</f>
        <v>0</v>
      </c>
      <c r="BA210" s="1665">
        <f>IF(BA196=0,0,BA224/BA196*100)</f>
        <v>0</v>
      </c>
      <c r="BB210" s="1665">
        <f>IF(BB196=0,0,BB224/BB196*100)</f>
        <v>0</v>
      </c>
      <c r="BC210" s="1719"/>
      <c r="BD210" s="937"/>
      <c r="BE210" s="937"/>
      <c r="BF210" s="1173" t="s">
        <v>1132</v>
      </c>
    </row>
    <row s="217" customFormat="1" customHeight="1" ht="14.25">
      <c r="A211" s="217"/>
      <c r="B211" s="217"/>
      <c r="C211" s="217"/>
      <c r="D211" s="217"/>
      <c r="E211" s="797">
        <v>15</v>
      </c>
      <c r="F211" s="922" cm="1" t="str">
        <f t="array" ref="F211:F211">F210</f>
        <v>1</v>
      </c>
      <c r="G211" s="739" t="s">
        <v>1133</v>
      </c>
      <c r="H211" s="217"/>
      <c r="I211" s="217"/>
      <c r="J211" s="217"/>
      <c r="K211" s="217"/>
      <c r="L211" s="217"/>
      <c r="M211" s="217"/>
      <c r="N211" s="217"/>
      <c r="O211" s="217"/>
      <c r="P211" s="217"/>
      <c r="Q211" s="217"/>
      <c r="R211" s="217"/>
      <c r="S211" s="217"/>
      <c r="T211" s="819" cm="1" t="str">
        <f t="array" ref="T211:T211">T210</f>
        <v>true</v>
      </c>
      <c r="U211" s="217"/>
      <c r="V211" s="217"/>
      <c r="W211" s="217"/>
      <c r="X211" s="217"/>
      <c r="Y211" s="217"/>
      <c r="Z211" s="217"/>
      <c r="AA211" s="217"/>
      <c r="AB211" s="280">
        <v>7</v>
      </c>
      <c r="AC211" s="281" t="s">
        <v>1134</v>
      </c>
      <c r="AD211" s="156" t="s">
        <v>810</v>
      </c>
      <c r="AE211" s="1880">
        <f>SUM(AE212:AE215)+SUM(AE221:AE224)</f>
        <v>0</v>
      </c>
      <c r="AF211" s="1880">
        <f>SUM(AF212:AF215)+SUM(AF221:AF224)</f>
        <v>0</v>
      </c>
      <c r="AG211" s="1880">
        <f>SUM(AG212:AG215)+SUM(AG221:AG224)</f>
        <v>0</v>
      </c>
      <c r="AH211" s="1880">
        <f>SUM(AH212:AH215)+SUM(AH221:AH224)</f>
        <v>0</v>
      </c>
      <c r="AI211" s="1880">
        <f>SUM(AI212:AI215)+SUM(AI221:AI224)</f>
        <v>0</v>
      </c>
      <c r="AJ211" s="1880">
        <f>SUM(AJ212:AJ215)+SUM(AJ221:AJ224)</f>
        <v>0</v>
      </c>
      <c r="AK211" s="1880">
        <f>SUM(AK212:AK215)+SUM(AK221:AK224)</f>
        <v>0</v>
      </c>
      <c r="AL211" s="1880">
        <f>SUM(AL212:AL215)+SUM(AL221:AL224)</f>
        <v>0</v>
      </c>
      <c r="AM211" s="1880">
        <f>SUM(AM212:AM215)+SUM(AM221:AM224)</f>
        <v>0</v>
      </c>
      <c r="AN211" s="1880">
        <f>SUM(AN212:AN215)+SUM(AN221:AN224)</f>
        <v>0</v>
      </c>
      <c r="AO211" s="1880">
        <f>SUM(AO212:AO215)+SUM(AO221:AO224)</f>
        <v>0</v>
      </c>
      <c r="AP211" s="1880">
        <f>SUM(AP212:AP215)+SUM(AP221:AP224)</f>
        <v>0</v>
      </c>
      <c r="AQ211" s="1880">
        <f>SUM(AQ212:AQ215)+SUM(AQ221:AQ224)</f>
        <v>0</v>
      </c>
      <c r="AR211" s="1880">
        <f>SUM(AR212:AR215)+SUM(AR221:AR224)</f>
        <v>0</v>
      </c>
      <c r="AS211" s="1880">
        <f>SUM(AS212:AS215)+SUM(AS221:AS224)</f>
        <v>0</v>
      </c>
      <c r="AT211" s="1880">
        <f>SUM(AT212:AT215)+SUM(AT221:AT224)</f>
        <v>0</v>
      </c>
      <c r="AU211" s="1880">
        <f>SUM(AU212:AU215)+SUM(AU221:AU224)</f>
        <v>0</v>
      </c>
      <c r="AV211" s="1880">
        <f>SUM(AV212:AV215)+SUM(AV221:AV224)</f>
        <v>0</v>
      </c>
      <c r="AW211" s="1880">
        <f>SUM(AW212:AW215)+SUM(AW221:AW224)</f>
        <v>0</v>
      </c>
      <c r="AX211" s="1880">
        <f>SUM(AX212:AX215)+SUM(AX221:AX224)</f>
        <v>0</v>
      </c>
      <c r="AY211" s="1880">
        <f>SUM(AY212:AY215)+SUM(AY221:AY224)</f>
        <v>0</v>
      </c>
      <c r="AZ211" s="1880">
        <f>SUM(AZ212:AZ215)+SUM(AZ221:AZ224)</f>
        <v>0</v>
      </c>
      <c r="BA211" s="1880">
        <f>SUM(BA212:BA215)+SUM(BA221:BA224)</f>
        <v>0</v>
      </c>
      <c r="BB211" s="1880">
        <f>SUM(BB212:BB215)+SUM(BB221:BB224)</f>
        <v>0</v>
      </c>
      <c r="BC211" s="1719"/>
      <c r="BD211" s="217"/>
      <c r="BE211" s="217"/>
      <c r="BF211" s="1173" t="s">
        <v>1135</v>
      </c>
    </row>
    <row s="1632" customFormat="1" customHeight="1" ht="14.25">
      <c r="A212" s="1443"/>
      <c r="B212" s="927"/>
      <c r="C212" s="1443"/>
      <c r="D212" s="1443"/>
      <c r="E212" s="797">
        <v>15</v>
      </c>
      <c r="F212" s="922" cm="1" t="str">
        <f t="array" ref="F212:F212">F211</f>
        <v>1</v>
      </c>
      <c r="G212" s="965"/>
      <c r="H212" s="965"/>
      <c r="I212" s="965"/>
      <c r="J212" s="965"/>
      <c r="K212" s="965"/>
      <c r="L212" s="965"/>
      <c r="M212" s="965"/>
      <c r="N212" s="965"/>
      <c r="O212" s="965"/>
      <c r="P212" s="965"/>
      <c r="Q212" s="928"/>
      <c r="R212" s="928"/>
      <c r="S212" s="965"/>
      <c r="T212" s="819" cm="1" t="str">
        <f t="array" ref="T212:T212">T211</f>
        <v>true</v>
      </c>
      <c r="U212" s="1443"/>
      <c r="V212" s="1443"/>
      <c r="W212" s="1443"/>
      <c r="X212" s="1443"/>
      <c r="Y212" s="1443"/>
      <c r="Z212" s="1443"/>
      <c r="AA212" s="937"/>
      <c r="AB212" s="489" t="str">
        <f>AB211&amp;".1"</f>
        <v>7.1</v>
      </c>
      <c r="AC212" s="490" t="s">
        <v>1022</v>
      </c>
      <c r="AD212" s="489" t="s">
        <v>1023</v>
      </c>
      <c r="AE212" s="1665"/>
      <c r="AF212" s="1665"/>
      <c r="AG212" s="1665"/>
      <c r="AH212" s="1665"/>
      <c r="AI212" s="1665"/>
      <c r="AJ212" s="1665"/>
      <c r="AK212" s="1665"/>
      <c r="AL212" s="1665"/>
      <c r="AM212" s="1665"/>
      <c r="AN212" s="1665"/>
      <c r="AO212" s="1665"/>
      <c r="AP212" s="1665"/>
      <c r="AQ212" s="1665"/>
      <c r="AR212" s="1665"/>
      <c r="AS212" s="1665"/>
      <c r="AT212" s="1665"/>
      <c r="AU212" s="1665"/>
      <c r="AV212" s="1665"/>
      <c r="AW212" s="1665"/>
      <c r="AX212" s="1665"/>
      <c r="AY212" s="1665"/>
      <c r="AZ212" s="1665"/>
      <c r="BA212" s="1665"/>
      <c r="BB212" s="1665"/>
      <c r="BC212" s="1719"/>
      <c r="BD212" s="937"/>
      <c r="BE212" s="937"/>
      <c r="BF212" s="1173" t="s">
        <v>1136</v>
      </c>
    </row>
    <row s="1632" customFormat="1" customHeight="1" ht="14.25">
      <c r="A213" s="1443"/>
      <c r="B213" s="927"/>
      <c r="C213" s="1443"/>
      <c r="D213" s="1443"/>
      <c r="E213" s="797">
        <v>15</v>
      </c>
      <c r="F213" s="922" cm="1" t="str">
        <f t="array" ref="F213:F213">F212</f>
        <v>1</v>
      </c>
      <c r="G213" s="965"/>
      <c r="H213" s="965"/>
      <c r="I213" s="965"/>
      <c r="J213" s="965"/>
      <c r="K213" s="965"/>
      <c r="L213" s="965"/>
      <c r="M213" s="965"/>
      <c r="N213" s="965"/>
      <c r="O213" s="965"/>
      <c r="P213" s="965"/>
      <c r="Q213" s="928"/>
      <c r="R213" s="928"/>
      <c r="S213" s="965"/>
      <c r="T213" s="819" cm="1" t="str">
        <f t="array" ref="T213:T213">T212</f>
        <v>true</v>
      </c>
      <c r="U213" s="1443"/>
      <c r="V213" s="1443"/>
      <c r="W213" s="1443"/>
      <c r="X213" s="1443"/>
      <c r="Y213" s="1443"/>
      <c r="Z213" s="1443"/>
      <c r="AA213" s="937"/>
      <c r="AB213" s="489" t="str">
        <f>AB211&amp;".2"</f>
        <v>7.2</v>
      </c>
      <c r="AC213" s="490" t="s">
        <v>1025</v>
      </c>
      <c r="AD213" s="489" t="s">
        <v>1023</v>
      </c>
      <c r="AE213" s="1665"/>
      <c r="AF213" s="1665"/>
      <c r="AG213" s="1665"/>
      <c r="AH213" s="1665"/>
      <c r="AI213" s="1665"/>
      <c r="AJ213" s="1665"/>
      <c r="AK213" s="1665"/>
      <c r="AL213" s="1665"/>
      <c r="AM213" s="1665"/>
      <c r="AN213" s="1665"/>
      <c r="AO213" s="1665"/>
      <c r="AP213" s="1665"/>
      <c r="AQ213" s="1665"/>
      <c r="AR213" s="1665"/>
      <c r="AS213" s="1665"/>
      <c r="AT213" s="1665"/>
      <c r="AU213" s="1665"/>
      <c r="AV213" s="1665"/>
      <c r="AW213" s="1665"/>
      <c r="AX213" s="1665"/>
      <c r="AY213" s="1665"/>
      <c r="AZ213" s="1665"/>
      <c r="BA213" s="1665"/>
      <c r="BB213" s="1665"/>
      <c r="BC213" s="1719"/>
      <c r="BD213" s="937"/>
      <c r="BE213" s="937"/>
      <c r="BF213" s="1173" t="s">
        <v>1137</v>
      </c>
    </row>
    <row s="1632" customFormat="1" customHeight="1" ht="14.25">
      <c r="A214" s="1443"/>
      <c r="B214" s="927"/>
      <c r="C214" s="1443"/>
      <c r="D214" s="1443"/>
      <c r="E214" s="797">
        <v>15</v>
      </c>
      <c r="F214" s="922" cm="1" t="str">
        <f t="array" ref="F214:F214">F213</f>
        <v>1</v>
      </c>
      <c r="G214" s="965"/>
      <c r="H214" s="965"/>
      <c r="I214" s="965"/>
      <c r="J214" s="965"/>
      <c r="K214" s="965"/>
      <c r="L214" s="965"/>
      <c r="M214" s="965"/>
      <c r="N214" s="965"/>
      <c r="O214" s="965"/>
      <c r="P214" s="965"/>
      <c r="Q214" s="928"/>
      <c r="R214" s="928"/>
      <c r="S214" s="965"/>
      <c r="T214" s="819" cm="1" t="str">
        <f t="array" ref="T214:T214">T213</f>
        <v>true</v>
      </c>
      <c r="U214" s="1443"/>
      <c r="V214" s="1443"/>
      <c r="W214" s="1443"/>
      <c r="X214" s="1443"/>
      <c r="Y214" s="1443"/>
      <c r="Z214" s="1443"/>
      <c r="AA214" s="937"/>
      <c r="AB214" s="489" t="str">
        <f>AB211&amp;".3"</f>
        <v>7.3</v>
      </c>
      <c r="AC214" s="490" t="s">
        <v>1027</v>
      </c>
      <c r="AD214" s="489" t="s">
        <v>1023</v>
      </c>
      <c r="AE214" s="1665"/>
      <c r="AF214" s="1665"/>
      <c r="AG214" s="1665"/>
      <c r="AH214" s="1665"/>
      <c r="AI214" s="1665"/>
      <c r="AJ214" s="1665"/>
      <c r="AK214" s="1665"/>
      <c r="AL214" s="1665"/>
      <c r="AM214" s="1665"/>
      <c r="AN214" s="1665"/>
      <c r="AO214" s="1665"/>
      <c r="AP214" s="1665"/>
      <c r="AQ214" s="1665"/>
      <c r="AR214" s="1665"/>
      <c r="AS214" s="1665"/>
      <c r="AT214" s="1665"/>
      <c r="AU214" s="1665"/>
      <c r="AV214" s="1665"/>
      <c r="AW214" s="1665"/>
      <c r="AX214" s="1665"/>
      <c r="AY214" s="1665"/>
      <c r="AZ214" s="1665"/>
      <c r="BA214" s="1665"/>
      <c r="BB214" s="1665"/>
      <c r="BC214" s="1719"/>
      <c r="BD214" s="937"/>
      <c r="BE214" s="937"/>
      <c r="BF214" s="1173" t="s">
        <v>1138</v>
      </c>
    </row>
    <row s="1632" customFormat="1" customHeight="1" ht="14.25">
      <c r="A215" s="1443"/>
      <c r="B215" s="927"/>
      <c r="C215" s="1443"/>
      <c r="D215" s="1443"/>
      <c r="E215" s="797">
        <v>15</v>
      </c>
      <c r="F215" s="922" cm="1" t="str">
        <f t="array" ref="F215:F215">F214</f>
        <v>1</v>
      </c>
      <c r="G215" s="965"/>
      <c r="H215" s="965"/>
      <c r="I215" s="965"/>
      <c r="J215" s="965"/>
      <c r="K215" s="965"/>
      <c r="L215" s="965"/>
      <c r="M215" s="965"/>
      <c r="N215" s="965"/>
      <c r="O215" s="965"/>
      <c r="P215" s="965"/>
      <c r="Q215" s="928"/>
      <c r="R215" s="928"/>
      <c r="S215" s="965"/>
      <c r="T215" s="819" cm="1" t="str">
        <f t="array" ref="T215:T215">T214</f>
        <v>true</v>
      </c>
      <c r="U215" s="1443"/>
      <c r="V215" s="1443"/>
      <c r="W215" s="1443"/>
      <c r="X215" s="1443"/>
      <c r="Y215" s="1443"/>
      <c r="Z215" s="1443"/>
      <c r="AA215" s="937"/>
      <c r="AB215" s="489" t="str">
        <f>AB211&amp;".4"</f>
        <v>7.4</v>
      </c>
      <c r="AC215" s="490" t="s">
        <v>1029</v>
      </c>
      <c r="AD215" s="489" t="s">
        <v>1023</v>
      </c>
      <c r="AE215" s="1731">
        <f>SUM(AE216:AE220)</f>
        <v>0</v>
      </c>
      <c r="AF215" s="1731">
        <f>SUM(AF216:AF220)</f>
        <v>0</v>
      </c>
      <c r="AG215" s="1731">
        <f>SUM(AG216:AG220)</f>
        <v>0</v>
      </c>
      <c r="AH215" s="1731">
        <f>SUM(AH216:AH220)</f>
        <v>0</v>
      </c>
      <c r="AI215" s="1731">
        <f>SUM(AI216:AI220)</f>
        <v>0</v>
      </c>
      <c r="AJ215" s="1731">
        <f>SUM(AJ216:AJ220)</f>
        <v>0</v>
      </c>
      <c r="AK215" s="1731">
        <f>SUM(AK216:AK220)</f>
        <v>0</v>
      </c>
      <c r="AL215" s="1731">
        <f>SUM(AL216:AL220)</f>
        <v>0</v>
      </c>
      <c r="AM215" s="1731">
        <f>SUM(AM216:AM220)</f>
        <v>0</v>
      </c>
      <c r="AN215" s="1731">
        <f>SUM(AN216:AN220)</f>
        <v>0</v>
      </c>
      <c r="AO215" s="1731">
        <f>SUM(AO216:AO220)</f>
        <v>0</v>
      </c>
      <c r="AP215" s="1731">
        <f>SUM(AP216:AP220)</f>
        <v>0</v>
      </c>
      <c r="AQ215" s="1731">
        <f>SUM(AQ216:AQ220)</f>
        <v>0</v>
      </c>
      <c r="AR215" s="1731">
        <f>SUM(AR216:AR220)</f>
        <v>0</v>
      </c>
      <c r="AS215" s="1731">
        <f>SUM(AS216:AS220)</f>
        <v>0</v>
      </c>
      <c r="AT215" s="1731">
        <f>SUM(AT216:AT220)</f>
        <v>0</v>
      </c>
      <c r="AU215" s="1731">
        <f>SUM(AU216:AU220)</f>
        <v>0</v>
      </c>
      <c r="AV215" s="1731">
        <f>SUM(AV216:AV220)</f>
        <v>0</v>
      </c>
      <c r="AW215" s="1731">
        <f>SUM(AW216:AW220)</f>
        <v>0</v>
      </c>
      <c r="AX215" s="1731">
        <f>SUM(AX216:AX220)</f>
        <v>0</v>
      </c>
      <c r="AY215" s="1731">
        <f>SUM(AY216:AY220)</f>
        <v>0</v>
      </c>
      <c r="AZ215" s="1731">
        <f>SUM(AZ216:AZ220)</f>
        <v>0</v>
      </c>
      <c r="BA215" s="1731">
        <f>SUM(BA216:BA220)</f>
        <v>0</v>
      </c>
      <c r="BB215" s="1731">
        <f>SUM(BB216:BB220)</f>
        <v>0</v>
      </c>
      <c r="BC215" s="1719"/>
      <c r="BD215" s="937"/>
      <c r="BE215" s="937"/>
      <c r="BF215" s="1173" t="s">
        <v>1139</v>
      </c>
    </row>
    <row s="1632" customFormat="1" customHeight="1" ht="14.25">
      <c r="A216" s="1443"/>
      <c r="B216" s="927"/>
      <c r="C216" s="1443"/>
      <c r="D216" s="1443"/>
      <c r="E216" s="797">
        <v>15</v>
      </c>
      <c r="F216" s="922" cm="1" t="str">
        <f t="array" ref="F216:F216">F215</f>
        <v>1</v>
      </c>
      <c r="G216" s="965"/>
      <c r="H216" s="965"/>
      <c r="I216" s="965"/>
      <c r="J216" s="965"/>
      <c r="K216" s="965"/>
      <c r="L216" s="965"/>
      <c r="M216" s="965"/>
      <c r="N216" s="965"/>
      <c r="O216" s="965"/>
      <c r="P216" s="965"/>
      <c r="Q216" s="928"/>
      <c r="R216" s="928"/>
      <c r="S216" s="965"/>
      <c r="T216" s="819" cm="1" t="str">
        <f t="array" ref="T216:T216">T215</f>
        <v>true</v>
      </c>
      <c r="U216" s="1443"/>
      <c r="V216" s="1443"/>
      <c r="W216" s="1443"/>
      <c r="X216" s="1443"/>
      <c r="Y216" s="1443"/>
      <c r="Z216" s="1443"/>
      <c r="AA216" s="937"/>
      <c r="AB216" s="489" t="str">
        <f>AB215&amp;".1"</f>
        <v>7.4.1</v>
      </c>
      <c r="AC216" s="491" t="s">
        <v>1032</v>
      </c>
      <c r="AD216" s="489" t="s">
        <v>1023</v>
      </c>
      <c r="AE216" s="1665"/>
      <c r="AF216" s="1665"/>
      <c r="AG216" s="1665"/>
      <c r="AH216" s="1665"/>
      <c r="AI216" s="1665"/>
      <c r="AJ216" s="1665"/>
      <c r="AK216" s="1665"/>
      <c r="AL216" s="1665"/>
      <c r="AM216" s="1665"/>
      <c r="AN216" s="1665"/>
      <c r="AO216" s="1665"/>
      <c r="AP216" s="1665"/>
      <c r="AQ216" s="1665"/>
      <c r="AR216" s="1665"/>
      <c r="AS216" s="1665"/>
      <c r="AT216" s="1665"/>
      <c r="AU216" s="1665"/>
      <c r="AV216" s="1665"/>
      <c r="AW216" s="1665"/>
      <c r="AX216" s="1665"/>
      <c r="AY216" s="1665"/>
      <c r="AZ216" s="1665"/>
      <c r="BA216" s="1665"/>
      <c r="BB216" s="1665"/>
      <c r="BC216" s="1719"/>
      <c r="BD216" s="937"/>
      <c r="BE216" s="937"/>
      <c r="BF216" s="1173" t="s">
        <v>1140</v>
      </c>
    </row>
    <row s="1632" customFormat="1" customHeight="1" ht="14.25">
      <c r="A217" s="1443"/>
      <c r="B217" s="927"/>
      <c r="C217" s="1443"/>
      <c r="D217" s="1443"/>
      <c r="E217" s="797">
        <v>15</v>
      </c>
      <c r="F217" s="922" cm="1" t="str">
        <f t="array" ref="F217:F217">F216</f>
        <v>1</v>
      </c>
      <c r="G217" s="965"/>
      <c r="H217" s="965"/>
      <c r="I217" s="965"/>
      <c r="J217" s="965"/>
      <c r="K217" s="965"/>
      <c r="L217" s="965"/>
      <c r="M217" s="965"/>
      <c r="N217" s="965"/>
      <c r="O217" s="965"/>
      <c r="P217" s="965"/>
      <c r="Q217" s="928"/>
      <c r="R217" s="928"/>
      <c r="S217" s="965"/>
      <c r="T217" s="819" cm="1" t="str">
        <f t="array" ref="T217:T217">T216</f>
        <v>true</v>
      </c>
      <c r="U217" s="1443"/>
      <c r="V217" s="1443"/>
      <c r="W217" s="1443"/>
      <c r="X217" s="1443"/>
      <c r="Y217" s="1443"/>
      <c r="Z217" s="1443"/>
      <c r="AA217" s="937"/>
      <c r="AB217" s="489" t="str">
        <f>AB215&amp;".2"</f>
        <v>7.4.2</v>
      </c>
      <c r="AC217" s="491" t="s">
        <v>1035</v>
      </c>
      <c r="AD217" s="489" t="s">
        <v>1023</v>
      </c>
      <c r="AE217" s="1665"/>
      <c r="AF217" s="1665"/>
      <c r="AG217" s="1665"/>
      <c r="AH217" s="1665"/>
      <c r="AI217" s="1665"/>
      <c r="AJ217" s="1665"/>
      <c r="AK217" s="1665"/>
      <c r="AL217" s="1665"/>
      <c r="AM217" s="1665"/>
      <c r="AN217" s="1665"/>
      <c r="AO217" s="1665"/>
      <c r="AP217" s="1665"/>
      <c r="AQ217" s="1665"/>
      <c r="AR217" s="1665"/>
      <c r="AS217" s="1665"/>
      <c r="AT217" s="1665"/>
      <c r="AU217" s="1665"/>
      <c r="AV217" s="1665"/>
      <c r="AW217" s="1665"/>
      <c r="AX217" s="1665"/>
      <c r="AY217" s="1665"/>
      <c r="AZ217" s="1665"/>
      <c r="BA217" s="1665"/>
      <c r="BB217" s="1665"/>
      <c r="BC217" s="1719"/>
      <c r="BD217" s="937"/>
      <c r="BE217" s="937"/>
      <c r="BF217" s="1173" t="s">
        <v>1141</v>
      </c>
    </row>
    <row s="1632" customFormat="1" customHeight="1" ht="14.25">
      <c r="A218" s="1443"/>
      <c r="B218" s="927"/>
      <c r="C218" s="1443"/>
      <c r="D218" s="1443"/>
      <c r="E218" s="797">
        <v>15</v>
      </c>
      <c r="F218" s="922" cm="1" t="str">
        <f t="array" ref="F218:F218">F217</f>
        <v>1</v>
      </c>
      <c r="G218" s="965"/>
      <c r="H218" s="965"/>
      <c r="I218" s="965"/>
      <c r="J218" s="965"/>
      <c r="K218" s="965"/>
      <c r="L218" s="965"/>
      <c r="M218" s="965"/>
      <c r="N218" s="965"/>
      <c r="O218" s="965"/>
      <c r="P218" s="965"/>
      <c r="Q218" s="928"/>
      <c r="R218" s="928"/>
      <c r="S218" s="965"/>
      <c r="T218" s="819" cm="1" t="str">
        <f t="array" ref="T218:T218">T217</f>
        <v>true</v>
      </c>
      <c r="U218" s="1443"/>
      <c r="V218" s="1443"/>
      <c r="W218" s="1443"/>
      <c r="X218" s="1443"/>
      <c r="Y218" s="1443"/>
      <c r="Z218" s="1443"/>
      <c r="AA218" s="937"/>
      <c r="AB218" s="489" t="str">
        <f>AB215&amp;".3"</f>
        <v>7.4.3</v>
      </c>
      <c r="AC218" s="491" t="s">
        <v>1038</v>
      </c>
      <c r="AD218" s="489" t="s">
        <v>1023</v>
      </c>
      <c r="AE218" s="1665"/>
      <c r="AF218" s="1665"/>
      <c r="AG218" s="1665"/>
      <c r="AH218" s="1665"/>
      <c r="AI218" s="1665"/>
      <c r="AJ218" s="1665"/>
      <c r="AK218" s="1665"/>
      <c r="AL218" s="1665"/>
      <c r="AM218" s="1665"/>
      <c r="AN218" s="1665"/>
      <c r="AO218" s="1665"/>
      <c r="AP218" s="1665"/>
      <c r="AQ218" s="1665"/>
      <c r="AR218" s="1665"/>
      <c r="AS218" s="1665"/>
      <c r="AT218" s="1665"/>
      <c r="AU218" s="1665"/>
      <c r="AV218" s="1665"/>
      <c r="AW218" s="1665"/>
      <c r="AX218" s="1665"/>
      <c r="AY218" s="1665"/>
      <c r="AZ218" s="1665"/>
      <c r="BA218" s="1665"/>
      <c r="BB218" s="1665"/>
      <c r="BC218" s="1719"/>
      <c r="BD218" s="937"/>
      <c r="BE218" s="937"/>
      <c r="BF218" s="1173" t="s">
        <v>1142</v>
      </c>
    </row>
    <row s="1632" customFormat="1" customHeight="1" ht="14.25">
      <c r="A219" s="1443"/>
      <c r="B219" s="927"/>
      <c r="C219" s="1443"/>
      <c r="D219" s="1443"/>
      <c r="E219" s="797">
        <v>15</v>
      </c>
      <c r="F219" s="922" cm="1" t="str">
        <f t="array" ref="F219:F219">F218</f>
        <v>1</v>
      </c>
      <c r="G219" s="965"/>
      <c r="H219" s="965"/>
      <c r="I219" s="965"/>
      <c r="J219" s="965"/>
      <c r="K219" s="965"/>
      <c r="L219" s="965"/>
      <c r="M219" s="965"/>
      <c r="N219" s="965"/>
      <c r="O219" s="965"/>
      <c r="P219" s="965"/>
      <c r="Q219" s="928"/>
      <c r="R219" s="928"/>
      <c r="S219" s="965"/>
      <c r="T219" s="819" cm="1" t="str">
        <f t="array" ref="T219:T219">T218</f>
        <v>true</v>
      </c>
      <c r="U219" s="1443"/>
      <c r="V219" s="1443"/>
      <c r="W219" s="1443"/>
      <c r="X219" s="1443"/>
      <c r="Y219" s="1443"/>
      <c r="Z219" s="1443"/>
      <c r="AA219" s="937"/>
      <c r="AB219" s="489" t="str">
        <f>AB215&amp;".4"</f>
        <v>7.4.4</v>
      </c>
      <c r="AC219" s="491" t="s">
        <v>1041</v>
      </c>
      <c r="AD219" s="489" t="s">
        <v>1023</v>
      </c>
      <c r="AE219" s="1665"/>
      <c r="AF219" s="1665"/>
      <c r="AG219" s="1665"/>
      <c r="AH219" s="1665"/>
      <c r="AI219" s="1665"/>
      <c r="AJ219" s="1665"/>
      <c r="AK219" s="1665"/>
      <c r="AL219" s="1665"/>
      <c r="AM219" s="1665"/>
      <c r="AN219" s="1665"/>
      <c r="AO219" s="1665"/>
      <c r="AP219" s="1665"/>
      <c r="AQ219" s="1665"/>
      <c r="AR219" s="1665"/>
      <c r="AS219" s="1665"/>
      <c r="AT219" s="1665"/>
      <c r="AU219" s="1665"/>
      <c r="AV219" s="1665"/>
      <c r="AW219" s="1665"/>
      <c r="AX219" s="1665"/>
      <c r="AY219" s="1665"/>
      <c r="AZ219" s="1665"/>
      <c r="BA219" s="1665"/>
      <c r="BB219" s="1665"/>
      <c r="BC219" s="1719"/>
      <c r="BD219" s="937"/>
      <c r="BE219" s="937"/>
      <c r="BF219" s="1173" t="s">
        <v>1143</v>
      </c>
    </row>
    <row s="1632" customFormat="1" customHeight="1" ht="14.25">
      <c r="A220" s="1443"/>
      <c r="B220" s="927"/>
      <c r="C220" s="1443"/>
      <c r="D220" s="1443"/>
      <c r="E220" s="797">
        <v>15</v>
      </c>
      <c r="F220" s="922" cm="1" t="str">
        <f t="array" ref="F220:F220">F219</f>
        <v>1</v>
      </c>
      <c r="G220" s="965"/>
      <c r="H220" s="965"/>
      <c r="I220" s="965"/>
      <c r="J220" s="965"/>
      <c r="K220" s="965"/>
      <c r="L220" s="965"/>
      <c r="M220" s="965"/>
      <c r="N220" s="965"/>
      <c r="O220" s="965"/>
      <c r="P220" s="965"/>
      <c r="Q220" s="928"/>
      <c r="R220" s="928"/>
      <c r="S220" s="965"/>
      <c r="T220" s="819" cm="1" t="str">
        <f t="array" ref="T220:T220">T219</f>
        <v>true</v>
      </c>
      <c r="U220" s="1443"/>
      <c r="V220" s="1443"/>
      <c r="W220" s="1443"/>
      <c r="X220" s="1443"/>
      <c r="Y220" s="1443"/>
      <c r="Z220" s="1443"/>
      <c r="AA220" s="937"/>
      <c r="AB220" s="489" t="str">
        <f>AB215&amp;".5"</f>
        <v>7.4.5</v>
      </c>
      <c r="AC220" s="491" t="s">
        <v>1044</v>
      </c>
      <c r="AD220" s="489" t="s">
        <v>1023</v>
      </c>
      <c r="AE220" s="1665"/>
      <c r="AF220" s="1665"/>
      <c r="AG220" s="1665"/>
      <c r="AH220" s="1665"/>
      <c r="AI220" s="1665"/>
      <c r="AJ220" s="1665"/>
      <c r="AK220" s="1665"/>
      <c r="AL220" s="1665"/>
      <c r="AM220" s="1665"/>
      <c r="AN220" s="1665"/>
      <c r="AO220" s="1665"/>
      <c r="AP220" s="1665"/>
      <c r="AQ220" s="1665"/>
      <c r="AR220" s="1665"/>
      <c r="AS220" s="1665"/>
      <c r="AT220" s="1665"/>
      <c r="AU220" s="1665"/>
      <c r="AV220" s="1665"/>
      <c r="AW220" s="1665"/>
      <c r="AX220" s="1665"/>
      <c r="AY220" s="1665"/>
      <c r="AZ220" s="1665"/>
      <c r="BA220" s="1665"/>
      <c r="BB220" s="1665"/>
      <c r="BC220" s="1719"/>
      <c r="BD220" s="937"/>
      <c r="BE220" s="937"/>
      <c r="BF220" s="1173" t="s">
        <v>1144</v>
      </c>
    </row>
    <row s="1632" customFormat="1" customHeight="1" ht="14.25">
      <c r="A221" s="1443"/>
      <c r="B221" s="927"/>
      <c r="C221" s="1443"/>
      <c r="D221" s="1443"/>
      <c r="E221" s="797">
        <v>15</v>
      </c>
      <c r="F221" s="922" cm="1" t="str">
        <f t="array" ref="F221:F221">F220</f>
        <v>1</v>
      </c>
      <c r="G221" s="965"/>
      <c r="H221" s="965"/>
      <c r="I221" s="965"/>
      <c r="J221" s="965"/>
      <c r="K221" s="965"/>
      <c r="L221" s="965"/>
      <c r="M221" s="965"/>
      <c r="N221" s="965"/>
      <c r="O221" s="965"/>
      <c r="P221" s="965"/>
      <c r="Q221" s="928"/>
      <c r="R221" s="928"/>
      <c r="S221" s="965"/>
      <c r="T221" s="819" cm="1" t="str">
        <f t="array" ref="T221:T221">T220</f>
        <v>true</v>
      </c>
      <c r="U221" s="1443"/>
      <c r="V221" s="1443"/>
      <c r="W221" s="1443"/>
      <c r="X221" s="1443"/>
      <c r="Y221" s="1443"/>
      <c r="Z221" s="1443"/>
      <c r="AA221" s="937"/>
      <c r="AB221" s="489" t="str">
        <f>AB211&amp;".5"</f>
        <v>7.5</v>
      </c>
      <c r="AC221" s="490" t="s">
        <v>1047</v>
      </c>
      <c r="AD221" s="489" t="s">
        <v>1023</v>
      </c>
      <c r="AE221" s="1665"/>
      <c r="AF221" s="1665"/>
      <c r="AG221" s="1665"/>
      <c r="AH221" s="1665"/>
      <c r="AI221" s="1665"/>
      <c r="AJ221" s="1665"/>
      <c r="AK221" s="1665"/>
      <c r="AL221" s="1665"/>
      <c r="AM221" s="1665"/>
      <c r="AN221" s="1665"/>
      <c r="AO221" s="1665"/>
      <c r="AP221" s="1665"/>
      <c r="AQ221" s="1665"/>
      <c r="AR221" s="1665"/>
      <c r="AS221" s="1665"/>
      <c r="AT221" s="1665"/>
      <c r="AU221" s="1665"/>
      <c r="AV221" s="1665"/>
      <c r="AW221" s="1665"/>
      <c r="AX221" s="1665"/>
      <c r="AY221" s="1665"/>
      <c r="AZ221" s="1665"/>
      <c r="BA221" s="1665"/>
      <c r="BB221" s="1665"/>
      <c r="BC221" s="1719"/>
      <c r="BD221" s="937"/>
      <c r="BE221" s="937"/>
      <c r="BF221" s="1173" t="s">
        <v>1145</v>
      </c>
    </row>
    <row s="1632" customFormat="1" customHeight="1" ht="14.25">
      <c r="A222" s="1443"/>
      <c r="B222" s="927"/>
      <c r="C222" s="1443"/>
      <c r="D222" s="1443"/>
      <c r="E222" s="797">
        <v>15</v>
      </c>
      <c r="F222" s="922" cm="1" t="str">
        <f t="array" ref="F222:F222">F221</f>
        <v>1</v>
      </c>
      <c r="G222" s="965"/>
      <c r="H222" s="965"/>
      <c r="I222" s="965"/>
      <c r="J222" s="965"/>
      <c r="K222" s="965"/>
      <c r="L222" s="965"/>
      <c r="M222" s="965"/>
      <c r="N222" s="965"/>
      <c r="O222" s="965"/>
      <c r="P222" s="965"/>
      <c r="Q222" s="928"/>
      <c r="R222" s="928"/>
      <c r="S222" s="965"/>
      <c r="T222" s="819" cm="1" t="str">
        <f t="array" ref="T222:T222">T221</f>
        <v>true</v>
      </c>
      <c r="U222" s="1443"/>
      <c r="V222" s="1443"/>
      <c r="W222" s="1443"/>
      <c r="X222" s="1443"/>
      <c r="Y222" s="1443"/>
      <c r="Z222" s="1443"/>
      <c r="AA222" s="937"/>
      <c r="AB222" s="489" t="str">
        <f>AB211&amp;".6"</f>
        <v>7.6</v>
      </c>
      <c r="AC222" s="490" t="s">
        <v>1050</v>
      </c>
      <c r="AD222" s="489" t="s">
        <v>1023</v>
      </c>
      <c r="AE222" s="1665"/>
      <c r="AF222" s="1665"/>
      <c r="AG222" s="1665"/>
      <c r="AH222" s="1665"/>
      <c r="AI222" s="1665"/>
      <c r="AJ222" s="1665"/>
      <c r="AK222" s="1665"/>
      <c r="AL222" s="1665"/>
      <c r="AM222" s="1665"/>
      <c r="AN222" s="1665"/>
      <c r="AO222" s="1665"/>
      <c r="AP222" s="1665"/>
      <c r="AQ222" s="1665"/>
      <c r="AR222" s="1665"/>
      <c r="AS222" s="1665"/>
      <c r="AT222" s="1665"/>
      <c r="AU222" s="1665"/>
      <c r="AV222" s="1665"/>
      <c r="AW222" s="1665"/>
      <c r="AX222" s="1665"/>
      <c r="AY222" s="1665"/>
      <c r="AZ222" s="1665"/>
      <c r="BA222" s="1665"/>
      <c r="BB222" s="1665"/>
      <c r="BC222" s="1719"/>
      <c r="BD222" s="937"/>
      <c r="BE222" s="937"/>
      <c r="BF222" s="1173" t="s">
        <v>1146</v>
      </c>
    </row>
    <row s="1632" customFormat="1" customHeight="1" ht="14.25">
      <c r="A223" s="1443"/>
      <c r="B223" s="927"/>
      <c r="C223" s="1443"/>
      <c r="D223" s="1443"/>
      <c r="E223" s="797">
        <v>15</v>
      </c>
      <c r="F223" s="922" cm="1" t="str">
        <f t="array" ref="F223:F223">F222</f>
        <v>1</v>
      </c>
      <c r="G223" s="965"/>
      <c r="H223" s="965"/>
      <c r="I223" s="965"/>
      <c r="J223" s="965"/>
      <c r="K223" s="965"/>
      <c r="L223" s="965"/>
      <c r="M223" s="965"/>
      <c r="N223" s="965"/>
      <c r="O223" s="965"/>
      <c r="P223" s="965"/>
      <c r="Q223" s="928"/>
      <c r="R223" s="928"/>
      <c r="S223" s="965"/>
      <c r="T223" s="819" cm="1" t="str">
        <f t="array" ref="T223:T223">T222</f>
        <v>true</v>
      </c>
      <c r="U223" s="1443"/>
      <c r="V223" s="1443"/>
      <c r="W223" s="1443"/>
      <c r="X223" s="1443"/>
      <c r="Y223" s="1443"/>
      <c r="Z223" s="1443"/>
      <c r="AA223" s="937"/>
      <c r="AB223" s="489" t="str">
        <f>AB211&amp;".7"</f>
        <v>7.7</v>
      </c>
      <c r="AC223" s="490" t="s">
        <v>1053</v>
      </c>
      <c r="AD223" s="489" t="s">
        <v>1023</v>
      </c>
      <c r="AE223" s="1665"/>
      <c r="AF223" s="1665"/>
      <c r="AG223" s="1665"/>
      <c r="AH223" s="1665"/>
      <c r="AI223" s="1665"/>
      <c r="AJ223" s="1665"/>
      <c r="AK223" s="1665"/>
      <c r="AL223" s="1665"/>
      <c r="AM223" s="1665"/>
      <c r="AN223" s="1665"/>
      <c r="AO223" s="1665"/>
      <c r="AP223" s="1665"/>
      <c r="AQ223" s="1665"/>
      <c r="AR223" s="1665"/>
      <c r="AS223" s="1665"/>
      <c r="AT223" s="1665"/>
      <c r="AU223" s="1665"/>
      <c r="AV223" s="1665"/>
      <c r="AW223" s="1665"/>
      <c r="AX223" s="1665"/>
      <c r="AY223" s="1665"/>
      <c r="AZ223" s="1665"/>
      <c r="BA223" s="1665"/>
      <c r="BB223" s="1665"/>
      <c r="BC223" s="1719"/>
      <c r="BD223" s="937"/>
      <c r="BE223" s="937"/>
      <c r="BF223" s="1173" t="s">
        <v>1147</v>
      </c>
    </row>
    <row s="1632" customFormat="1" customHeight="1" ht="14.25">
      <c r="A224" s="1443"/>
      <c r="B224" s="927"/>
      <c r="C224" s="1443"/>
      <c r="D224" s="1443"/>
      <c r="E224" s="797">
        <v>15</v>
      </c>
      <c r="F224" s="922" cm="1" t="str">
        <f t="array" ref="F224:F224">F223</f>
        <v>1</v>
      </c>
      <c r="G224" s="965"/>
      <c r="H224" s="965"/>
      <c r="I224" s="965"/>
      <c r="J224" s="965"/>
      <c r="K224" s="965"/>
      <c r="L224" s="965"/>
      <c r="M224" s="965"/>
      <c r="N224" s="965"/>
      <c r="O224" s="965"/>
      <c r="P224" s="965"/>
      <c r="Q224" s="928"/>
      <c r="R224" s="928"/>
      <c r="S224" s="965"/>
      <c r="T224" s="819" cm="1" t="str">
        <f t="array" ref="T224:T224">T223</f>
        <v>true</v>
      </c>
      <c r="U224" s="1443"/>
      <c r="V224" s="1443"/>
      <c r="W224" s="1443"/>
      <c r="X224" s="1443"/>
      <c r="Y224" s="1443"/>
      <c r="Z224" s="1443"/>
      <c r="AA224" s="937"/>
      <c r="AB224" s="489" t="str">
        <f>AB211&amp;".8"</f>
        <v>7.8</v>
      </c>
      <c r="AC224" s="490" t="s">
        <v>1056</v>
      </c>
      <c r="AD224" s="489" t="s">
        <v>1023</v>
      </c>
      <c r="AE224" s="1665"/>
      <c r="AF224" s="1665"/>
      <c r="AG224" s="1665"/>
      <c r="AH224" s="1665"/>
      <c r="AI224" s="1665"/>
      <c r="AJ224" s="1665"/>
      <c r="AK224" s="1665"/>
      <c r="AL224" s="1665"/>
      <c r="AM224" s="1665"/>
      <c r="AN224" s="1665"/>
      <c r="AO224" s="1665"/>
      <c r="AP224" s="1665"/>
      <c r="AQ224" s="1665"/>
      <c r="AR224" s="1665"/>
      <c r="AS224" s="1665"/>
      <c r="AT224" s="1665"/>
      <c r="AU224" s="1665"/>
      <c r="AV224" s="1665"/>
      <c r="AW224" s="1665"/>
      <c r="AX224" s="1665"/>
      <c r="AY224" s="1665"/>
      <c r="AZ224" s="1665"/>
      <c r="BA224" s="1665"/>
      <c r="BB224" s="1665"/>
      <c r="BC224" s="1719"/>
      <c r="BD224" s="937"/>
      <c r="BE224" s="937"/>
      <c r="BF224" s="1173" t="s">
        <v>1148</v>
      </c>
    </row>
    <row customHeight="1" ht="11.115">
      <c r="E225" s="797">
        <v>11.4</v>
      </c>
      <c r="U225" s="179" t="s">
        <v>236</v>
      </c>
      <c r="V225" s="171" t="s">
        <v>1149</v>
      </c>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row>
    <row customHeight="1" ht="11.25" hidden="1">
      <c r="E226" s="797">
        <v>0</v>
      </c>
      <c r="AB226" s="179"/>
      <c r="AC226" s="218"/>
      <c r="AD226" s="179"/>
      <c r="AE226" s="219"/>
      <c r="AF226" s="219"/>
      <c r="AG226" s="219"/>
      <c r="AH226" s="219"/>
      <c r="AI226" s="219"/>
      <c r="AJ226" s="219"/>
      <c r="AK226" s="219"/>
      <c r="AL226" s="219"/>
      <c r="AM226" s="219"/>
      <c r="AN226" s="219"/>
      <c r="AO226" s="219"/>
      <c r="AP226" s="219"/>
      <c r="AQ226" s="219"/>
      <c r="AR226" s="219"/>
      <c r="AS226" s="202"/>
      <c r="AT226" s="202"/>
      <c r="AU226" s="202"/>
      <c r="AV226" s="202"/>
      <c r="AW226" s="202"/>
      <c r="AX226" s="202"/>
      <c r="AY226" s="202"/>
      <c r="AZ226" s="202"/>
      <c r="BA226" s="202"/>
      <c r="BB226" s="202"/>
    </row>
    <row s="500" customFormat="1" customHeight="1" ht="14.625">
      <c r="A227" s="175"/>
      <c r="B227" s="788"/>
      <c r="C227" s="175"/>
      <c r="D227" s="175"/>
      <c r="E227" s="797">
        <v>15</v>
      </c>
      <c r="F227" s="175"/>
      <c r="Q227" s="739"/>
      <c r="R227" s="739"/>
      <c r="T227" s="175"/>
      <c r="U227" s="175"/>
      <c r="V227" s="175"/>
      <c r="W227" s="175"/>
      <c r="X227" s="175"/>
      <c r="Y227" s="175"/>
      <c r="Z227" s="175"/>
      <c r="AB227" s="1530" t="s">
        <v>705</v>
      </c>
      <c r="AC227" s="1530"/>
      <c r="AD227" s="1530"/>
      <c r="AE227" s="1530"/>
      <c r="AF227" s="1530"/>
      <c r="AG227" s="1530"/>
      <c r="AH227" s="1530"/>
      <c r="AI227" s="1531"/>
      <c r="AJ227" s="1531"/>
      <c r="AK227" s="1531"/>
      <c r="AL227" s="1531"/>
      <c r="AM227" s="1531"/>
      <c r="AN227" s="1531"/>
      <c r="AO227" s="1531"/>
      <c r="AP227" s="1531"/>
      <c r="AQ227" s="1531"/>
      <c r="AR227" s="1531"/>
      <c r="AS227" s="1531"/>
      <c r="AT227" s="1531"/>
      <c r="AU227" s="1531"/>
      <c r="AV227" s="1531"/>
      <c r="AW227" s="1531"/>
      <c r="AX227" s="1531"/>
      <c r="AY227" s="1531"/>
      <c r="AZ227" s="1531"/>
      <c r="BA227" s="1531"/>
      <c r="BB227" s="1531"/>
      <c r="BC227" s="1531"/>
      <c r="BF227" s="1184"/>
    </row>
    <row s="500" customFormat="1" customHeight="1" ht="14.625">
      <c r="A228" s="175"/>
      <c r="B228" s="788"/>
      <c r="C228" s="175"/>
      <c r="D228" s="175"/>
      <c r="E228" s="797">
        <v>15</v>
      </c>
      <c r="F228" s="175"/>
      <c r="Q228" s="739"/>
      <c r="R228" s="739"/>
      <c r="T228" s="175"/>
      <c r="U228" s="175"/>
      <c r="V228" s="175"/>
      <c r="W228" s="175"/>
      <c r="X228" s="175"/>
      <c r="Y228" s="175"/>
      <c r="Z228" s="175"/>
      <c r="AA228" s="921"/>
      <c r="AB228" s="1532"/>
      <c r="AC228" s="1532"/>
      <c r="AD228" s="1532"/>
      <c r="AE228" s="1532"/>
      <c r="AF228" s="1532"/>
      <c r="AG228" s="1532"/>
      <c r="AH228" s="1532"/>
      <c r="AI228" s="1533"/>
      <c r="AJ228" s="1883"/>
      <c r="AK228" s="1883"/>
      <c r="AL228" s="1883"/>
      <c r="AM228" s="1883"/>
      <c r="AN228" s="1883"/>
      <c r="AO228" s="1883"/>
      <c r="AP228" s="1883"/>
      <c r="AQ228" s="1883"/>
      <c r="AR228" s="1883"/>
      <c r="AS228" s="1533"/>
      <c r="AT228" s="1883"/>
      <c r="AU228" s="1883"/>
      <c r="AV228" s="1883"/>
      <c r="AW228" s="1883"/>
      <c r="AX228" s="1883"/>
      <c r="AY228" s="1883"/>
      <c r="AZ228" s="1883"/>
      <c r="BA228" s="1883"/>
      <c r="BB228" s="1883"/>
      <c r="BC228" s="1533"/>
      <c r="BF228" s="1184"/>
    </row>
    <row s="500" customFormat="1" customHeight="1" ht="14.625" hidden="1">
      <c r="A229" s="175"/>
      <c r="B229" s="788"/>
      <c r="C229" s="175"/>
      <c r="D229" s="175"/>
      <c r="E229" s="797">
        <v>15</v>
      </c>
      <c r="F229" s="175"/>
      <c r="G229" s="500"/>
      <c r="H229" s="500"/>
      <c r="I229" s="500"/>
      <c r="J229" s="500"/>
      <c r="K229" s="500"/>
      <c r="L229" s="500"/>
      <c r="M229" s="500"/>
      <c r="N229" s="500"/>
      <c r="O229" s="500"/>
      <c r="P229" s="500"/>
      <c r="Q229" s="739"/>
      <c r="R229" s="739"/>
      <c r="S229" s="500"/>
      <c r="T229" s="808">
        <f>ROW(W229)&gt;ROW(W$229)</f>
        <v>0</v>
      </c>
      <c r="U229" s="175"/>
      <c r="V229" s="179"/>
      <c r="W229" s="175" t="s">
        <v>234</v>
      </c>
      <c r="X229" s="175"/>
      <c r="Y229" s="175"/>
      <c r="Z229" s="175"/>
      <c r="AA229" s="917" t="s">
        <v>218</v>
      </c>
      <c r="AB229" s="1884"/>
      <c r="AC229" s="1884"/>
      <c r="AD229" s="1884"/>
      <c r="AE229" s="1884"/>
      <c r="AF229" s="1884"/>
      <c r="AG229" s="1884"/>
      <c r="AH229" s="1884"/>
      <c r="AI229" s="1533"/>
      <c r="AJ229" s="1883"/>
      <c r="AK229" s="1883"/>
      <c r="AL229" s="1883"/>
      <c r="AM229" s="1883"/>
      <c r="AN229" s="1883"/>
      <c r="AO229" s="1883"/>
      <c r="AP229" s="1883"/>
      <c r="AQ229" s="1883"/>
      <c r="AR229" s="1883"/>
      <c r="AS229" s="1533"/>
      <c r="AT229" s="1883"/>
      <c r="AU229" s="1883"/>
      <c r="AV229" s="1883"/>
      <c r="AW229" s="1883"/>
      <c r="AX229" s="1883"/>
      <c r="AY229" s="1883"/>
      <c r="AZ229" s="1883"/>
      <c r="BA229" s="1883"/>
      <c r="BB229" s="1883"/>
      <c r="BC229" s="1883"/>
      <c r="BD229" s="500"/>
      <c r="BE229" s="500"/>
      <c r="BF229" s="1184"/>
    </row>
    <row s="500" customFormat="1" customHeight="1" ht="14.625">
      <c r="A230" s="175"/>
      <c r="B230" s="788"/>
      <c r="C230" s="175"/>
      <c r="D230" s="175"/>
      <c r="E230" s="797">
        <v>15</v>
      </c>
      <c r="F230" s="175"/>
      <c r="Q230" s="739"/>
      <c r="R230" s="739"/>
      <c r="T230" s="175"/>
      <c r="U230" s="175"/>
      <c r="V230" s="175"/>
      <c r="W230" s="171" t="s">
        <v>235</v>
      </c>
      <c r="X230" s="175"/>
      <c r="Y230" s="175"/>
      <c r="Z230" s="175"/>
      <c r="AB230" s="1478" t="s">
        <v>706</v>
      </c>
      <c r="AC230" s="1479"/>
      <c r="AD230" s="383"/>
      <c r="AE230" s="383"/>
      <c r="AF230" s="384"/>
      <c r="AG230" s="384"/>
      <c r="AH230" s="384"/>
      <c r="AI230" s="384"/>
      <c r="AJ230" s="384"/>
      <c r="AK230" s="384"/>
      <c r="AL230" s="384"/>
      <c r="AM230" s="384"/>
      <c r="AN230" s="384"/>
      <c r="AO230" s="384"/>
      <c r="AP230" s="384"/>
      <c r="AQ230" s="384"/>
      <c r="AR230" s="384"/>
      <c r="AS230" s="384"/>
      <c r="AT230" s="384"/>
      <c r="AU230" s="384"/>
      <c r="AV230" s="384"/>
      <c r="AW230" s="384"/>
      <c r="AX230" s="384"/>
      <c r="AY230" s="384"/>
      <c r="AZ230" s="384"/>
      <c r="BA230" s="384"/>
      <c r="BB230" s="384"/>
      <c r="BC230" s="385"/>
      <c r="BF230" s="1184"/>
    </row>
    <row customHeight="1" ht="11.25">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D231" s="187"/>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860A8-18E2-F528-8165-F065918E7916}"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9.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220" width="5.25390625" customWidth="1"/>
    <col min="29" max="29" style="220" width="58.00390625" customWidth="1"/>
    <col min="30" max="30" style="220" width="12.1328125" customWidth="1"/>
    <col min="31" max="31" style="221" width="13.1328125" customWidth="1"/>
    <col min="32" max="35" style="220" width="13.1328125" customWidth="1"/>
    <col min="36" max="44" style="220" width="13.1328125" hidden="1" customWidth="1"/>
    <col min="45" max="45" style="220" width="13.1328125" customWidth="1"/>
    <col min="46" max="54" style="220" width="13.1328125" hidden="1" customWidth="1"/>
    <col min="55" max="55" style="220" width="20.1328125" customWidth="1"/>
    <col min="56" max="56" style="220" width="3.00390625" customWidth="1"/>
    <col min="57" max="57" style="220" width="9.140625" hidden="1"/>
    <col min="58" max="58" style="1219" width="9.140625" hidden="1"/>
  </cols>
  <sheetData>
    <row s="1582" customFormat="1" customHeight="1" ht="12" hidden="1">
      <c r="B1" s="927"/>
      <c r="E1" s="927"/>
      <c r="F1" s="819" t="s">
        <v>83</v>
      </c>
      <c r="G1" s="500"/>
      <c r="H1" s="500"/>
      <c r="I1" s="500"/>
      <c r="J1" s="500"/>
      <c r="K1" s="500"/>
      <c r="L1" s="500"/>
      <c r="M1" s="500"/>
      <c r="N1" s="500"/>
      <c r="O1" s="500"/>
      <c r="P1" s="500"/>
      <c r="Q1" s="928"/>
      <c r="R1" s="928"/>
      <c r="S1" s="500"/>
      <c r="T1" s="808" t="s">
        <v>86</v>
      </c>
      <c r="U1" s="808" t="s">
        <v>91</v>
      </c>
      <c r="V1" s="808" t="s">
        <v>87</v>
      </c>
      <c r="W1" s="808" t="s">
        <v>88</v>
      </c>
      <c r="X1" s="808" t="s">
        <v>89</v>
      </c>
      <c r="Y1" s="819" t="s">
        <v>372</v>
      </c>
      <c r="Z1" s="808" t="s">
        <v>93</v>
      </c>
      <c r="AA1" s="819" t="s">
        <v>90</v>
      </c>
      <c r="AB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219" t="s">
        <v>373</v>
      </c>
    </row>
    <row s="927" customFormat="1" customHeight="1" ht="12" hidden="1">
      <c r="B2" s="929" t="s">
        <v>15</v>
      </c>
      <c r="G2" s="969"/>
      <c r="H2" s="969"/>
      <c r="I2" s="969"/>
      <c r="J2" s="969"/>
      <c r="K2" s="969"/>
      <c r="L2" s="969"/>
      <c r="M2" s="969"/>
      <c r="N2" s="969"/>
      <c r="O2" s="969"/>
      <c r="P2" s="969"/>
      <c r="Q2" s="969"/>
      <c r="R2" s="969"/>
      <c r="S2" s="969"/>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222"/>
    </row>
    <row s="1582" customFormat="1" customHeight="1" ht="12" hidden="1">
      <c r="B3" s="927"/>
      <c r="E3" s="927"/>
      <c r="G3" s="500"/>
      <c r="H3" s="500"/>
      <c r="I3" s="500"/>
      <c r="J3" s="500"/>
      <c r="K3" s="500"/>
      <c r="L3" s="500"/>
      <c r="M3" s="500"/>
      <c r="N3" s="500"/>
      <c r="O3" s="500"/>
      <c r="P3" s="500"/>
      <c r="Q3" s="928"/>
      <c r="R3" s="928"/>
      <c r="S3" s="500"/>
      <c r="AI3" s="1582"/>
      <c r="AJ3" s="1582"/>
      <c r="AK3" s="1582"/>
      <c r="AL3" s="1582"/>
      <c r="AM3" s="1582"/>
      <c r="AN3" s="1582"/>
      <c r="AO3" s="1582"/>
      <c r="AP3" s="1582"/>
      <c r="AQ3" s="1582"/>
      <c r="AR3" s="1582"/>
      <c r="AS3" s="1582"/>
      <c r="AT3" s="1582"/>
      <c r="AU3" s="1582"/>
      <c r="AV3" s="1582"/>
      <c r="AW3" s="1582"/>
      <c r="AX3" s="1582"/>
      <c r="AY3" s="1582"/>
      <c r="AZ3" s="1582"/>
      <c r="BA3" s="1582"/>
      <c r="BB3" s="1582"/>
      <c r="BF3" s="1219"/>
    </row>
    <row s="1582" customFormat="1" customHeight="1" ht="12" hidden="1">
      <c r="B4" s="927"/>
      <c r="E4" s="927"/>
      <c r="G4" s="500"/>
      <c r="H4" s="500"/>
      <c r="I4" s="500"/>
      <c r="J4" s="500"/>
      <c r="K4" s="500"/>
      <c r="L4" s="500"/>
      <c r="M4" s="500"/>
      <c r="N4" s="500"/>
      <c r="O4" s="500"/>
      <c r="P4" s="500"/>
      <c r="Q4" s="928"/>
      <c r="R4" s="928"/>
      <c r="S4" s="500"/>
      <c r="AI4" s="1582"/>
      <c r="AJ4" s="1582"/>
      <c r="AK4" s="1582"/>
      <c r="AL4" s="1582"/>
      <c r="AM4" s="1582"/>
      <c r="AN4" s="1582"/>
      <c r="AO4" s="1582"/>
      <c r="AP4" s="1582"/>
      <c r="AQ4" s="1582"/>
      <c r="AR4" s="1582"/>
      <c r="AS4" s="1582"/>
      <c r="AT4" s="1582"/>
      <c r="AU4" s="1582"/>
      <c r="AV4" s="1582"/>
      <c r="AW4" s="1582"/>
      <c r="AX4" s="1582"/>
      <c r="AY4" s="1582"/>
      <c r="AZ4" s="1582"/>
      <c r="BA4" s="1582"/>
      <c r="BB4" s="1582"/>
      <c r="BF4" s="1219"/>
    </row>
    <row s="925" customFormat="1" customHeight="1" ht="12" hidden="1">
      <c r="A5" s="927"/>
      <c r="B5" s="927"/>
      <c r="C5" s="927"/>
      <c r="D5" s="927"/>
      <c r="E5" s="925" t="s">
        <v>16</v>
      </c>
      <c r="G5" s="970"/>
      <c r="H5" s="970"/>
      <c r="I5" s="970"/>
      <c r="J5" s="970"/>
      <c r="K5" s="970"/>
      <c r="L5" s="970"/>
      <c r="M5" s="970"/>
      <c r="N5" s="970"/>
      <c r="O5" s="970"/>
      <c r="P5" s="970"/>
      <c r="Q5" s="970"/>
      <c r="R5" s="970"/>
      <c r="S5" s="970"/>
      <c r="AA5" s="925">
        <v>3</v>
      </c>
      <c r="AB5" s="925">
        <v>5.25</v>
      </c>
      <c r="AC5" s="925">
        <v>58</v>
      </c>
      <c r="AD5" s="925">
        <v>12.13</v>
      </c>
      <c r="AE5" s="925">
        <v>13.13</v>
      </c>
      <c r="AF5" s="925">
        <v>13.13</v>
      </c>
      <c r="AG5" s="925">
        <v>13.13</v>
      </c>
      <c r="AH5" s="925">
        <v>13.13</v>
      </c>
      <c r="AI5" s="925">
        <v>13.13</v>
      </c>
      <c r="AJ5" s="925">
        <v>13.13</v>
      </c>
      <c r="AK5" s="925">
        <v>13.13</v>
      </c>
      <c r="AL5" s="925">
        <v>13.13</v>
      </c>
      <c r="AM5" s="925">
        <v>13.13</v>
      </c>
      <c r="AN5" s="925">
        <v>13.13</v>
      </c>
      <c r="AO5" s="925">
        <v>13.13</v>
      </c>
      <c r="AP5" s="925">
        <v>13.13</v>
      </c>
      <c r="AQ5" s="925">
        <v>13.13</v>
      </c>
      <c r="AR5" s="925">
        <v>13.13</v>
      </c>
      <c r="AS5" s="925">
        <v>13.13</v>
      </c>
      <c r="AT5" s="925">
        <v>13.13</v>
      </c>
      <c r="AU5" s="925">
        <v>13.13</v>
      </c>
      <c r="AV5" s="925">
        <v>13.13</v>
      </c>
      <c r="AW5" s="925">
        <v>13.13</v>
      </c>
      <c r="AX5" s="925">
        <v>13.13</v>
      </c>
      <c r="AY5" s="925">
        <v>13.13</v>
      </c>
      <c r="AZ5" s="925">
        <v>13.13</v>
      </c>
      <c r="BA5" s="925">
        <v>13.13</v>
      </c>
      <c r="BB5" s="925">
        <v>13.13</v>
      </c>
      <c r="BC5" s="925">
        <v>20.13</v>
      </c>
      <c r="BD5" s="925">
        <v>3</v>
      </c>
      <c r="BF5" s="1222"/>
    </row>
    <row s="1582" customFormat="1" customHeight="1" ht="12" hidden="1">
      <c r="B6" s="927"/>
      <c r="E6" s="925"/>
      <c r="G6" s="500"/>
      <c r="H6" s="500"/>
      <c r="I6" s="500"/>
      <c r="J6" s="500"/>
      <c r="K6" s="500"/>
      <c r="L6" s="500"/>
      <c r="M6" s="500"/>
      <c r="N6" s="500"/>
      <c r="O6" s="500"/>
      <c r="P6" s="500"/>
      <c r="Q6" s="928"/>
      <c r="R6" s="928"/>
      <c r="S6" s="500"/>
      <c r="AE6" s="963">
        <f>god-2</f>
        <v>2024</v>
      </c>
      <c r="AF6" s="963">
        <f>god-2</f>
        <v>2024</v>
      </c>
      <c r="AG6" s="963">
        <f>god-2</f>
        <v>2024</v>
      </c>
      <c r="AH6" s="96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219"/>
    </row>
    <row s="500" customFormat="1" customHeight="1" ht="12" hidden="1">
      <c r="A7" s="963"/>
      <c r="B7" s="927"/>
      <c r="C7" s="963"/>
      <c r="D7" s="963"/>
      <c r="E7" s="925"/>
      <c r="Q7" s="928"/>
      <c r="R7" s="928"/>
      <c r="AE7" s="500" cm="1" t="str">
        <f t="array" ref="AE7:AE7">AE25</f>
        <v>Принято органом регулирования</v>
      </c>
      <c r="AF7" s="500" cm="1" t="str">
        <f t="array" ref="AF7:AF7">AF25</f>
        <v>Факт по данным организации</v>
      </c>
      <c r="AG7" s="500" cm="1" t="str">
        <f t="array" ref="AG7:AG7">AG25</f>
        <v>Факт, принятый органом регулирования</v>
      </c>
      <c r="AH7" s="500" cm="1" t="str">
        <f t="array" ref="AH7:AH7">AH25</f>
        <v>Принято органом регулирования</v>
      </c>
      <c r="AI7" s="500" cm="1" t="str">
        <f t="array" ref="AI7:AI7">AI25</f>
        <v>Предложение организации</v>
      </c>
      <c r="AJ7" s="500" cm="1" t="str">
        <f t="array" ref="AJ7:AJ7">AJ25</f>
        <v>Предложение организации</v>
      </c>
      <c r="AK7" s="500" cm="1" t="str">
        <f t="array" ref="AK7:AK7">AK25</f>
        <v>Предложение организации</v>
      </c>
      <c r="AL7" s="500" cm="1" t="str">
        <f t="array" ref="AL7:AL7">AL25</f>
        <v>Предложение организации</v>
      </c>
      <c r="AM7" s="500" cm="1" t="str">
        <f t="array" ref="AM7:AM7">AM25</f>
        <v>Предложение организации</v>
      </c>
      <c r="AN7" s="500" cm="1" t="str">
        <f t="array" ref="AN7:AN7">AN25</f>
        <v>Предложение организации</v>
      </c>
      <c r="AO7" s="500" cm="1" t="str">
        <f t="array" ref="AO7:AO7">AO25</f>
        <v>Предложение организации</v>
      </c>
      <c r="AP7" s="500" cm="1" t="str">
        <f t="array" ref="AP7:AP7">AP25</f>
        <v>Предложение организации</v>
      </c>
      <c r="AQ7" s="500" cm="1" t="str">
        <f t="array" ref="AQ7:AQ7">AQ25</f>
        <v>Предложение организации</v>
      </c>
      <c r="AR7" s="500" cm="1" t="str">
        <f t="array" ref="AR7:AR7">AR25</f>
        <v>Предложение организации</v>
      </c>
      <c r="AS7" s="500" cm="1" t="str">
        <f t="array" ref="AS7:AS7">AS25</f>
        <v>Принято органом регулирования</v>
      </c>
      <c r="AT7" s="500" cm="1" t="str">
        <f t="array" ref="AT7:AT7">AT25</f>
        <v>Принято органом регулирования</v>
      </c>
      <c r="AU7" s="500" cm="1" t="str">
        <f t="array" ref="AU7:AU7">AU25</f>
        <v>Принято органом регулирования</v>
      </c>
      <c r="AV7" s="500" cm="1" t="str">
        <f t="array" ref="AV7:AV7">AV25</f>
        <v>Принято органом регулирования</v>
      </c>
      <c r="AW7" s="500" cm="1" t="str">
        <f t="array" ref="AW7:AW7">AW25</f>
        <v>Принято органом регулирования</v>
      </c>
      <c r="AX7" s="500" cm="1" t="str">
        <f t="array" ref="AX7:AX7">AX25</f>
        <v>Принято органом регулирования</v>
      </c>
      <c r="AY7" s="500" cm="1" t="str">
        <f t="array" ref="AY7:AY7">AY25</f>
        <v>Принято органом регулирования</v>
      </c>
      <c r="AZ7" s="500" cm="1" t="str">
        <f t="array" ref="AZ7:AZ7">AZ25</f>
        <v>Принято органом регулирования</v>
      </c>
      <c r="BA7" s="500" cm="1" t="str">
        <f t="array" ref="BA7:BA7">BA25</f>
        <v>Принято органом регулирования</v>
      </c>
      <c r="BB7" s="500" cm="1" t="str">
        <f t="array" ref="BB7:BB7">BB25</f>
        <v>Принято органом регулирования</v>
      </c>
      <c r="BF7" s="1219"/>
    </row>
    <row s="500" customFormat="1" customHeight="1" ht="12" hidden="1">
      <c r="A8" s="963"/>
      <c r="B8" s="927"/>
      <c r="C8" s="963"/>
      <c r="D8" s="963"/>
      <c r="E8" s="925"/>
      <c r="Q8" s="928"/>
      <c r="R8" s="928"/>
      <c r="AI8" s="500"/>
      <c r="AJ8" s="500"/>
      <c r="AK8" s="500"/>
      <c r="AL8" s="500"/>
      <c r="AM8" s="500"/>
      <c r="AN8" s="500"/>
      <c r="AO8" s="500"/>
      <c r="AP8" s="500"/>
      <c r="AQ8" s="500"/>
      <c r="AR8" s="500"/>
      <c r="AS8" s="500"/>
      <c r="AT8" s="500"/>
      <c r="AU8" s="500"/>
      <c r="AV8" s="500"/>
      <c r="AW8" s="500"/>
      <c r="AX8" s="500"/>
      <c r="AY8" s="500"/>
      <c r="AZ8" s="500"/>
      <c r="BA8" s="500"/>
      <c r="BB8" s="500"/>
      <c r="BF8" s="1219"/>
    </row>
    <row s="1217" customFormat="1" customHeight="1" ht="12" hidden="1">
      <c r="A9" s="1215" t="s">
        <v>437</v>
      </c>
      <c r="B9" s="1216"/>
      <c r="E9" s="1216"/>
      <c r="Q9" s="1218"/>
      <c r="R9" s="121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19"/>
    </row>
    <row s="1217" customFormat="1" customHeight="1" ht="12" hidden="1">
      <c r="A10" s="1215" t="s">
        <v>438</v>
      </c>
      <c r="B10" s="1216"/>
      <c r="E10" s="1216"/>
      <c r="Q10" s="1218"/>
      <c r="R10" s="121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19"/>
    </row>
    <row s="1217" customFormat="1" customHeight="1" ht="12" hidden="1">
      <c r="A11" s="1215" t="s">
        <v>439</v>
      </c>
      <c r="B11" s="1216"/>
      <c r="E11" s="1216"/>
      <c r="G11" s="1220"/>
      <c r="H11" s="1220"/>
      <c r="I11" s="1220"/>
      <c r="J11" s="1220"/>
      <c r="K11" s="1220"/>
      <c r="L11" s="1220"/>
      <c r="M11" s="1220"/>
      <c r="N11" s="1220"/>
      <c r="O11" s="1220"/>
      <c r="P11" s="1220"/>
      <c r="Q11" s="1221"/>
      <c r="R11" s="1221"/>
      <c r="S11" s="122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19"/>
    </row>
    <row s="1582" customFormat="1" customHeight="1" ht="12" hidden="1">
      <c r="B12" s="927"/>
      <c r="E12" s="925"/>
      <c r="G12" s="500"/>
      <c r="H12" s="500"/>
      <c r="I12" s="500"/>
      <c r="J12" s="500"/>
      <c r="K12" s="500"/>
      <c r="L12" s="500"/>
      <c r="M12" s="500"/>
      <c r="N12" s="500"/>
      <c r="O12" s="500"/>
      <c r="P12" s="500"/>
      <c r="Q12" s="928"/>
      <c r="R12" s="928"/>
      <c r="S12" s="500"/>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F12" s="1219"/>
    </row>
    <row s="1582" customFormat="1" customHeight="1" ht="12" hidden="1">
      <c r="B13" s="927"/>
      <c r="E13" s="925"/>
      <c r="G13" s="500"/>
      <c r="H13" s="500"/>
      <c r="I13" s="500"/>
      <c r="J13" s="500"/>
      <c r="K13" s="500"/>
      <c r="L13" s="500"/>
      <c r="M13" s="500"/>
      <c r="N13" s="500"/>
      <c r="O13" s="500"/>
      <c r="P13" s="500"/>
      <c r="Q13" s="928"/>
      <c r="R13" s="928"/>
      <c r="S13" s="500"/>
      <c r="AI13" s="175"/>
      <c r="AJ13" s="175"/>
      <c r="AK13" s="175"/>
      <c r="AL13" s="175"/>
      <c r="AM13" s="175"/>
      <c r="AN13" s="175"/>
      <c r="AO13" s="175"/>
      <c r="AP13" s="175"/>
      <c r="AQ13" s="175"/>
      <c r="AR13" s="175"/>
      <c r="AS13" s="175"/>
      <c r="AT13" s="175"/>
      <c r="AU13" s="175"/>
      <c r="AV13" s="175"/>
      <c r="AW13" s="175"/>
      <c r="AX13" s="175"/>
      <c r="AY13" s="175"/>
      <c r="AZ13" s="175"/>
      <c r="BA13" s="175"/>
      <c r="BB13" s="175"/>
      <c r="BF13" s="1219"/>
    </row>
    <row s="1582" customFormat="1" customHeight="1" ht="12" hidden="1">
      <c r="B14" s="927"/>
      <c r="E14" s="925"/>
      <c r="G14" s="500"/>
      <c r="H14" s="500"/>
      <c r="I14" s="500"/>
      <c r="J14" s="500"/>
      <c r="K14" s="500"/>
      <c r="L14" s="500"/>
      <c r="M14" s="500"/>
      <c r="N14" s="500"/>
      <c r="O14" s="500"/>
      <c r="P14" s="500"/>
      <c r="Q14" s="928"/>
      <c r="R14" s="928"/>
      <c r="S14" s="500"/>
      <c r="AI14" s="175"/>
      <c r="AJ14" s="175"/>
      <c r="AK14" s="175"/>
      <c r="AL14" s="175"/>
      <c r="AM14" s="175"/>
      <c r="AN14" s="175"/>
      <c r="AO14" s="175"/>
      <c r="AP14" s="175"/>
      <c r="AQ14" s="175"/>
      <c r="AR14" s="175"/>
      <c r="AS14" s="175"/>
      <c r="AT14" s="175"/>
      <c r="AU14" s="175"/>
      <c r="AV14" s="175"/>
      <c r="AW14" s="175"/>
      <c r="AX14" s="175"/>
      <c r="AY14" s="175"/>
      <c r="AZ14" s="175"/>
      <c r="BA14" s="175"/>
      <c r="BB14" s="175"/>
      <c r="BF14" s="1219"/>
    </row>
    <row s="1582" customFormat="1" customHeight="1" ht="12" hidden="1">
      <c r="B15" s="927"/>
      <c r="E15" s="925"/>
      <c r="G15" s="500"/>
      <c r="H15" s="500"/>
      <c r="I15" s="500"/>
      <c r="J15" s="500"/>
      <c r="K15" s="500"/>
      <c r="L15" s="500"/>
      <c r="M15" s="500"/>
      <c r="N15" s="500"/>
      <c r="O15" s="500"/>
      <c r="P15" s="500"/>
      <c r="Q15" s="928"/>
      <c r="R15" s="928"/>
      <c r="S15" s="500"/>
      <c r="AI15" s="175"/>
      <c r="AJ15" s="175"/>
      <c r="AK15" s="175"/>
      <c r="AL15" s="175"/>
      <c r="AM15" s="175"/>
      <c r="AN15" s="175"/>
      <c r="AO15" s="175"/>
      <c r="AP15" s="175"/>
      <c r="AQ15" s="175"/>
      <c r="AR15" s="175"/>
      <c r="AS15" s="175"/>
      <c r="AT15" s="175"/>
      <c r="AU15" s="175"/>
      <c r="AV15" s="175"/>
      <c r="AW15" s="175"/>
      <c r="AX15" s="175"/>
      <c r="AY15" s="175"/>
      <c r="AZ15" s="175"/>
      <c r="BA15" s="175"/>
      <c r="BB15" s="175"/>
      <c r="BF15" s="1219"/>
    </row>
    <row s="1582" customFormat="1" customHeight="1" ht="12" hidden="1">
      <c r="B16" s="927"/>
      <c r="E16" s="925"/>
      <c r="G16" s="500"/>
      <c r="H16" s="500"/>
      <c r="I16" s="500"/>
      <c r="J16" s="500"/>
      <c r="K16" s="500"/>
      <c r="L16" s="500"/>
      <c r="M16" s="500"/>
      <c r="N16" s="500"/>
      <c r="O16" s="500"/>
      <c r="P16" s="500"/>
      <c r="Q16" s="928"/>
      <c r="R16" s="928"/>
      <c r="S16" s="500"/>
      <c r="AI16" s="175"/>
      <c r="AJ16" s="175"/>
      <c r="AK16" s="175"/>
      <c r="AL16" s="175"/>
      <c r="AM16" s="175"/>
      <c r="AN16" s="175"/>
      <c r="AO16" s="175"/>
      <c r="AP16" s="175"/>
      <c r="AQ16" s="175"/>
      <c r="AR16" s="175"/>
      <c r="AS16" s="175"/>
      <c r="AT16" s="175"/>
      <c r="AU16" s="175"/>
      <c r="AV16" s="175"/>
      <c r="AW16" s="175"/>
      <c r="AX16" s="175"/>
      <c r="AY16" s="175"/>
      <c r="AZ16" s="175"/>
      <c r="BA16" s="175"/>
      <c r="BB16" s="175"/>
      <c r="BF16" s="1219"/>
    </row>
    <row s="1582" customFormat="1" customHeight="1" ht="12" hidden="1">
      <c r="B17" s="927"/>
      <c r="E17" s="925"/>
      <c r="G17" s="500"/>
      <c r="H17" s="500"/>
      <c r="I17" s="500"/>
      <c r="J17" s="500"/>
      <c r="K17" s="500"/>
      <c r="L17" s="500"/>
      <c r="M17" s="500"/>
      <c r="N17" s="500"/>
      <c r="O17" s="500"/>
      <c r="P17" s="500"/>
      <c r="Q17" s="928"/>
      <c r="R17" s="928"/>
      <c r="S17" s="500"/>
      <c r="AI17" s="1582"/>
      <c r="AJ17" s="1582"/>
      <c r="AK17" s="1582"/>
      <c r="AL17" s="1582"/>
      <c r="AM17" s="1582"/>
      <c r="AN17" s="1582"/>
      <c r="AO17" s="1582"/>
      <c r="AP17" s="1582"/>
      <c r="AQ17" s="1582"/>
      <c r="AR17" s="1582"/>
      <c r="AS17" s="1582"/>
      <c r="AT17" s="1582"/>
      <c r="AU17" s="1582"/>
      <c r="AV17" s="1582"/>
      <c r="AW17" s="1582"/>
      <c r="AX17" s="175"/>
      <c r="AY17" s="175"/>
      <c r="AZ17" s="175"/>
      <c r="BA17" s="175"/>
      <c r="BB17" s="175"/>
      <c r="BF17" s="1219"/>
    </row>
    <row s="1582" customFormat="1" customHeight="1" ht="12" hidden="1">
      <c r="B18" s="927"/>
      <c r="E18" s="925"/>
      <c r="G18" s="500"/>
      <c r="H18" s="500"/>
      <c r="I18" s="500"/>
      <c r="J18" s="500"/>
      <c r="K18" s="500"/>
      <c r="L18" s="500"/>
      <c r="M18" s="500"/>
      <c r="N18" s="500"/>
      <c r="O18" s="500"/>
      <c r="P18" s="500"/>
      <c r="Q18" s="928"/>
      <c r="R18" s="928"/>
      <c r="S18" s="500"/>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219"/>
    </row>
    <row s="1582" customFormat="1" customHeight="1" ht="12" hidden="1">
      <c r="B19" s="927"/>
      <c r="E19" s="925"/>
      <c r="G19" s="500"/>
      <c r="H19" s="500"/>
      <c r="I19" s="500"/>
      <c r="J19" s="500"/>
      <c r="K19" s="500"/>
      <c r="L19" s="500"/>
      <c r="M19" s="500"/>
      <c r="N19" s="500"/>
      <c r="O19" s="500"/>
      <c r="P19" s="500"/>
      <c r="Q19" s="928"/>
      <c r="R19" s="928"/>
      <c r="S19" s="500"/>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219"/>
    </row>
    <row s="1582" customFormat="1" customHeight="1" ht="12" hidden="1">
      <c r="B20" s="927"/>
      <c r="E20" s="925"/>
      <c r="G20" s="500"/>
      <c r="H20" s="500"/>
      <c r="I20" s="500"/>
      <c r="J20" s="500"/>
      <c r="K20" s="500"/>
      <c r="L20" s="500"/>
      <c r="M20" s="500"/>
      <c r="N20" s="500"/>
      <c r="O20" s="500"/>
      <c r="P20" s="500"/>
      <c r="Q20" s="928"/>
      <c r="R20" s="928"/>
      <c r="S20" s="500"/>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219"/>
    </row>
    <row customHeight="1" ht="14.625">
      <c r="E21" s="925">
        <v>15</v>
      </c>
      <c r="AA21" s="820"/>
      <c r="AC21" s="942" cm="1" t="str">
        <f t="array" ref="AC21:AC21">tpl_title</f>
        <v>Кемеровская область / 2026 / ООО "ВЕЛЕС" (ИНН:4212036655, КПП:421201001) / ДПР: 2016-2025</v>
      </c>
      <c r="AI21" s="220"/>
      <c r="AJ21" s="220"/>
      <c r="AK21" s="220"/>
      <c r="AL21" s="220"/>
      <c r="AM21" s="220"/>
      <c r="AN21" s="220"/>
      <c r="AO21" s="220"/>
      <c r="AP21" s="220"/>
      <c r="AQ21" s="220"/>
      <c r="AR21" s="220"/>
      <c r="AS21" s="220"/>
      <c r="AT21" s="220"/>
      <c r="AU21" s="220"/>
      <c r="AV21" s="220"/>
      <c r="AW21" s="220"/>
      <c r="AX21" s="220"/>
      <c r="AY21" s="220"/>
      <c r="AZ21" s="220"/>
      <c r="BA21" s="220"/>
      <c r="BB21" s="220"/>
    </row>
    <row s="220" customFormat="1" customHeight="1" ht="19.5975">
      <c r="A22" s="175"/>
      <c r="B22" s="788"/>
      <c r="C22" s="175"/>
      <c r="D22" s="175"/>
      <c r="E22" s="797">
        <v>20.1</v>
      </c>
      <c r="F22" s="175"/>
      <c r="G22" s="213"/>
      <c r="H22" s="213"/>
      <c r="I22" s="213"/>
      <c r="J22" s="213"/>
      <c r="K22" s="213"/>
      <c r="L22" s="213"/>
      <c r="M22" s="213"/>
      <c r="N22" s="213"/>
      <c r="O22" s="213"/>
      <c r="P22" s="213"/>
      <c r="Q22" s="739"/>
      <c r="R22" s="739"/>
      <c r="S22" s="213"/>
      <c r="T22" s="175"/>
      <c r="U22" s="175"/>
      <c r="V22" s="175"/>
      <c r="W22" s="175"/>
      <c r="X22" s="175"/>
      <c r="Y22" s="175"/>
      <c r="Z22" s="175"/>
      <c r="AB22" s="392" t="s">
        <v>45</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F22" s="1184"/>
    </row>
    <row s="220" customFormat="1" customHeight="1" ht="11.0175">
      <c r="A23" s="175"/>
      <c r="B23" s="788"/>
      <c r="C23" s="175"/>
      <c r="D23" s="175"/>
      <c r="E23" s="797">
        <v>11.3</v>
      </c>
      <c r="F23" s="175"/>
      <c r="G23" s="213"/>
      <c r="H23" s="213"/>
      <c r="I23" s="213"/>
      <c r="J23" s="213"/>
      <c r="K23" s="213"/>
      <c r="L23" s="213"/>
      <c r="M23" s="213"/>
      <c r="N23" s="213"/>
      <c r="O23" s="213"/>
      <c r="P23" s="213"/>
      <c r="Q23" s="739"/>
      <c r="R23" s="739"/>
      <c r="S23" s="213"/>
      <c r="T23" s="175"/>
      <c r="U23" s="175"/>
      <c r="V23" s="175"/>
      <c r="W23" s="175"/>
      <c r="X23" s="175"/>
      <c r="Y23" s="175"/>
      <c r="Z23" s="175"/>
      <c r="AB23" s="222"/>
      <c r="AE23" s="205"/>
      <c r="AI23" s="220"/>
      <c r="AJ23" s="220"/>
      <c r="AK23" s="220"/>
      <c r="AL23" s="220"/>
      <c r="AM23" s="220"/>
      <c r="AN23" s="220"/>
      <c r="AO23" s="220"/>
      <c r="AP23" s="220"/>
      <c r="AQ23" s="220"/>
      <c r="AR23" s="220"/>
      <c r="AS23" s="220"/>
      <c r="AT23" s="220"/>
      <c r="AU23" s="220"/>
      <c r="AV23" s="220"/>
      <c r="AW23" s="220"/>
      <c r="AX23" s="220"/>
      <c r="AY23" s="220"/>
      <c r="AZ23" s="220"/>
      <c r="BA23" s="220"/>
      <c r="BB23" s="220"/>
      <c r="BF23" s="1184"/>
    </row>
    <row s="220" customFormat="1" customHeight="1" ht="14.625">
      <c r="A24" s="175"/>
      <c r="B24" s="788"/>
      <c r="C24" s="175"/>
      <c r="D24" s="175"/>
      <c r="E24" s="797">
        <v>15</v>
      </c>
      <c r="F24" s="175"/>
      <c r="G24" s="213"/>
      <c r="H24" s="213"/>
      <c r="I24" s="213"/>
      <c r="J24" s="213"/>
      <c r="K24" s="213"/>
      <c r="L24" s="213"/>
      <c r="M24" s="213"/>
      <c r="N24" s="213"/>
      <c r="O24" s="213"/>
      <c r="P24" s="213"/>
      <c r="Q24" s="739"/>
      <c r="R24" s="739"/>
      <c r="S24" s="213"/>
      <c r="T24" s="175"/>
      <c r="U24" s="175"/>
      <c r="V24" s="175"/>
      <c r="W24" s="175"/>
      <c r="X24" s="175"/>
      <c r="Y24" s="175"/>
      <c r="Z24" s="175"/>
      <c r="AB24" s="1530" t="s">
        <v>386</v>
      </c>
      <c r="AC24" s="1530" t="s">
        <v>440</v>
      </c>
      <c r="AD24" s="1530" t="s">
        <v>1150</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5" t="s">
        <v>595</v>
      </c>
      <c r="BF24" s="1184"/>
    </row>
    <row s="220" customFormat="1" customHeight="1" ht="48.847500000000004">
      <c r="A25" s="175"/>
      <c r="B25" s="788"/>
      <c r="C25" s="175"/>
      <c r="D25" s="175"/>
      <c r="E25" s="797">
        <v>50.1</v>
      </c>
      <c r="F25" s="175"/>
      <c r="G25" s="213"/>
      <c r="H25" s="213"/>
      <c r="I25" s="213"/>
      <c r="J25" s="213"/>
      <c r="K25" s="213"/>
      <c r="L25" s="213"/>
      <c r="M25" s="213"/>
      <c r="N25" s="213"/>
      <c r="O25" s="213"/>
      <c r="P25" s="213"/>
      <c r="Q25" s="739"/>
      <c r="R25" s="739"/>
      <c r="S25" s="213"/>
      <c r="T25" s="175"/>
      <c r="U25" s="175"/>
      <c r="V25" s="175"/>
      <c r="W25" s="175"/>
      <c r="X25" s="175"/>
      <c r="Y25" s="175"/>
      <c r="Z25" s="175"/>
      <c r="AB25" s="1530"/>
      <c r="AC25" s="1530"/>
      <c r="AD25" s="1530"/>
      <c r="AE25" s="170" t="s">
        <v>402</v>
      </c>
      <c r="AF25" s="1356" t="s">
        <v>596</v>
      </c>
      <c r="AG25" s="170" t="s">
        <v>597</v>
      </c>
      <c r="AH25" s="170" t="s">
        <v>402</v>
      </c>
      <c r="AI25" s="1357" t="s">
        <v>403</v>
      </c>
      <c r="AJ25" s="1357" t="s">
        <v>403</v>
      </c>
      <c r="AK25" s="1357" t="s">
        <v>403</v>
      </c>
      <c r="AL25" s="1357" t="s">
        <v>403</v>
      </c>
      <c r="AM25" s="1357" t="s">
        <v>403</v>
      </c>
      <c r="AN25" s="1357" t="s">
        <v>403</v>
      </c>
      <c r="AO25" s="1357" t="s">
        <v>403</v>
      </c>
      <c r="AP25" s="1357" t="s">
        <v>403</v>
      </c>
      <c r="AQ25" s="1357" t="s">
        <v>403</v>
      </c>
      <c r="AR25" s="1357" t="s">
        <v>403</v>
      </c>
      <c r="AS25" s="413" t="s">
        <v>402</v>
      </c>
      <c r="AT25" s="413" t="s">
        <v>402</v>
      </c>
      <c r="AU25" s="413" t="s">
        <v>402</v>
      </c>
      <c r="AV25" s="413" t="s">
        <v>402</v>
      </c>
      <c r="AW25" s="413" t="s">
        <v>402</v>
      </c>
      <c r="AX25" s="413" t="s">
        <v>402</v>
      </c>
      <c r="AY25" s="413" t="s">
        <v>402</v>
      </c>
      <c r="AZ25" s="413" t="s">
        <v>402</v>
      </c>
      <c r="BA25" s="413" t="s">
        <v>402</v>
      </c>
      <c r="BB25" s="413" t="s">
        <v>402</v>
      </c>
      <c r="BC25" s="1475"/>
      <c r="BF25" s="1184"/>
    </row>
    <row s="220" customFormat="1" customHeight="1" ht="50.25" hidden="1">
      <c r="A26" s="175"/>
      <c r="B26" s="788"/>
      <c r="C26" s="175"/>
      <c r="D26" s="175"/>
      <c r="E26" s="797">
        <v>0</v>
      </c>
      <c r="F26" s="175"/>
      <c r="G26" s="213"/>
      <c r="H26" s="213"/>
      <c r="I26" s="213"/>
      <c r="J26" s="213"/>
      <c r="K26" s="213"/>
      <c r="L26" s="213"/>
      <c r="M26" s="213"/>
      <c r="N26" s="213"/>
      <c r="O26" s="213"/>
      <c r="P26" s="213"/>
      <c r="Q26" s="739"/>
      <c r="R26" s="739"/>
      <c r="S26" s="213"/>
      <c r="T26" s="175"/>
      <c r="U26" s="175"/>
      <c r="V26" s="175"/>
      <c r="W26" s="175"/>
      <c r="X26" s="175"/>
      <c r="Y26" s="175"/>
      <c r="Z26" s="175"/>
      <c r="AB26" s="511"/>
      <c r="AC26" s="512"/>
      <c r="AD26" s="512"/>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16"/>
      <c r="BF26" s="1184"/>
    </row>
    <row s="220" customFormat="1" customHeight="1" ht="11.115" hidden="1">
      <c r="E27" s="797">
        <v>11.4</v>
      </c>
      <c r="F27" s="922" cm="1" t="str">
        <f t="array" ref="F27:F27">X27</f>
        <v>0</v>
      </c>
      <c r="T27" s="819">
        <f>X27&gt;0</f>
        <v>0</v>
      </c>
      <c r="V27" s="175" t="s">
        <v>310</v>
      </c>
      <c r="X27" s="175">
        <v>0</v>
      </c>
      <c r="AB27" s="290" cm="1" t="str">
        <f t="array" ref="AB27:AB27">INDEX('Общие сведения'!$AG$169:$AG$202,MATCH($F27,'Общие сведения'!$Z$169:$Z$202,0))</f>
        <v>Тариф 0 (Теплоснабжение) - </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c r="BF27" s="1184"/>
    </row>
    <row s="937" customFormat="1" customHeight="1" ht="27.787500000000005" hidden="1">
      <c r="E28" s="797">
        <v>28.5</v>
      </c>
      <c r="F28" s="922" cm="1" t="str">
        <f t="array" ref="F28:F28">F27</f>
        <v>0</v>
      </c>
      <c r="G28" s="739" t="s">
        <v>1151</v>
      </c>
      <c r="T28" s="819" cm="1" t="str">
        <f t="array" ref="T28:T28">T27</f>
        <v>false</v>
      </c>
      <c r="AB28" s="662" t="s">
        <v>336</v>
      </c>
      <c r="AC28" s="1054" t="s">
        <v>45</v>
      </c>
      <c r="AD28" s="1055" t="s">
        <v>810</v>
      </c>
      <c r="AE28" s="335">
        <f>AE29+AE32+AE33+AE36</f>
        <v>0</v>
      </c>
      <c r="AF28" s="335">
        <f>AF29+AF32+AF33+AF36</f>
        <v>0</v>
      </c>
      <c r="AG28" s="335">
        <f>AG29+AG32+AG33+AG36</f>
        <v>0</v>
      </c>
      <c r="AH28" s="335">
        <f>AH29+AH32+AH33+AH36</f>
        <v>0</v>
      </c>
      <c r="AI28" s="335">
        <f>AI29+AI32+AI33+AI36</f>
        <v>0</v>
      </c>
      <c r="AJ28" s="335">
        <f>AJ29+AJ32+AJ33+AJ36</f>
        <v>0</v>
      </c>
      <c r="AK28" s="335">
        <f>AK29+AK32+AK33+AK36</f>
        <v>0</v>
      </c>
      <c r="AL28" s="335">
        <f>AL29+AL32+AL33+AL36</f>
        <v>0</v>
      </c>
      <c r="AM28" s="335">
        <f>AM29+AM32+AM33+AM36</f>
        <v>0</v>
      </c>
      <c r="AN28" s="335">
        <f>AN29+AN32+AN33+AN36</f>
        <v>0</v>
      </c>
      <c r="AO28" s="335">
        <f>AO29+AO32+AO33+AO36</f>
        <v>0</v>
      </c>
      <c r="AP28" s="335">
        <f>AP29+AP32+AP33+AP36</f>
        <v>0</v>
      </c>
      <c r="AQ28" s="335">
        <f>AQ29+AQ32+AQ33+AQ36</f>
        <v>0</v>
      </c>
      <c r="AR28" s="335">
        <f>AR29+AR32+AR33+AR36</f>
        <v>0</v>
      </c>
      <c r="AS28" s="335">
        <f>AS29+AS32+AS33+AS36</f>
        <v>0</v>
      </c>
      <c r="AT28" s="335">
        <f>AT29+AT32+AT33+AT36</f>
        <v>0</v>
      </c>
      <c r="AU28" s="335">
        <f>AU29+AU32+AU33+AU36</f>
        <v>0</v>
      </c>
      <c r="AV28" s="335">
        <f>AV29+AV32+AV33+AV36</f>
        <v>0</v>
      </c>
      <c r="AW28" s="335">
        <f>AW29+AW32+AW33+AW36</f>
        <v>0</v>
      </c>
      <c r="AX28" s="335">
        <f>AX29+AX32+AX33+AX36</f>
        <v>0</v>
      </c>
      <c r="AY28" s="335">
        <f>AY29+AY32+AY33+AY36</f>
        <v>0</v>
      </c>
      <c r="AZ28" s="335">
        <f>AZ29+AZ32+AZ33+AZ36</f>
        <v>0</v>
      </c>
      <c r="BA28" s="335">
        <f>BA29+BA32+BA33+BA36</f>
        <v>0</v>
      </c>
      <c r="BB28" s="335">
        <f>BB29+BB32+BB33+BB36</f>
        <v>0</v>
      </c>
      <c r="BC28" s="105"/>
      <c r="BF28" s="1173" t="s">
        <v>1152</v>
      </c>
    </row>
    <row s="937" customFormat="1" customHeight="1" ht="22.7175" hidden="1">
      <c r="E29" s="797">
        <v>23.3</v>
      </c>
      <c r="F29" s="922" cm="1" t="str">
        <f t="array" ref="F29:F29">F28</f>
        <v>0</v>
      </c>
      <c r="T29" s="819" cm="1" t="str">
        <f t="array" ref="T29:T29">T28</f>
        <v>false</v>
      </c>
      <c r="AB29" s="286" t="s">
        <v>449</v>
      </c>
      <c r="AC29" s="287" t="s">
        <v>1153</v>
      </c>
      <c r="AD29" s="1056" t="s">
        <v>810</v>
      </c>
      <c r="AE29" s="591">
        <f>AE30+AE31</f>
        <v>0</v>
      </c>
      <c r="AF29" s="335">
        <f>AF30+AF31</f>
        <v>0</v>
      </c>
      <c r="AG29" s="335">
        <f>AG30+AG31</f>
        <v>0</v>
      </c>
      <c r="AH29" s="335">
        <f>AH30+AH31</f>
        <v>0</v>
      </c>
      <c r="AI29" s="335">
        <f>AI30+AI31</f>
        <v>0</v>
      </c>
      <c r="AJ29" s="335">
        <f>AJ30+AJ31</f>
        <v>0</v>
      </c>
      <c r="AK29" s="335">
        <f>AK30+AK31</f>
        <v>0</v>
      </c>
      <c r="AL29" s="335">
        <f>AL30+AL31</f>
        <v>0</v>
      </c>
      <c r="AM29" s="335">
        <f>AM30+AM31</f>
        <v>0</v>
      </c>
      <c r="AN29" s="335">
        <f>AN30+AN31</f>
        <v>0</v>
      </c>
      <c r="AO29" s="335">
        <f>AO30+AO31</f>
        <v>0</v>
      </c>
      <c r="AP29" s="335">
        <f>AP30+AP31</f>
        <v>0</v>
      </c>
      <c r="AQ29" s="335">
        <f>AQ30+AQ31</f>
        <v>0</v>
      </c>
      <c r="AR29" s="335">
        <f>AR30+AR31</f>
        <v>0</v>
      </c>
      <c r="AS29" s="335">
        <f>AS30+AS31</f>
        <v>0</v>
      </c>
      <c r="AT29" s="335">
        <f>AT30+AT31</f>
        <v>0</v>
      </c>
      <c r="AU29" s="335">
        <f>AU30+AU31</f>
        <v>0</v>
      </c>
      <c r="AV29" s="335">
        <f>AV30+AV31</f>
        <v>0</v>
      </c>
      <c r="AW29" s="335">
        <f>AW30+AW31</f>
        <v>0</v>
      </c>
      <c r="AX29" s="335">
        <f>AX30+AX31</f>
        <v>0</v>
      </c>
      <c r="AY29" s="335">
        <f>AY30+AY31</f>
        <v>0</v>
      </c>
      <c r="AZ29" s="335">
        <f>AZ30+AZ31</f>
        <v>0</v>
      </c>
      <c r="BA29" s="335">
        <f>BA30+BA31</f>
        <v>0</v>
      </c>
      <c r="BB29" s="335">
        <f>BB30+BB31</f>
        <v>0</v>
      </c>
      <c r="BC29" s="105"/>
      <c r="BF29" s="1173" t="s">
        <v>1154</v>
      </c>
    </row>
    <row s="937" customFormat="1" customHeight="1" ht="22.7175" hidden="1">
      <c r="E30" s="797">
        <v>23.3</v>
      </c>
      <c r="F30" s="922" cm="1" t="str">
        <f t="array" ref="F30:F30">F29</f>
        <v>0</v>
      </c>
      <c r="G30" s="739" t="s">
        <v>1155</v>
      </c>
      <c r="T30" s="819" cm="1" t="str">
        <f t="array" ref="T30:T30">T29</f>
        <v>false</v>
      </c>
      <c r="AB30" s="288" t="s">
        <v>1156</v>
      </c>
      <c r="AC30" s="289" t="s">
        <v>1157</v>
      </c>
      <c r="AD30" s="1045" t="s">
        <v>810</v>
      </c>
      <c r="AE30" s="63"/>
      <c r="AF30" s="61"/>
      <c r="AG30" s="61"/>
      <c r="AH30" s="61"/>
      <c r="AI30" s="1665"/>
      <c r="AJ30" s="61"/>
      <c r="AK30" s="61"/>
      <c r="AL30" s="61"/>
      <c r="AM30" s="61"/>
      <c r="AN30" s="61"/>
      <c r="AO30" s="61"/>
      <c r="AP30" s="61"/>
      <c r="AQ30" s="61"/>
      <c r="AR30" s="61"/>
      <c r="AS30" s="1665"/>
      <c r="AT30" s="61"/>
      <c r="AU30" s="61"/>
      <c r="AV30" s="61"/>
      <c r="AW30" s="61"/>
      <c r="AX30" s="61"/>
      <c r="AY30" s="61"/>
      <c r="AZ30" s="61"/>
      <c r="BA30" s="61"/>
      <c r="BB30" s="61"/>
      <c r="BC30" s="105"/>
      <c r="BF30" s="1173" t="s">
        <v>1158</v>
      </c>
    </row>
    <row s="937" customFormat="1" customHeight="1" ht="22.7175" hidden="1">
      <c r="E31" s="797">
        <v>23.3</v>
      </c>
      <c r="F31" s="922" cm="1" t="str">
        <f t="array" ref="F31:F31">F30</f>
        <v>0</v>
      </c>
      <c r="G31" s="739" t="s">
        <v>1159</v>
      </c>
      <c r="T31" s="819" cm="1" t="str">
        <f t="array" ref="T31:T31">T30</f>
        <v>false</v>
      </c>
      <c r="AB31" s="288" t="s">
        <v>1160</v>
      </c>
      <c r="AC31" s="289" t="s">
        <v>1161</v>
      </c>
      <c r="AD31" s="1045" t="s">
        <v>810</v>
      </c>
      <c r="AE31" s="63"/>
      <c r="AF31" s="61"/>
      <c r="AG31" s="61"/>
      <c r="AH31" s="61"/>
      <c r="AI31" s="1665"/>
      <c r="AJ31" s="61"/>
      <c r="AK31" s="61"/>
      <c r="AL31" s="61"/>
      <c r="AM31" s="61"/>
      <c r="AN31" s="61"/>
      <c r="AO31" s="61"/>
      <c r="AP31" s="61"/>
      <c r="AQ31" s="61"/>
      <c r="AR31" s="61"/>
      <c r="AS31" s="1665"/>
      <c r="AT31" s="61"/>
      <c r="AU31" s="61"/>
      <c r="AV31" s="61"/>
      <c r="AW31" s="61"/>
      <c r="AX31" s="61"/>
      <c r="AY31" s="61"/>
      <c r="AZ31" s="61"/>
      <c r="BA31" s="61"/>
      <c r="BB31" s="61"/>
      <c r="BC31" s="105"/>
      <c r="BF31" s="1173" t="s">
        <v>1162</v>
      </c>
    </row>
    <row s="937" customFormat="1" customHeight="1" ht="22.7175" hidden="1">
      <c r="E32" s="797">
        <v>23.3</v>
      </c>
      <c r="F32" s="922" cm="1" t="str">
        <f t="array" ref="F32:F32">F31</f>
        <v>0</v>
      </c>
      <c r="G32" s="739" t="s">
        <v>1163</v>
      </c>
      <c r="T32" s="819" cm="1" t="str">
        <f t="array" ref="T32:T32">T31</f>
        <v>false</v>
      </c>
      <c r="AB32" s="286" t="s">
        <v>935</v>
      </c>
      <c r="AC32" s="287" t="s">
        <v>1164</v>
      </c>
      <c r="AD32" s="1056" t="s">
        <v>810</v>
      </c>
      <c r="AE32" s="63"/>
      <c r="AF32" s="61"/>
      <c r="AG32" s="61"/>
      <c r="AH32" s="61"/>
      <c r="AI32" s="1665"/>
      <c r="AJ32" s="61"/>
      <c r="AK32" s="61"/>
      <c r="AL32" s="61"/>
      <c r="AM32" s="61"/>
      <c r="AN32" s="61"/>
      <c r="AO32" s="61"/>
      <c r="AP32" s="61"/>
      <c r="AQ32" s="61"/>
      <c r="AR32" s="61"/>
      <c r="AS32" s="1665"/>
      <c r="AT32" s="61"/>
      <c r="AU32" s="61"/>
      <c r="AV32" s="61"/>
      <c r="AW32" s="61"/>
      <c r="AX32" s="61"/>
      <c r="AY32" s="61"/>
      <c r="AZ32" s="61"/>
      <c r="BA32" s="61"/>
      <c r="BB32" s="61"/>
      <c r="BC32" s="105"/>
      <c r="BF32" s="1173" t="s">
        <v>1165</v>
      </c>
    </row>
    <row s="937" customFormat="1" customHeight="1" ht="22.7175" hidden="1">
      <c r="E33" s="797">
        <v>23.3</v>
      </c>
      <c r="F33" s="922" cm="1" t="str">
        <f t="array" ref="F33:F33">F32</f>
        <v>0</v>
      </c>
      <c r="T33" s="819" cm="1" t="str">
        <f t="array" ref="T33:T33">T32</f>
        <v>false</v>
      </c>
      <c r="AB33" s="286" t="s">
        <v>937</v>
      </c>
      <c r="AC33" s="287" t="s">
        <v>1166</v>
      </c>
      <c r="AD33" s="1056" t="s">
        <v>810</v>
      </c>
      <c r="AE33" s="591">
        <f>AE34+AE35</f>
        <v>0</v>
      </c>
      <c r="AF33" s="335">
        <f>AF34+AF35</f>
        <v>0</v>
      </c>
      <c r="AG33" s="335">
        <f>AG34+AG35</f>
        <v>0</v>
      </c>
      <c r="AH33" s="335">
        <f>AH34+AH35</f>
        <v>0</v>
      </c>
      <c r="AI33" s="335">
        <f>AI34+AI35</f>
        <v>0</v>
      </c>
      <c r="AJ33" s="335">
        <f>AJ34+AJ35</f>
        <v>0</v>
      </c>
      <c r="AK33" s="335">
        <f>AK34+AK35</f>
        <v>0</v>
      </c>
      <c r="AL33" s="335">
        <f>AL34+AL35</f>
        <v>0</v>
      </c>
      <c r="AM33" s="335">
        <f>AM34+AM35</f>
        <v>0</v>
      </c>
      <c r="AN33" s="335">
        <f>AN34+AN35</f>
        <v>0</v>
      </c>
      <c r="AO33" s="335">
        <f>AO34+AO35</f>
        <v>0</v>
      </c>
      <c r="AP33" s="335">
        <f>AP34+AP35</f>
        <v>0</v>
      </c>
      <c r="AQ33" s="335">
        <f>AQ34+AQ35</f>
        <v>0</v>
      </c>
      <c r="AR33" s="335">
        <f>AR34+AR35</f>
        <v>0</v>
      </c>
      <c r="AS33" s="335">
        <f>AS34+AS35</f>
        <v>0</v>
      </c>
      <c r="AT33" s="335">
        <f>AT34+AT35</f>
        <v>0</v>
      </c>
      <c r="AU33" s="335">
        <f>AU34+AU35</f>
        <v>0</v>
      </c>
      <c r="AV33" s="335">
        <f>AV34+AV35</f>
        <v>0</v>
      </c>
      <c r="AW33" s="335">
        <f>AW34+AW35</f>
        <v>0</v>
      </c>
      <c r="AX33" s="335">
        <f>AX34+AX35</f>
        <v>0</v>
      </c>
      <c r="AY33" s="335">
        <f>AY34+AY35</f>
        <v>0</v>
      </c>
      <c r="AZ33" s="335">
        <f>AZ34+AZ35</f>
        <v>0</v>
      </c>
      <c r="BA33" s="335">
        <f>BA34+BA35</f>
        <v>0</v>
      </c>
      <c r="BB33" s="335">
        <f>BB34+BB35</f>
        <v>0</v>
      </c>
      <c r="BC33" s="105"/>
      <c r="BF33" s="1173" t="s">
        <v>1167</v>
      </c>
    </row>
    <row s="937" customFormat="1" customHeight="1" ht="68.05499999999999" hidden="1">
      <c r="E34" s="797">
        <v>69.8</v>
      </c>
      <c r="F34" s="922" cm="1" t="str">
        <f t="array" ref="F34:F34">F33</f>
        <v>0</v>
      </c>
      <c r="G34" s="739" t="s">
        <v>1168</v>
      </c>
      <c r="T34" s="819" cm="1" t="str">
        <f t="array" ref="T34:T34">T33</f>
        <v>false</v>
      </c>
      <c r="AB34" s="288" t="s">
        <v>1169</v>
      </c>
      <c r="AC34" s="289" t="s">
        <v>1170</v>
      </c>
      <c r="AD34" s="1045" t="s">
        <v>810</v>
      </c>
      <c r="AE34" s="63"/>
      <c r="AF34" s="61"/>
      <c r="AG34" s="61"/>
      <c r="AH34" s="61"/>
      <c r="AI34" s="1665"/>
      <c r="AJ34" s="61"/>
      <c r="AK34" s="61"/>
      <c r="AL34" s="61"/>
      <c r="AM34" s="61"/>
      <c r="AN34" s="61"/>
      <c r="AO34" s="61"/>
      <c r="AP34" s="61"/>
      <c r="AQ34" s="61"/>
      <c r="AR34" s="61"/>
      <c r="AS34" s="1665"/>
      <c r="AT34" s="61"/>
      <c r="AU34" s="61"/>
      <c r="AV34" s="61"/>
      <c r="AW34" s="61"/>
      <c r="AX34" s="61"/>
      <c r="AY34" s="61"/>
      <c r="AZ34" s="61"/>
      <c r="BA34" s="61"/>
      <c r="BB34" s="61"/>
      <c r="BC34" s="105"/>
      <c r="BF34" s="1173" t="s">
        <v>1171</v>
      </c>
    </row>
    <row s="937" customFormat="1" customHeight="1" ht="28.567500000000006" hidden="1">
      <c r="E35" s="797">
        <v>29.3</v>
      </c>
      <c r="F35" s="922" cm="1" t="str">
        <f t="array" ref="F35:F35">F34</f>
        <v>0</v>
      </c>
      <c r="G35" s="739" t="s">
        <v>1172</v>
      </c>
      <c r="T35" s="819" cm="1" t="str">
        <f t="array" ref="T35:T35">T34</f>
        <v>false</v>
      </c>
      <c r="AB35" s="288" t="s">
        <v>1173</v>
      </c>
      <c r="AC35" s="289" t="s">
        <v>1174</v>
      </c>
      <c r="AD35" s="1045" t="s">
        <v>810</v>
      </c>
      <c r="AE35" s="63"/>
      <c r="AF35" s="61"/>
      <c r="AG35" s="61"/>
      <c r="AH35" s="61"/>
      <c r="AI35" s="1665"/>
      <c r="AJ35" s="61"/>
      <c r="AK35" s="61"/>
      <c r="AL35" s="61"/>
      <c r="AM35" s="61"/>
      <c r="AN35" s="61"/>
      <c r="AO35" s="61"/>
      <c r="AP35" s="61"/>
      <c r="AQ35" s="61"/>
      <c r="AR35" s="61"/>
      <c r="AS35" s="1665"/>
      <c r="AT35" s="61"/>
      <c r="AU35" s="61"/>
      <c r="AV35" s="61"/>
      <c r="AW35" s="61"/>
      <c r="AX35" s="61"/>
      <c r="AY35" s="61"/>
      <c r="AZ35" s="61"/>
      <c r="BA35" s="61"/>
      <c r="BB35" s="61"/>
      <c r="BC35" s="105"/>
      <c r="BF35" s="1173" t="s">
        <v>1175</v>
      </c>
    </row>
    <row s="937" customFormat="1" customHeight="1" ht="21.255000000000003" hidden="1">
      <c r="E36" s="797">
        <v>21.8</v>
      </c>
      <c r="F36" s="922" cm="1" t="str">
        <f t="array" ref="F36:F36">F35</f>
        <v>0</v>
      </c>
      <c r="T36" s="819" cm="1" t="str">
        <f t="array" ref="T36:T36">T35</f>
        <v>false</v>
      </c>
      <c r="AB36" s="286" t="s">
        <v>941</v>
      </c>
      <c r="AC36" s="287" t="s">
        <v>1176</v>
      </c>
      <c r="AD36" s="1056" t="s">
        <v>810</v>
      </c>
      <c r="AE36" s="591">
        <f>AE37+AE38</f>
        <v>0</v>
      </c>
      <c r="AF36" s="335">
        <f>AF37+AF38</f>
        <v>0</v>
      </c>
      <c r="AG36" s="335">
        <f>AG37+AG38</f>
        <v>0</v>
      </c>
      <c r="AH36" s="335">
        <f>AH37+AH38</f>
        <v>0</v>
      </c>
      <c r="AI36" s="335">
        <f>AI37+AI38</f>
        <v>0</v>
      </c>
      <c r="AJ36" s="335">
        <f>AJ37+AJ38</f>
        <v>0</v>
      </c>
      <c r="AK36" s="335">
        <f>AK37+AK38</f>
        <v>0</v>
      </c>
      <c r="AL36" s="335">
        <f>AL37+AL38</f>
        <v>0</v>
      </c>
      <c r="AM36" s="335">
        <f>AM37+AM38</f>
        <v>0</v>
      </c>
      <c r="AN36" s="335">
        <f>AN37+AN38</f>
        <v>0</v>
      </c>
      <c r="AO36" s="335">
        <f>AO37+AO38</f>
        <v>0</v>
      </c>
      <c r="AP36" s="335">
        <f>AP37+AP38</f>
        <v>0</v>
      </c>
      <c r="AQ36" s="335">
        <f>AQ37+AQ38</f>
        <v>0</v>
      </c>
      <c r="AR36" s="335">
        <f>AR37+AR38</f>
        <v>0</v>
      </c>
      <c r="AS36" s="335">
        <f>AS37+AS38</f>
        <v>0</v>
      </c>
      <c r="AT36" s="335">
        <f>AT37+AT38</f>
        <v>0</v>
      </c>
      <c r="AU36" s="335">
        <f>AU37+AU38</f>
        <v>0</v>
      </c>
      <c r="AV36" s="335">
        <f>AV37+AV38</f>
        <v>0</v>
      </c>
      <c r="AW36" s="335">
        <f>AW37+AW38</f>
        <v>0</v>
      </c>
      <c r="AX36" s="335">
        <f>AX37+AX38</f>
        <v>0</v>
      </c>
      <c r="AY36" s="335">
        <f>AY37+AY38</f>
        <v>0</v>
      </c>
      <c r="AZ36" s="335">
        <f>AZ37+AZ38</f>
        <v>0</v>
      </c>
      <c r="BA36" s="335">
        <f>BA37+BA38</f>
        <v>0</v>
      </c>
      <c r="BB36" s="335">
        <f>BB37+BB38</f>
        <v>0</v>
      </c>
      <c r="BC36" s="105"/>
      <c r="BF36" s="1173" t="s">
        <v>1177</v>
      </c>
    </row>
    <row s="937" customFormat="1" customHeight="1" ht="22.7175" hidden="1">
      <c r="E37" s="797">
        <v>23.3</v>
      </c>
      <c r="F37" s="922" cm="1" t="str">
        <f t="array" ref="F37:F37">F36</f>
        <v>0</v>
      </c>
      <c r="G37" s="739" t="s">
        <v>1155</v>
      </c>
      <c r="T37" s="819" cm="1" t="str">
        <f t="array" ref="T37:T37">T36</f>
        <v>false</v>
      </c>
      <c r="AB37" s="288" t="s">
        <v>1031</v>
      </c>
      <c r="AC37" s="289" t="s">
        <v>1157</v>
      </c>
      <c r="AD37" s="1045" t="s">
        <v>810</v>
      </c>
      <c r="AE37" s="63"/>
      <c r="AF37" s="61"/>
      <c r="AG37" s="61"/>
      <c r="AH37" s="61"/>
      <c r="AI37" s="1665"/>
      <c r="AJ37" s="61"/>
      <c r="AK37" s="61"/>
      <c r="AL37" s="61"/>
      <c r="AM37" s="61"/>
      <c r="AN37" s="61"/>
      <c r="AO37" s="61"/>
      <c r="AP37" s="61"/>
      <c r="AQ37" s="61"/>
      <c r="AR37" s="61"/>
      <c r="AS37" s="1665"/>
      <c r="AT37" s="61"/>
      <c r="AU37" s="61"/>
      <c r="AV37" s="61"/>
      <c r="AW37" s="61"/>
      <c r="AX37" s="61"/>
      <c r="AY37" s="61"/>
      <c r="AZ37" s="61"/>
      <c r="BA37" s="61"/>
      <c r="BB37" s="61"/>
      <c r="BC37" s="105"/>
      <c r="BF37" s="1173" t="s">
        <v>1178</v>
      </c>
    </row>
    <row s="937" customFormat="1" customHeight="1" ht="22.7175" hidden="1">
      <c r="E38" s="797">
        <v>23.3</v>
      </c>
      <c r="F38" s="922" cm="1" t="str">
        <f t="array" ref="F38:F38">F37</f>
        <v>0</v>
      </c>
      <c r="G38" s="739" t="s">
        <v>1159</v>
      </c>
      <c r="T38" s="819" cm="1" t="str">
        <f t="array" ref="T38:T38">T37</f>
        <v>false</v>
      </c>
      <c r="AB38" s="288" t="s">
        <v>1034</v>
      </c>
      <c r="AC38" s="289" t="s">
        <v>1161</v>
      </c>
      <c r="AD38" s="1045" t="s">
        <v>810</v>
      </c>
      <c r="AE38" s="63"/>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105"/>
      <c r="BF38" s="1173" t="s">
        <v>1179</v>
      </c>
    </row>
    <row s="1902" customFormat="1" customHeight="1" ht="10.5">
      <c r="A39" s="220"/>
      <c r="B39" s="220"/>
      <c r="C39" s="220"/>
      <c r="D39" s="220"/>
      <c r="E39" s="797">
        <v>11.4</v>
      </c>
      <c r="F39" s="922" cm="1" t="str">
        <f t="array" ref="F39:F39">X39</f>
        <v>1</v>
      </c>
      <c r="G39" s="220"/>
      <c r="H39" s="220"/>
      <c r="I39" s="220"/>
      <c r="J39" s="220"/>
      <c r="K39" s="220"/>
      <c r="L39" s="220"/>
      <c r="M39" s="220"/>
      <c r="N39" s="220"/>
      <c r="O39" s="220"/>
      <c r="P39" s="220"/>
      <c r="Q39" s="220"/>
      <c r="R39" s="220"/>
      <c r="S39" s="220"/>
      <c r="T39" s="819">
        <f>X39&gt;0</f>
        <v>1</v>
      </c>
      <c r="U39" s="220"/>
      <c r="V39" s="175" cm="1" t="str">
        <f t="array" ref="V39:V39">Амортизация!$AB$126</f>
        <v>Тариф 1 (Теплоснабжение) - Тариф на тепловую энергию (мощность), поставляемую потребителям (Не определено)</v>
      </c>
      <c r="W39" s="220"/>
      <c r="X39" s="175" t="s">
        <v>336</v>
      </c>
      <c r="Y39" s="220"/>
      <c r="Z39" s="220"/>
      <c r="AA39" s="220"/>
      <c r="AB39" s="290"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0"/>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79"/>
      <c r="BD39" s="220"/>
      <c r="BE39" s="220"/>
      <c r="BF39" s="1184"/>
    </row>
    <row s="937" customFormat="1" customHeight="1" ht="27.75">
      <c r="A40" s="937"/>
      <c r="B40" s="937"/>
      <c r="C40" s="937"/>
      <c r="D40" s="937"/>
      <c r="E40" s="797">
        <v>28.5</v>
      </c>
      <c r="F40" s="922" cm="1" t="str">
        <f t="array" ref="F40:F40">F39</f>
        <v>1</v>
      </c>
      <c r="G40" s="739" t="s">
        <v>1151</v>
      </c>
      <c r="H40" s="937"/>
      <c r="I40" s="937"/>
      <c r="J40" s="937"/>
      <c r="K40" s="937"/>
      <c r="L40" s="937"/>
      <c r="M40" s="937"/>
      <c r="N40" s="937"/>
      <c r="O40" s="937"/>
      <c r="P40" s="937"/>
      <c r="Q40" s="937"/>
      <c r="R40" s="937"/>
      <c r="S40" s="937"/>
      <c r="T40" s="819" cm="1" t="str">
        <f t="array" ref="T40:T40">T39</f>
        <v>true</v>
      </c>
      <c r="U40" s="937"/>
      <c r="V40" s="937"/>
      <c r="W40" s="937"/>
      <c r="X40" s="937"/>
      <c r="Y40" s="937"/>
      <c r="Z40" s="937"/>
      <c r="AA40" s="937"/>
      <c r="AB40" s="662" t="s">
        <v>336</v>
      </c>
      <c r="AC40" s="1054" t="s">
        <v>45</v>
      </c>
      <c r="AD40" s="1055" t="s">
        <v>810</v>
      </c>
      <c r="AE40" s="335">
        <f>AE41+AE44+AE45+AE48</f>
        <v>0</v>
      </c>
      <c r="AF40" s="335">
        <f>AF41+AF44+AF45+AF48</f>
        <v>0</v>
      </c>
      <c r="AG40" s="335">
        <f>AG41+AG44+AG45+AG48</f>
        <v>0</v>
      </c>
      <c r="AH40" s="335">
        <f>AH41+AH44+AH45+AH48</f>
        <v>0</v>
      </c>
      <c r="AI40" s="335">
        <f>AI41+AI44+AI45+AI48</f>
        <v>0</v>
      </c>
      <c r="AJ40" s="335">
        <f>AJ41+AJ44+AJ45+AJ48</f>
        <v>0</v>
      </c>
      <c r="AK40" s="335">
        <f>AK41+AK44+AK45+AK48</f>
        <v>0</v>
      </c>
      <c r="AL40" s="335">
        <f>AL41+AL44+AL45+AL48</f>
        <v>0</v>
      </c>
      <c r="AM40" s="335">
        <f>AM41+AM44+AM45+AM48</f>
        <v>0</v>
      </c>
      <c r="AN40" s="335">
        <f>AN41+AN44+AN45+AN48</f>
        <v>0</v>
      </c>
      <c r="AO40" s="335">
        <f>AO41+AO44+AO45+AO48</f>
        <v>0</v>
      </c>
      <c r="AP40" s="335">
        <f>AP41+AP44+AP45+AP48</f>
        <v>0</v>
      </c>
      <c r="AQ40" s="335">
        <f>AQ41+AQ44+AQ45+AQ48</f>
        <v>0</v>
      </c>
      <c r="AR40" s="335">
        <f>AR41+AR44+AR45+AR48</f>
        <v>0</v>
      </c>
      <c r="AS40" s="335">
        <f>AS41+AS44+AS45+AS48</f>
        <v>0</v>
      </c>
      <c r="AT40" s="335">
        <f>AT41+AT44+AT45+AT48</f>
        <v>0</v>
      </c>
      <c r="AU40" s="335">
        <f>AU41+AU44+AU45+AU48</f>
        <v>0</v>
      </c>
      <c r="AV40" s="335">
        <f>AV41+AV44+AV45+AV48</f>
        <v>0</v>
      </c>
      <c r="AW40" s="335">
        <f>AW41+AW44+AW45+AW48</f>
        <v>0</v>
      </c>
      <c r="AX40" s="335">
        <f>AX41+AX44+AX45+AX48</f>
        <v>0</v>
      </c>
      <c r="AY40" s="335">
        <f>AY41+AY44+AY45+AY48</f>
        <v>0</v>
      </c>
      <c r="AZ40" s="335">
        <f>AZ41+AZ44+AZ45+AZ48</f>
        <v>0</v>
      </c>
      <c r="BA40" s="335">
        <f>BA41+BA44+BA45+BA48</f>
        <v>0</v>
      </c>
      <c r="BB40" s="335">
        <f>BB41+BB44+BB45+BB48</f>
        <v>0</v>
      </c>
      <c r="BC40" s="1895"/>
      <c r="BD40" s="937"/>
      <c r="BE40" s="937"/>
      <c r="BF40" s="1173" t="s">
        <v>1152</v>
      </c>
    </row>
    <row s="937" customFormat="1" customHeight="1" ht="22.5">
      <c r="A41" s="937"/>
      <c r="B41" s="937"/>
      <c r="C41" s="937"/>
      <c r="D41" s="937"/>
      <c r="E41" s="797">
        <v>23.3</v>
      </c>
      <c r="F41" s="922" cm="1" t="str">
        <f t="array" ref="F41:F41">F40</f>
        <v>1</v>
      </c>
      <c r="G41" s="937"/>
      <c r="H41" s="937"/>
      <c r="I41" s="937"/>
      <c r="J41" s="937"/>
      <c r="K41" s="937"/>
      <c r="L41" s="937"/>
      <c r="M41" s="937"/>
      <c r="N41" s="937"/>
      <c r="O41" s="937"/>
      <c r="P41" s="937"/>
      <c r="Q41" s="937"/>
      <c r="R41" s="937"/>
      <c r="S41" s="937"/>
      <c r="T41" s="819" cm="1" t="str">
        <f t="array" ref="T41:T41">T40</f>
        <v>true</v>
      </c>
      <c r="U41" s="937"/>
      <c r="V41" s="937"/>
      <c r="W41" s="937"/>
      <c r="X41" s="937"/>
      <c r="Y41" s="937"/>
      <c r="Z41" s="937"/>
      <c r="AA41" s="937"/>
      <c r="AB41" s="286" t="s">
        <v>449</v>
      </c>
      <c r="AC41" s="287" t="s">
        <v>1153</v>
      </c>
      <c r="AD41" s="1056" t="s">
        <v>810</v>
      </c>
      <c r="AE41" s="591">
        <f>AE42+AE43</f>
        <v>0</v>
      </c>
      <c r="AF41" s="335">
        <f>AF42+AF43</f>
        <v>0</v>
      </c>
      <c r="AG41" s="335">
        <f>AG42+AG43</f>
        <v>0</v>
      </c>
      <c r="AH41" s="335">
        <f>AH42+AH43</f>
        <v>0</v>
      </c>
      <c r="AI41" s="335">
        <f>AI42+AI43</f>
        <v>0</v>
      </c>
      <c r="AJ41" s="335">
        <f>AJ42+AJ43</f>
        <v>0</v>
      </c>
      <c r="AK41" s="335">
        <f>AK42+AK43</f>
        <v>0</v>
      </c>
      <c r="AL41" s="335">
        <f>AL42+AL43</f>
        <v>0</v>
      </c>
      <c r="AM41" s="335">
        <f>AM42+AM43</f>
        <v>0</v>
      </c>
      <c r="AN41" s="335">
        <f>AN42+AN43</f>
        <v>0</v>
      </c>
      <c r="AO41" s="335">
        <f>AO42+AO43</f>
        <v>0</v>
      </c>
      <c r="AP41" s="335">
        <f>AP42+AP43</f>
        <v>0</v>
      </c>
      <c r="AQ41" s="335">
        <f>AQ42+AQ43</f>
        <v>0</v>
      </c>
      <c r="AR41" s="335">
        <f>AR42+AR43</f>
        <v>0</v>
      </c>
      <c r="AS41" s="335">
        <f>AS42+AS43</f>
        <v>0</v>
      </c>
      <c r="AT41" s="335">
        <f>AT42+AT43</f>
        <v>0</v>
      </c>
      <c r="AU41" s="335">
        <f>AU42+AU43</f>
        <v>0</v>
      </c>
      <c r="AV41" s="335">
        <f>AV42+AV43</f>
        <v>0</v>
      </c>
      <c r="AW41" s="335">
        <f>AW42+AW43</f>
        <v>0</v>
      </c>
      <c r="AX41" s="335">
        <f>AX42+AX43</f>
        <v>0</v>
      </c>
      <c r="AY41" s="335">
        <f>AY42+AY43</f>
        <v>0</v>
      </c>
      <c r="AZ41" s="335">
        <f>AZ42+AZ43</f>
        <v>0</v>
      </c>
      <c r="BA41" s="335">
        <f>BA42+BA43</f>
        <v>0</v>
      </c>
      <c r="BB41" s="335">
        <f>BB42+BB43</f>
        <v>0</v>
      </c>
      <c r="BC41" s="1895"/>
      <c r="BD41" s="937"/>
      <c r="BE41" s="937"/>
      <c r="BF41" s="1173" t="s">
        <v>1154</v>
      </c>
    </row>
    <row s="937" customFormat="1" customHeight="1" ht="22.5">
      <c r="A42" s="937"/>
      <c r="B42" s="937"/>
      <c r="C42" s="937"/>
      <c r="D42" s="937"/>
      <c r="E42" s="797">
        <v>23.3</v>
      </c>
      <c r="F42" s="922" cm="1" t="str">
        <f t="array" ref="F42:F42">F41</f>
        <v>1</v>
      </c>
      <c r="G42" s="739" t="s">
        <v>1155</v>
      </c>
      <c r="H42" s="937"/>
      <c r="I42" s="937"/>
      <c r="J42" s="937"/>
      <c r="K42" s="937"/>
      <c r="L42" s="937"/>
      <c r="M42" s="937"/>
      <c r="N42" s="937"/>
      <c r="O42" s="937"/>
      <c r="P42" s="937"/>
      <c r="Q42" s="937"/>
      <c r="R42" s="937"/>
      <c r="S42" s="937"/>
      <c r="T42" s="819" cm="1" t="str">
        <f t="array" ref="T42:T42">T41</f>
        <v>true</v>
      </c>
      <c r="U42" s="937"/>
      <c r="V42" s="937"/>
      <c r="W42" s="937"/>
      <c r="X42" s="937"/>
      <c r="Y42" s="937"/>
      <c r="Z42" s="937"/>
      <c r="AA42" s="937"/>
      <c r="AB42" s="288" t="s">
        <v>1156</v>
      </c>
      <c r="AC42" s="289" t="s">
        <v>1157</v>
      </c>
      <c r="AD42" s="1045" t="s">
        <v>810</v>
      </c>
      <c r="AE42" s="1666"/>
      <c r="AF42" s="1665"/>
      <c r="AG42" s="1665"/>
      <c r="AH42" s="1665"/>
      <c r="AI42" s="1665"/>
      <c r="AJ42" s="1665"/>
      <c r="AK42" s="1665"/>
      <c r="AL42" s="1665"/>
      <c r="AM42" s="1665"/>
      <c r="AN42" s="1665"/>
      <c r="AO42" s="1665"/>
      <c r="AP42" s="1665"/>
      <c r="AQ42" s="1665"/>
      <c r="AR42" s="1665"/>
      <c r="AS42" s="1665"/>
      <c r="AT42" s="1665"/>
      <c r="AU42" s="1665"/>
      <c r="AV42" s="1665"/>
      <c r="AW42" s="1665"/>
      <c r="AX42" s="1665"/>
      <c r="AY42" s="1665"/>
      <c r="AZ42" s="1665"/>
      <c r="BA42" s="1665"/>
      <c r="BB42" s="1665"/>
      <c r="BC42" s="1895"/>
      <c r="BD42" s="937"/>
      <c r="BE42" s="937"/>
      <c r="BF42" s="1173" t="s">
        <v>1158</v>
      </c>
    </row>
    <row s="937" customFormat="1" customHeight="1" ht="22.5">
      <c r="A43" s="937"/>
      <c r="B43" s="937"/>
      <c r="C43" s="937"/>
      <c r="D43" s="937"/>
      <c r="E43" s="797">
        <v>23.3</v>
      </c>
      <c r="F43" s="922" cm="1" t="str">
        <f t="array" ref="F43:F43">F42</f>
        <v>1</v>
      </c>
      <c r="G43" s="739" t="s">
        <v>1159</v>
      </c>
      <c r="H43" s="937"/>
      <c r="I43" s="937"/>
      <c r="J43" s="937"/>
      <c r="K43" s="937"/>
      <c r="L43" s="937"/>
      <c r="M43" s="937"/>
      <c r="N43" s="937"/>
      <c r="O43" s="937"/>
      <c r="P43" s="937"/>
      <c r="Q43" s="937"/>
      <c r="R43" s="937"/>
      <c r="S43" s="937"/>
      <c r="T43" s="819" cm="1" t="str">
        <f t="array" ref="T43:T43">T42</f>
        <v>true</v>
      </c>
      <c r="U43" s="937"/>
      <c r="V43" s="937"/>
      <c r="W43" s="937"/>
      <c r="X43" s="937"/>
      <c r="Y43" s="937"/>
      <c r="Z43" s="937"/>
      <c r="AA43" s="937"/>
      <c r="AB43" s="288" t="s">
        <v>1160</v>
      </c>
      <c r="AC43" s="289" t="s">
        <v>1161</v>
      </c>
      <c r="AD43" s="1045" t="s">
        <v>810</v>
      </c>
      <c r="AE43" s="1666"/>
      <c r="AF43" s="1665"/>
      <c r="AG43" s="1665"/>
      <c r="AH43" s="1665"/>
      <c r="AI43" s="1665"/>
      <c r="AJ43" s="1665"/>
      <c r="AK43" s="1665"/>
      <c r="AL43" s="1665"/>
      <c r="AM43" s="1665"/>
      <c r="AN43" s="1665"/>
      <c r="AO43" s="1665"/>
      <c r="AP43" s="1665"/>
      <c r="AQ43" s="1665"/>
      <c r="AR43" s="1665"/>
      <c r="AS43" s="1665"/>
      <c r="AT43" s="1665"/>
      <c r="AU43" s="1665"/>
      <c r="AV43" s="1665"/>
      <c r="AW43" s="1665"/>
      <c r="AX43" s="1665"/>
      <c r="AY43" s="1665"/>
      <c r="AZ43" s="1665"/>
      <c r="BA43" s="1665"/>
      <c r="BB43" s="1665"/>
      <c r="BC43" s="1895"/>
      <c r="BD43" s="937"/>
      <c r="BE43" s="937"/>
      <c r="BF43" s="1173" t="s">
        <v>1162</v>
      </c>
    </row>
    <row s="937" customFormat="1" customHeight="1" ht="22.5">
      <c r="A44" s="937"/>
      <c r="B44" s="937"/>
      <c r="C44" s="937"/>
      <c r="D44" s="937"/>
      <c r="E44" s="797">
        <v>23.3</v>
      </c>
      <c r="F44" s="922" cm="1" t="str">
        <f t="array" ref="F44:F44">F43</f>
        <v>1</v>
      </c>
      <c r="G44" s="739" t="s">
        <v>1163</v>
      </c>
      <c r="H44" s="937"/>
      <c r="I44" s="937"/>
      <c r="J44" s="937"/>
      <c r="K44" s="937"/>
      <c r="L44" s="937"/>
      <c r="M44" s="937"/>
      <c r="N44" s="937"/>
      <c r="O44" s="937"/>
      <c r="P44" s="937"/>
      <c r="Q44" s="937"/>
      <c r="R44" s="937"/>
      <c r="S44" s="937"/>
      <c r="T44" s="819" cm="1" t="str">
        <f t="array" ref="T44:T44">T43</f>
        <v>true</v>
      </c>
      <c r="U44" s="937"/>
      <c r="V44" s="937"/>
      <c r="W44" s="937"/>
      <c r="X44" s="937"/>
      <c r="Y44" s="937"/>
      <c r="Z44" s="937"/>
      <c r="AA44" s="937"/>
      <c r="AB44" s="286" t="s">
        <v>935</v>
      </c>
      <c r="AC44" s="287" t="s">
        <v>1164</v>
      </c>
      <c r="AD44" s="1056" t="s">
        <v>810</v>
      </c>
      <c r="AE44" s="1666"/>
      <c r="AF44" s="1665"/>
      <c r="AG44" s="1665"/>
      <c r="AH44" s="1665"/>
      <c r="AI44" s="1665"/>
      <c r="AJ44" s="1665"/>
      <c r="AK44" s="1665"/>
      <c r="AL44" s="1665"/>
      <c r="AM44" s="1665"/>
      <c r="AN44" s="1665"/>
      <c r="AO44" s="1665"/>
      <c r="AP44" s="1665"/>
      <c r="AQ44" s="1665"/>
      <c r="AR44" s="1665"/>
      <c r="AS44" s="1665"/>
      <c r="AT44" s="1665"/>
      <c r="AU44" s="1665"/>
      <c r="AV44" s="1665"/>
      <c r="AW44" s="1665"/>
      <c r="AX44" s="1665"/>
      <c r="AY44" s="1665"/>
      <c r="AZ44" s="1665"/>
      <c r="BA44" s="1665"/>
      <c r="BB44" s="1665"/>
      <c r="BC44" s="1895"/>
      <c r="BD44" s="937"/>
      <c r="BE44" s="937"/>
      <c r="BF44" s="1173" t="s">
        <v>1165</v>
      </c>
    </row>
    <row s="937" customFormat="1" customHeight="1" ht="22.5">
      <c r="A45" s="937"/>
      <c r="B45" s="937"/>
      <c r="C45" s="937"/>
      <c r="D45" s="937"/>
      <c r="E45" s="797">
        <v>23.3</v>
      </c>
      <c r="F45" s="922" cm="1" t="str">
        <f t="array" ref="F45:F45">F44</f>
        <v>1</v>
      </c>
      <c r="G45" s="937"/>
      <c r="H45" s="937"/>
      <c r="I45" s="937"/>
      <c r="J45" s="937"/>
      <c r="K45" s="937"/>
      <c r="L45" s="937"/>
      <c r="M45" s="937"/>
      <c r="N45" s="937"/>
      <c r="O45" s="937"/>
      <c r="P45" s="937"/>
      <c r="Q45" s="937"/>
      <c r="R45" s="937"/>
      <c r="S45" s="937"/>
      <c r="T45" s="819" cm="1" t="str">
        <f t="array" ref="T45:T45">T44</f>
        <v>true</v>
      </c>
      <c r="U45" s="937"/>
      <c r="V45" s="937"/>
      <c r="W45" s="937"/>
      <c r="X45" s="937"/>
      <c r="Y45" s="937"/>
      <c r="Z45" s="937"/>
      <c r="AA45" s="937"/>
      <c r="AB45" s="286" t="s">
        <v>937</v>
      </c>
      <c r="AC45" s="287" t="s">
        <v>1166</v>
      </c>
      <c r="AD45" s="1056" t="s">
        <v>810</v>
      </c>
      <c r="AE45" s="591">
        <f>AE46+AE47</f>
        <v>0</v>
      </c>
      <c r="AF45" s="335">
        <f>AF46+AF47</f>
        <v>0</v>
      </c>
      <c r="AG45" s="335">
        <f>AG46+AG47</f>
        <v>0</v>
      </c>
      <c r="AH45" s="335">
        <f>AH46+AH47</f>
        <v>0</v>
      </c>
      <c r="AI45" s="335">
        <f>AI46+AI47</f>
        <v>0</v>
      </c>
      <c r="AJ45" s="335">
        <f>AJ46+AJ47</f>
        <v>0</v>
      </c>
      <c r="AK45" s="335">
        <f>AK46+AK47</f>
        <v>0</v>
      </c>
      <c r="AL45" s="335">
        <f>AL46+AL47</f>
        <v>0</v>
      </c>
      <c r="AM45" s="335">
        <f>AM46+AM47</f>
        <v>0</v>
      </c>
      <c r="AN45" s="335">
        <f>AN46+AN47</f>
        <v>0</v>
      </c>
      <c r="AO45" s="335">
        <f>AO46+AO47</f>
        <v>0</v>
      </c>
      <c r="AP45" s="335">
        <f>AP46+AP47</f>
        <v>0</v>
      </c>
      <c r="AQ45" s="335">
        <f>AQ46+AQ47</f>
        <v>0</v>
      </c>
      <c r="AR45" s="335">
        <f>AR46+AR47</f>
        <v>0</v>
      </c>
      <c r="AS45" s="335">
        <f>AS46+AS47</f>
        <v>0</v>
      </c>
      <c r="AT45" s="335">
        <f>AT46+AT47</f>
        <v>0</v>
      </c>
      <c r="AU45" s="335">
        <f>AU46+AU47</f>
        <v>0</v>
      </c>
      <c r="AV45" s="335">
        <f>AV46+AV47</f>
        <v>0</v>
      </c>
      <c r="AW45" s="335">
        <f>AW46+AW47</f>
        <v>0</v>
      </c>
      <c r="AX45" s="335">
        <f>AX46+AX47</f>
        <v>0</v>
      </c>
      <c r="AY45" s="335">
        <f>AY46+AY47</f>
        <v>0</v>
      </c>
      <c r="AZ45" s="335">
        <f>AZ46+AZ47</f>
        <v>0</v>
      </c>
      <c r="BA45" s="335">
        <f>BA46+BA47</f>
        <v>0</v>
      </c>
      <c r="BB45" s="335">
        <f>BB46+BB47</f>
        <v>0</v>
      </c>
      <c r="BC45" s="1895"/>
      <c r="BD45" s="937"/>
      <c r="BE45" s="937"/>
      <c r="BF45" s="1173" t="s">
        <v>1167</v>
      </c>
    </row>
    <row s="937" customFormat="1" customHeight="1" ht="67.5">
      <c r="A46" s="937"/>
      <c r="B46" s="937"/>
      <c r="C46" s="937"/>
      <c r="D46" s="937"/>
      <c r="E46" s="797">
        <v>69.8</v>
      </c>
      <c r="F46" s="922" cm="1" t="str">
        <f t="array" ref="F46:F46">F45</f>
        <v>1</v>
      </c>
      <c r="G46" s="739" t="s">
        <v>1168</v>
      </c>
      <c r="H46" s="937"/>
      <c r="I46" s="937"/>
      <c r="J46" s="937"/>
      <c r="K46" s="937"/>
      <c r="L46" s="937"/>
      <c r="M46" s="937"/>
      <c r="N46" s="937"/>
      <c r="O46" s="937"/>
      <c r="P46" s="937"/>
      <c r="Q46" s="937"/>
      <c r="R46" s="937"/>
      <c r="S46" s="937"/>
      <c r="T46" s="819" cm="1" t="str">
        <f t="array" ref="T46:T46">T45</f>
        <v>true</v>
      </c>
      <c r="U46" s="937"/>
      <c r="V46" s="937"/>
      <c r="W46" s="937"/>
      <c r="X46" s="937"/>
      <c r="Y46" s="937"/>
      <c r="Z46" s="937"/>
      <c r="AA46" s="937"/>
      <c r="AB46" s="288" t="s">
        <v>1169</v>
      </c>
      <c r="AC46" s="289" t="s">
        <v>1170</v>
      </c>
      <c r="AD46" s="1045" t="s">
        <v>810</v>
      </c>
      <c r="AE46" s="1666"/>
      <c r="AF46" s="1665"/>
      <c r="AG46" s="1665"/>
      <c r="AH46" s="1665"/>
      <c r="AI46" s="1665"/>
      <c r="AJ46" s="1665"/>
      <c r="AK46" s="1665"/>
      <c r="AL46" s="1665"/>
      <c r="AM46" s="1665"/>
      <c r="AN46" s="1665"/>
      <c r="AO46" s="1665"/>
      <c r="AP46" s="1665"/>
      <c r="AQ46" s="1665"/>
      <c r="AR46" s="1665"/>
      <c r="AS46" s="1665"/>
      <c r="AT46" s="1665"/>
      <c r="AU46" s="1665"/>
      <c r="AV46" s="1665"/>
      <c r="AW46" s="1665"/>
      <c r="AX46" s="1665"/>
      <c r="AY46" s="1665"/>
      <c r="AZ46" s="1665"/>
      <c r="BA46" s="1665"/>
      <c r="BB46" s="1665"/>
      <c r="BC46" s="1895"/>
      <c r="BD46" s="937"/>
      <c r="BE46" s="937"/>
      <c r="BF46" s="1173" t="s">
        <v>1171</v>
      </c>
    </row>
    <row s="937" customFormat="1" customHeight="1" ht="28.5">
      <c r="A47" s="937"/>
      <c r="B47" s="937"/>
      <c r="C47" s="937"/>
      <c r="D47" s="937"/>
      <c r="E47" s="797">
        <v>29.3</v>
      </c>
      <c r="F47" s="922" cm="1" t="str">
        <f t="array" ref="F47:F47">F46</f>
        <v>1</v>
      </c>
      <c r="G47" s="739" t="s">
        <v>1172</v>
      </c>
      <c r="H47" s="937"/>
      <c r="I47" s="937"/>
      <c r="J47" s="937"/>
      <c r="K47" s="937"/>
      <c r="L47" s="937"/>
      <c r="M47" s="937"/>
      <c r="N47" s="937"/>
      <c r="O47" s="937"/>
      <c r="P47" s="937"/>
      <c r="Q47" s="937"/>
      <c r="R47" s="937"/>
      <c r="S47" s="937"/>
      <c r="T47" s="819" cm="1" t="str">
        <f t="array" ref="T47:T47">T46</f>
        <v>true</v>
      </c>
      <c r="U47" s="937"/>
      <c r="V47" s="937"/>
      <c r="W47" s="937"/>
      <c r="X47" s="937"/>
      <c r="Y47" s="937"/>
      <c r="Z47" s="937"/>
      <c r="AA47" s="937"/>
      <c r="AB47" s="288" t="s">
        <v>1173</v>
      </c>
      <c r="AC47" s="289" t="s">
        <v>1174</v>
      </c>
      <c r="AD47" s="1045" t="s">
        <v>810</v>
      </c>
      <c r="AE47" s="1666"/>
      <c r="AF47" s="1665"/>
      <c r="AG47" s="1665"/>
      <c r="AH47" s="1665"/>
      <c r="AI47" s="1665"/>
      <c r="AJ47" s="1665"/>
      <c r="AK47" s="1665"/>
      <c r="AL47" s="1665"/>
      <c r="AM47" s="1665"/>
      <c r="AN47" s="1665"/>
      <c r="AO47" s="1665"/>
      <c r="AP47" s="1665"/>
      <c r="AQ47" s="1665"/>
      <c r="AR47" s="1665"/>
      <c r="AS47" s="1665"/>
      <c r="AT47" s="1665"/>
      <c r="AU47" s="1665"/>
      <c r="AV47" s="1665"/>
      <c r="AW47" s="1665"/>
      <c r="AX47" s="1665"/>
      <c r="AY47" s="1665"/>
      <c r="AZ47" s="1665"/>
      <c r="BA47" s="1665"/>
      <c r="BB47" s="1665"/>
      <c r="BC47" s="1895"/>
      <c r="BD47" s="937"/>
      <c r="BE47" s="937"/>
      <c r="BF47" s="1173" t="s">
        <v>1175</v>
      </c>
    </row>
    <row s="937" customFormat="1" customHeight="1" ht="21">
      <c r="A48" s="937"/>
      <c r="B48" s="937"/>
      <c r="C48" s="937"/>
      <c r="D48" s="937"/>
      <c r="E48" s="797">
        <v>21.8</v>
      </c>
      <c r="F48" s="922" cm="1" t="str">
        <f t="array" ref="F48:F48">F47</f>
        <v>1</v>
      </c>
      <c r="G48" s="937"/>
      <c r="H48" s="937"/>
      <c r="I48" s="937"/>
      <c r="J48" s="937"/>
      <c r="K48" s="937"/>
      <c r="L48" s="937"/>
      <c r="M48" s="937"/>
      <c r="N48" s="937"/>
      <c r="O48" s="937"/>
      <c r="P48" s="937"/>
      <c r="Q48" s="937"/>
      <c r="R48" s="937"/>
      <c r="S48" s="937"/>
      <c r="T48" s="819" cm="1" t="str">
        <f t="array" ref="T48:T48">T47</f>
        <v>true</v>
      </c>
      <c r="U48" s="937"/>
      <c r="V48" s="937"/>
      <c r="W48" s="937"/>
      <c r="X48" s="937"/>
      <c r="Y48" s="937"/>
      <c r="Z48" s="937"/>
      <c r="AA48" s="937"/>
      <c r="AB48" s="286" t="s">
        <v>941</v>
      </c>
      <c r="AC48" s="287" t="s">
        <v>1176</v>
      </c>
      <c r="AD48" s="1056" t="s">
        <v>810</v>
      </c>
      <c r="AE48" s="591">
        <f>AE49+AE50</f>
        <v>0</v>
      </c>
      <c r="AF48" s="335">
        <f>AF49+AF50</f>
        <v>0</v>
      </c>
      <c r="AG48" s="335">
        <f>AG49+AG50</f>
        <v>0</v>
      </c>
      <c r="AH48" s="335">
        <f>AH49+AH50</f>
        <v>0</v>
      </c>
      <c r="AI48" s="335">
        <f>AI49+AI50</f>
        <v>0</v>
      </c>
      <c r="AJ48" s="335">
        <f>AJ49+AJ50</f>
        <v>0</v>
      </c>
      <c r="AK48" s="335">
        <f>AK49+AK50</f>
        <v>0</v>
      </c>
      <c r="AL48" s="335">
        <f>AL49+AL50</f>
        <v>0</v>
      </c>
      <c r="AM48" s="335">
        <f>AM49+AM50</f>
        <v>0</v>
      </c>
      <c r="AN48" s="335">
        <f>AN49+AN50</f>
        <v>0</v>
      </c>
      <c r="AO48" s="335">
        <f>AO49+AO50</f>
        <v>0</v>
      </c>
      <c r="AP48" s="335">
        <f>AP49+AP50</f>
        <v>0</v>
      </c>
      <c r="AQ48" s="335">
        <f>AQ49+AQ50</f>
        <v>0</v>
      </c>
      <c r="AR48" s="335">
        <f>AR49+AR50</f>
        <v>0</v>
      </c>
      <c r="AS48" s="335">
        <f>AS49+AS50</f>
        <v>0</v>
      </c>
      <c r="AT48" s="335">
        <f>AT49+AT50</f>
        <v>0</v>
      </c>
      <c r="AU48" s="335">
        <f>AU49+AU50</f>
        <v>0</v>
      </c>
      <c r="AV48" s="335">
        <f>AV49+AV50</f>
        <v>0</v>
      </c>
      <c r="AW48" s="335">
        <f>AW49+AW50</f>
        <v>0</v>
      </c>
      <c r="AX48" s="335">
        <f>AX49+AX50</f>
        <v>0</v>
      </c>
      <c r="AY48" s="335">
        <f>AY49+AY50</f>
        <v>0</v>
      </c>
      <c r="AZ48" s="335">
        <f>AZ49+AZ50</f>
        <v>0</v>
      </c>
      <c r="BA48" s="335">
        <f>BA49+BA50</f>
        <v>0</v>
      </c>
      <c r="BB48" s="335">
        <f>BB49+BB50</f>
        <v>0</v>
      </c>
      <c r="BC48" s="1895"/>
      <c r="BD48" s="937"/>
      <c r="BE48" s="937"/>
      <c r="BF48" s="1173" t="s">
        <v>1177</v>
      </c>
    </row>
    <row s="937" customFormat="1" customHeight="1" ht="22.5">
      <c r="A49" s="937"/>
      <c r="B49" s="937"/>
      <c r="C49" s="937"/>
      <c r="D49" s="937"/>
      <c r="E49" s="797">
        <v>23.3</v>
      </c>
      <c r="F49" s="922" cm="1" t="str">
        <f t="array" ref="F49:F49">F48</f>
        <v>1</v>
      </c>
      <c r="G49" s="739" t="s">
        <v>1155</v>
      </c>
      <c r="H49" s="937"/>
      <c r="I49" s="937"/>
      <c r="J49" s="937"/>
      <c r="K49" s="937"/>
      <c r="L49" s="937"/>
      <c r="M49" s="937"/>
      <c r="N49" s="937"/>
      <c r="O49" s="937"/>
      <c r="P49" s="937"/>
      <c r="Q49" s="937"/>
      <c r="R49" s="937"/>
      <c r="S49" s="937"/>
      <c r="T49" s="819" cm="1" t="str">
        <f t="array" ref="T49:T49">T48</f>
        <v>true</v>
      </c>
      <c r="U49" s="937"/>
      <c r="V49" s="937"/>
      <c r="W49" s="937"/>
      <c r="X49" s="937"/>
      <c r="Y49" s="937"/>
      <c r="Z49" s="937"/>
      <c r="AA49" s="937"/>
      <c r="AB49" s="288" t="s">
        <v>1031</v>
      </c>
      <c r="AC49" s="289" t="s">
        <v>1157</v>
      </c>
      <c r="AD49" s="1045" t="s">
        <v>810</v>
      </c>
      <c r="AE49" s="1666"/>
      <c r="AF49" s="1665"/>
      <c r="AG49" s="1665"/>
      <c r="AH49" s="1665"/>
      <c r="AI49" s="1665"/>
      <c r="AJ49" s="1665"/>
      <c r="AK49" s="1665"/>
      <c r="AL49" s="1665"/>
      <c r="AM49" s="1665"/>
      <c r="AN49" s="1665"/>
      <c r="AO49" s="1665"/>
      <c r="AP49" s="1665"/>
      <c r="AQ49" s="1665"/>
      <c r="AR49" s="1665"/>
      <c r="AS49" s="1665"/>
      <c r="AT49" s="1665"/>
      <c r="AU49" s="1665"/>
      <c r="AV49" s="1665"/>
      <c r="AW49" s="1665"/>
      <c r="AX49" s="1665"/>
      <c r="AY49" s="1665"/>
      <c r="AZ49" s="1665"/>
      <c r="BA49" s="1665"/>
      <c r="BB49" s="1665"/>
      <c r="BC49" s="1895"/>
      <c r="BD49" s="937"/>
      <c r="BE49" s="937"/>
      <c r="BF49" s="1173" t="s">
        <v>1178</v>
      </c>
    </row>
    <row s="937" customFormat="1" customHeight="1" ht="22.5">
      <c r="A50" s="937"/>
      <c r="B50" s="937"/>
      <c r="C50" s="937"/>
      <c r="D50" s="937"/>
      <c r="E50" s="797">
        <v>23.3</v>
      </c>
      <c r="F50" s="922" cm="1" t="str">
        <f t="array" ref="F50:F50">F49</f>
        <v>1</v>
      </c>
      <c r="G50" s="739" t="s">
        <v>1159</v>
      </c>
      <c r="H50" s="937"/>
      <c r="I50" s="937"/>
      <c r="J50" s="937"/>
      <c r="K50" s="937"/>
      <c r="L50" s="937"/>
      <c r="M50" s="937"/>
      <c r="N50" s="937"/>
      <c r="O50" s="937"/>
      <c r="P50" s="937"/>
      <c r="Q50" s="937"/>
      <c r="R50" s="937"/>
      <c r="S50" s="937"/>
      <c r="T50" s="819" cm="1" t="str">
        <f t="array" ref="T50:T50">T49</f>
        <v>true</v>
      </c>
      <c r="U50" s="937"/>
      <c r="V50" s="937"/>
      <c r="W50" s="937"/>
      <c r="X50" s="937"/>
      <c r="Y50" s="937"/>
      <c r="Z50" s="937"/>
      <c r="AA50" s="937"/>
      <c r="AB50" s="288" t="s">
        <v>1034</v>
      </c>
      <c r="AC50" s="289" t="s">
        <v>1161</v>
      </c>
      <c r="AD50" s="1045" t="s">
        <v>810</v>
      </c>
      <c r="AE50" s="1666"/>
      <c r="AF50" s="1665"/>
      <c r="AG50" s="1665"/>
      <c r="AH50" s="1665"/>
      <c r="AI50" s="1665"/>
      <c r="AJ50" s="1665"/>
      <c r="AK50" s="1665"/>
      <c r="AL50" s="1665"/>
      <c r="AM50" s="1665"/>
      <c r="AN50" s="1665"/>
      <c r="AO50" s="1665"/>
      <c r="AP50" s="1665"/>
      <c r="AQ50" s="1665"/>
      <c r="AR50" s="1665"/>
      <c r="AS50" s="1665"/>
      <c r="AT50" s="1665"/>
      <c r="AU50" s="1665"/>
      <c r="AV50" s="1665"/>
      <c r="AW50" s="1665"/>
      <c r="AX50" s="1665"/>
      <c r="AY50" s="1665"/>
      <c r="AZ50" s="1665"/>
      <c r="BA50" s="1665"/>
      <c r="BB50" s="1665"/>
      <c r="BC50" s="1895"/>
      <c r="BD50" s="937"/>
      <c r="BE50" s="937"/>
      <c r="BF50" s="1173" t="s">
        <v>1179</v>
      </c>
    </row>
    <row customHeight="1" ht="11.115">
      <c r="E51" s="925">
        <v>11.4</v>
      </c>
      <c r="U51" s="179" t="s">
        <v>236</v>
      </c>
      <c r="V51" s="171" t="s">
        <v>1180</v>
      </c>
      <c r="W51" s="179"/>
      <c r="AE51" s="220"/>
      <c r="AI51" s="220"/>
      <c r="AJ51" s="220"/>
      <c r="AK51" s="220"/>
      <c r="AL51" s="220"/>
      <c r="AM51" s="220"/>
      <c r="AN51" s="220"/>
      <c r="AO51" s="220"/>
      <c r="AP51" s="220"/>
      <c r="AQ51" s="220"/>
      <c r="AR51" s="220"/>
      <c r="AS51" s="220"/>
      <c r="AT51" s="220"/>
      <c r="AU51" s="220"/>
      <c r="AV51" s="220"/>
      <c r="AW51" s="220"/>
      <c r="AX51" s="220"/>
      <c r="AY51" s="220"/>
      <c r="AZ51" s="220"/>
      <c r="BA51" s="220"/>
      <c r="BB51" s="220"/>
    </row>
    <row customHeight="1" ht="11.25" hidden="1">
      <c r="E52" s="925">
        <v>0</v>
      </c>
      <c r="AI52" s="220"/>
      <c r="AJ52" s="220"/>
      <c r="AK52" s="220"/>
      <c r="AL52" s="220"/>
      <c r="AM52" s="220"/>
      <c r="AN52" s="220"/>
      <c r="AO52" s="220"/>
      <c r="AP52" s="220"/>
      <c r="AQ52" s="220"/>
      <c r="AR52" s="220"/>
      <c r="AS52" s="220"/>
      <c r="AT52" s="220"/>
      <c r="AU52" s="220"/>
      <c r="AV52" s="220"/>
      <c r="AW52" s="220"/>
      <c r="AX52" s="220"/>
      <c r="AY52" s="220"/>
      <c r="AZ52" s="220"/>
      <c r="BA52" s="220"/>
      <c r="BB52" s="220"/>
    </row>
    <row s="500" customFormat="1" customHeight="1" ht="14.625">
      <c r="A53" s="175"/>
      <c r="B53" s="788"/>
      <c r="C53" s="175"/>
      <c r="D53" s="175"/>
      <c r="E53" s="797">
        <v>15</v>
      </c>
      <c r="F53" s="175"/>
      <c r="Q53" s="739"/>
      <c r="R53" s="739"/>
      <c r="T53" s="175"/>
      <c r="U53" s="175"/>
      <c r="V53" s="175"/>
      <c r="W53" s="175"/>
      <c r="X53" s="175"/>
      <c r="Y53" s="175"/>
      <c r="Z53" s="175"/>
      <c r="AB53" s="1530" t="s">
        <v>705</v>
      </c>
      <c r="AC53" s="1530"/>
      <c r="AD53" s="1530"/>
      <c r="AE53" s="1530"/>
      <c r="AF53" s="1530"/>
      <c r="AG53" s="1530"/>
      <c r="AH53" s="1530"/>
      <c r="AI53" s="1531"/>
      <c r="AJ53" s="1531"/>
      <c r="AK53" s="1531"/>
      <c r="AL53" s="1531"/>
      <c r="AM53" s="1531"/>
      <c r="AN53" s="1531"/>
      <c r="AO53" s="1531"/>
      <c r="AP53" s="1531"/>
      <c r="AQ53" s="1531"/>
      <c r="AR53" s="1531"/>
      <c r="AS53" s="1531"/>
      <c r="AT53" s="1531"/>
      <c r="AU53" s="1531"/>
      <c r="AV53" s="1531"/>
      <c r="AW53" s="1531"/>
      <c r="AX53" s="1531"/>
      <c r="AY53" s="1531"/>
      <c r="AZ53" s="1531"/>
      <c r="BA53" s="1531"/>
      <c r="BB53" s="1531"/>
      <c r="BC53" s="1531"/>
      <c r="BF53" s="1184"/>
    </row>
    <row s="500" customFormat="1" customHeight="1" ht="14.625">
      <c r="A54" s="175"/>
      <c r="B54" s="788"/>
      <c r="C54" s="175"/>
      <c r="D54" s="175"/>
      <c r="E54" s="797">
        <v>15</v>
      </c>
      <c r="F54" s="175"/>
      <c r="Q54" s="739"/>
      <c r="R54" s="739"/>
      <c r="T54" s="175"/>
      <c r="U54" s="175"/>
      <c r="V54" s="175"/>
      <c r="W54" s="175"/>
      <c r="X54" s="175"/>
      <c r="Y54" s="175"/>
      <c r="Z54" s="175"/>
      <c r="AA54" s="921"/>
      <c r="AB54" s="1532"/>
      <c r="AC54" s="1532"/>
      <c r="AD54" s="1532"/>
      <c r="AE54" s="1532"/>
      <c r="AF54" s="1532"/>
      <c r="AG54" s="1532"/>
      <c r="AH54" s="1532"/>
      <c r="AI54" s="1533"/>
      <c r="AJ54" s="1883"/>
      <c r="AK54" s="1883"/>
      <c r="AL54" s="1883"/>
      <c r="AM54" s="1883"/>
      <c r="AN54" s="1883"/>
      <c r="AO54" s="1883"/>
      <c r="AP54" s="1883"/>
      <c r="AQ54" s="1883"/>
      <c r="AR54" s="1883"/>
      <c r="AS54" s="1533"/>
      <c r="AT54" s="1883"/>
      <c r="AU54" s="1883"/>
      <c r="AV54" s="1883"/>
      <c r="AW54" s="1883"/>
      <c r="AX54" s="1883"/>
      <c r="AY54" s="1883"/>
      <c r="AZ54" s="1883"/>
      <c r="BA54" s="1883"/>
      <c r="BB54" s="1883"/>
      <c r="BC54" s="1533"/>
      <c r="BF54" s="1184"/>
    </row>
    <row s="500" customFormat="1" customHeight="1" ht="14.625" hidden="1">
      <c r="A55" s="175"/>
      <c r="B55" s="788"/>
      <c r="C55" s="175"/>
      <c r="D55" s="175"/>
      <c r="E55" s="797">
        <v>15</v>
      </c>
      <c r="F55" s="175"/>
      <c r="G55" s="500"/>
      <c r="H55" s="500"/>
      <c r="I55" s="500"/>
      <c r="J55" s="500"/>
      <c r="K55" s="500"/>
      <c r="L55" s="500"/>
      <c r="M55" s="500"/>
      <c r="N55" s="500"/>
      <c r="O55" s="500"/>
      <c r="P55" s="500"/>
      <c r="Q55" s="739"/>
      <c r="R55" s="739"/>
      <c r="S55" s="500"/>
      <c r="T55" s="808">
        <f>ROW(W55)&gt;ROW(W$55)</f>
        <v>0</v>
      </c>
      <c r="U55" s="175"/>
      <c r="V55" s="179"/>
      <c r="W55" s="175" t="s">
        <v>234</v>
      </c>
      <c r="X55" s="175"/>
      <c r="Y55" s="175"/>
      <c r="Z55" s="175"/>
      <c r="AA55" s="917" t="s">
        <v>218</v>
      </c>
      <c r="AB55" s="1884"/>
      <c r="AC55" s="1884"/>
      <c r="AD55" s="1884"/>
      <c r="AE55" s="1884"/>
      <c r="AF55" s="1884"/>
      <c r="AG55" s="1884"/>
      <c r="AH55" s="1884"/>
      <c r="AI55" s="1533"/>
      <c r="AJ55" s="1883"/>
      <c r="AK55" s="1883"/>
      <c r="AL55" s="1883"/>
      <c r="AM55" s="1883"/>
      <c r="AN55" s="1883"/>
      <c r="AO55" s="1883"/>
      <c r="AP55" s="1883"/>
      <c r="AQ55" s="1883"/>
      <c r="AR55" s="1883"/>
      <c r="AS55" s="1533"/>
      <c r="AT55" s="1883"/>
      <c r="AU55" s="1883"/>
      <c r="AV55" s="1883"/>
      <c r="AW55" s="1883"/>
      <c r="AX55" s="1883"/>
      <c r="AY55" s="1883"/>
      <c r="AZ55" s="1883"/>
      <c r="BA55" s="1883"/>
      <c r="BB55" s="1883"/>
      <c r="BC55" s="1883"/>
      <c r="BD55" s="500"/>
      <c r="BE55" s="500"/>
      <c r="BF55" s="1184"/>
    </row>
    <row s="500" customFormat="1" customHeight="1" ht="14.625">
      <c r="A56" s="175"/>
      <c r="B56" s="788"/>
      <c r="C56" s="175"/>
      <c r="D56" s="175"/>
      <c r="E56" s="797">
        <v>15</v>
      </c>
      <c r="F56" s="175"/>
      <c r="Q56" s="739"/>
      <c r="R56" s="739"/>
      <c r="T56" s="175"/>
      <c r="U56" s="175"/>
      <c r="V56" s="175"/>
      <c r="W56" s="171" t="s">
        <v>235</v>
      </c>
      <c r="X56" s="175"/>
      <c r="Y56" s="175"/>
      <c r="Z56" s="175"/>
      <c r="AB56" s="1478" t="s">
        <v>706</v>
      </c>
      <c r="AC56" s="1479"/>
      <c r="AD56" s="383"/>
      <c r="AE56" s="383"/>
      <c r="AF56" s="384"/>
      <c r="AG56" s="384"/>
      <c r="AH56" s="384"/>
      <c r="AI56" s="384"/>
      <c r="AJ56" s="384"/>
      <c r="AK56" s="384"/>
      <c r="AL56" s="384"/>
      <c r="AM56" s="384"/>
      <c r="AN56" s="384"/>
      <c r="AO56" s="384"/>
      <c r="AP56" s="384"/>
      <c r="AQ56" s="384"/>
      <c r="AR56" s="384"/>
      <c r="AS56" s="384"/>
      <c r="AT56" s="384"/>
      <c r="AU56" s="384"/>
      <c r="AV56" s="384"/>
      <c r="AW56" s="384"/>
      <c r="AX56" s="384"/>
      <c r="AY56" s="384"/>
      <c r="AZ56" s="384"/>
      <c r="BA56" s="384"/>
      <c r="BB56" s="384"/>
      <c r="BC56" s="385"/>
      <c r="BF56" s="1184"/>
    </row>
    <row customHeight="1" ht="11.25">
      <c r="AI57" s="220"/>
      <c r="AJ57" s="220"/>
      <c r="AK57" s="220"/>
      <c r="AL57" s="220"/>
      <c r="AM57" s="220"/>
      <c r="AN57" s="220"/>
      <c r="AO57" s="220"/>
      <c r="AP57" s="220"/>
      <c r="AQ57" s="220"/>
      <c r="AR57" s="220"/>
      <c r="AS57" s="220"/>
      <c r="AT57" s="220"/>
      <c r="AU57" s="220"/>
      <c r="AV57" s="220"/>
      <c r="AW57" s="220"/>
      <c r="AX57" s="220"/>
      <c r="AY57" s="220"/>
      <c r="AZ57" s="220"/>
      <c r="BA57" s="220"/>
      <c r="BB57" s="220"/>
      <c r="BD57" s="220"/>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EFCE8-F898-B4DF-4F89-69984F5497AB}"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8" width="3.57421875" hidden="1" customWidth="1"/>
    <col min="2" max="2" style="927" width="8.57421875" hidden="1" customWidth="1"/>
    <col min="3" max="4" style="1428" width="3.57421875" hidden="1" customWidth="1"/>
    <col min="5" max="5" style="925" width="8.421875" hidden="1" customWidth="1"/>
    <col min="6" max="6" style="1428" width="6.421875" hidden="1" customWidth="1"/>
    <col min="7" max="16" style="1535" width="3.57421875" hidden="1" customWidth="1"/>
    <col min="17" max="18" style="193" width="3.57421875" hidden="1" customWidth="1"/>
    <col min="19" max="19" style="1535" width="3.57421875" hidden="1" customWidth="1"/>
    <col min="20" max="20" style="1443" width="9.0039062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223" width="3.00390625" customWidth="1"/>
    <col min="28" max="28" style="223" width="6.5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1" style="1224" width="8.7109375" hidden="1"/>
    <col min="62" max="63" style="1225" width="8.7109375" hidden="1"/>
  </cols>
  <sheetData>
    <row s="1428" customFormat="1" customHeight="1" ht="12" hidden="1">
      <c r="B1" s="788"/>
      <c r="E1" s="788"/>
      <c r="F1" s="819" t="s">
        <v>83</v>
      </c>
      <c r="G1" s="155"/>
      <c r="H1" s="155"/>
      <c r="I1" s="155"/>
      <c r="J1" s="155"/>
      <c r="K1" s="155"/>
      <c r="L1" s="155"/>
      <c r="M1" s="155"/>
      <c r="N1" s="155"/>
      <c r="O1" s="155"/>
      <c r="P1" s="155"/>
      <c r="Q1" s="193"/>
      <c r="R1" s="193"/>
      <c r="S1" s="155"/>
      <c r="T1" s="808" t="s">
        <v>86</v>
      </c>
      <c r="U1" s="808" t="s">
        <v>91</v>
      </c>
      <c r="V1" s="808" t="s">
        <v>87</v>
      </c>
      <c r="W1" s="808" t="s">
        <v>88</v>
      </c>
      <c r="X1" s="808" t="s">
        <v>89</v>
      </c>
      <c r="Y1" s="819" t="s">
        <v>372</v>
      </c>
      <c r="Z1" s="808" t="s">
        <v>93</v>
      </c>
      <c r="AA1" s="819" t="s">
        <v>90</v>
      </c>
      <c r="AB1" s="819" t="s">
        <v>92</v>
      </c>
      <c r="AC1" s="819" t="s">
        <v>92</v>
      </c>
      <c r="AI1" s="1428"/>
      <c r="AJ1" s="1428"/>
      <c r="AK1" s="1428"/>
      <c r="AL1" s="1428"/>
      <c r="AM1" s="1428"/>
      <c r="AN1" s="1428"/>
      <c r="AO1" s="1428"/>
      <c r="AP1" s="1428"/>
      <c r="AQ1" s="1428"/>
      <c r="AR1" s="1428"/>
      <c r="AS1" s="1428"/>
      <c r="AT1" s="1428"/>
      <c r="AU1" s="1428"/>
      <c r="AV1" s="1428"/>
      <c r="AW1" s="1428"/>
      <c r="AX1" s="1428"/>
      <c r="AY1" s="1428"/>
      <c r="AZ1" s="1428"/>
      <c r="BA1" s="1428"/>
      <c r="BB1" s="1428"/>
      <c r="BF1" s="1224" t="s">
        <v>373</v>
      </c>
      <c r="BG1" s="1224" t="s">
        <v>374</v>
      </c>
      <c r="BH1" s="1224" t="s">
        <v>375</v>
      </c>
      <c r="BI1" s="1224" t="s">
        <v>1181</v>
      </c>
      <c r="BJ1" s="1225" t="s">
        <v>378</v>
      </c>
      <c r="BK1" s="1225" t="s">
        <v>379</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226"/>
      <c r="BG2" s="1226"/>
      <c r="BH2" s="1226"/>
      <c r="BI2" s="1226"/>
      <c r="BJ2" s="1227"/>
      <c r="BK2" s="1227"/>
    </row>
    <row s="1428" customFormat="1" customHeight="1" ht="12" hidden="1">
      <c r="B3" s="788"/>
      <c r="E3" s="788"/>
      <c r="G3" s="155"/>
      <c r="H3" s="155"/>
      <c r="I3" s="155"/>
      <c r="J3" s="155"/>
      <c r="K3" s="155"/>
      <c r="L3" s="155"/>
      <c r="M3" s="155"/>
      <c r="N3" s="155"/>
      <c r="O3" s="155"/>
      <c r="P3" s="155"/>
      <c r="Q3" s="193"/>
      <c r="R3" s="193"/>
      <c r="S3" s="155"/>
      <c r="T3" s="179"/>
      <c r="U3" s="179"/>
      <c r="V3" s="179"/>
      <c r="W3" s="179"/>
      <c r="X3" s="179"/>
      <c r="Y3" s="179"/>
      <c r="Z3" s="179"/>
      <c r="AI3" s="1428"/>
      <c r="AJ3" s="1428"/>
      <c r="AK3" s="1428"/>
      <c r="AL3" s="1428"/>
      <c r="AM3" s="1428"/>
      <c r="AN3" s="1428"/>
      <c r="AO3" s="1428"/>
      <c r="AP3" s="1428"/>
      <c r="AQ3" s="1428"/>
      <c r="AR3" s="1428"/>
      <c r="AS3" s="1428"/>
      <c r="AT3" s="1428"/>
      <c r="AU3" s="1428"/>
      <c r="AV3" s="1428"/>
      <c r="AW3" s="1428"/>
      <c r="AX3" s="1428"/>
      <c r="AY3" s="1428"/>
      <c r="AZ3" s="1428"/>
      <c r="BA3" s="1428"/>
      <c r="BB3" s="1428"/>
      <c r="BF3" s="1224"/>
      <c r="BG3" s="1224"/>
      <c r="BH3" s="1224"/>
      <c r="BI3" s="1224"/>
      <c r="BJ3" s="1225"/>
      <c r="BK3" s="1225"/>
    </row>
    <row s="1428" customFormat="1" customHeight="1" ht="12" hidden="1">
      <c r="B4" s="788"/>
      <c r="E4" s="788"/>
      <c r="G4" s="155"/>
      <c r="H4" s="155"/>
      <c r="I4" s="155"/>
      <c r="J4" s="155"/>
      <c r="K4" s="155"/>
      <c r="L4" s="155"/>
      <c r="M4" s="155"/>
      <c r="N4" s="155"/>
      <c r="O4" s="155"/>
      <c r="P4" s="155"/>
      <c r="Q4" s="193"/>
      <c r="R4" s="193"/>
      <c r="S4" s="155"/>
      <c r="T4" s="179"/>
      <c r="U4" s="179"/>
      <c r="V4" s="179"/>
      <c r="W4" s="179"/>
      <c r="X4" s="179"/>
      <c r="Y4" s="179"/>
      <c r="Z4" s="179"/>
      <c r="AI4" s="1428"/>
      <c r="AJ4" s="1428"/>
      <c r="AK4" s="1428"/>
      <c r="AL4" s="1428"/>
      <c r="AM4" s="1428"/>
      <c r="AN4" s="1428"/>
      <c r="AO4" s="1428"/>
      <c r="AP4" s="1428"/>
      <c r="AQ4" s="1428"/>
      <c r="AR4" s="1428"/>
      <c r="AS4" s="1428"/>
      <c r="AT4" s="1428"/>
      <c r="AU4" s="1428"/>
      <c r="AV4" s="1428"/>
      <c r="AW4" s="1428"/>
      <c r="AX4" s="1428"/>
      <c r="AY4" s="1428"/>
      <c r="AZ4" s="1428"/>
      <c r="BA4" s="1428"/>
      <c r="BB4" s="1428"/>
      <c r="BF4" s="1224"/>
      <c r="BG4" s="1224"/>
      <c r="BH4" s="1224"/>
      <c r="BI4" s="1224"/>
      <c r="BJ4" s="1225"/>
      <c r="BK4" s="1225"/>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6.5</v>
      </c>
      <c r="AC5" s="797">
        <v>47.13</v>
      </c>
      <c r="AD5" s="797">
        <v>12.13</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20.13</v>
      </c>
      <c r="BD5" s="797">
        <v>3</v>
      </c>
      <c r="BF5" s="1226"/>
      <c r="BG5" s="1226"/>
      <c r="BH5" s="1226"/>
      <c r="BI5" s="1226"/>
      <c r="BJ5" s="1227"/>
      <c r="BK5" s="1227"/>
    </row>
    <row s="1428" customFormat="1" customHeight="1" ht="12" hidden="1">
      <c r="B6" s="788"/>
      <c r="E6" s="797"/>
      <c r="G6" s="155"/>
      <c r="H6" s="155"/>
      <c r="I6" s="155"/>
      <c r="J6" s="155"/>
      <c r="K6" s="155"/>
      <c r="L6" s="155"/>
      <c r="M6" s="155"/>
      <c r="N6" s="155"/>
      <c r="O6" s="155"/>
      <c r="P6" s="155"/>
      <c r="Q6" s="193"/>
      <c r="R6" s="193"/>
      <c r="S6" s="155"/>
      <c r="T6" s="179"/>
      <c r="U6" s="179"/>
      <c r="V6" s="179"/>
      <c r="W6" s="179"/>
      <c r="X6" s="179"/>
      <c r="Y6" s="179"/>
      <c r="Z6" s="179"/>
      <c r="AE6" s="183">
        <f>god-2</f>
        <v>2024</v>
      </c>
      <c r="AF6" s="183">
        <f>god-2</f>
        <v>2024</v>
      </c>
      <c r="AG6" s="183">
        <f>god-2</f>
        <v>2024</v>
      </c>
      <c r="AH6" s="18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224"/>
      <c r="BG6" s="1224"/>
      <c r="BH6" s="1224"/>
      <c r="BI6" s="1224"/>
      <c r="BJ6" s="1225"/>
      <c r="BK6" s="1225"/>
    </row>
    <row s="1535" customFormat="1" customHeight="1" ht="12" hidden="1">
      <c r="A7" s="183"/>
      <c r="B7" s="788"/>
      <c r="C7" s="183"/>
      <c r="D7" s="183"/>
      <c r="E7" s="797"/>
      <c r="Q7" s="193"/>
      <c r="R7" s="193"/>
      <c r="T7" s="214"/>
      <c r="U7" s="214"/>
      <c r="V7" s="214"/>
      <c r="W7" s="214"/>
      <c r="X7" s="214"/>
      <c r="Y7" s="214"/>
      <c r="Z7" s="214"/>
      <c r="AE7" s="155" cm="1" t="str">
        <f t="array" ref="AE7:AE7">AE25</f>
        <v>Принято органом регулирования</v>
      </c>
      <c r="AF7" s="155" cm="1" t="str">
        <f t="array" ref="AF7:AF7">AF25</f>
        <v>Факт по данным организации</v>
      </c>
      <c r="AG7" s="155" cm="1" t="str">
        <f t="array" ref="AG7:AG7">AG25</f>
        <v>Факт, принятый органом регулирования</v>
      </c>
      <c r="AH7" s="155" cm="1" t="str">
        <f t="array" ref="AH7:AH7">AH25</f>
        <v>Принято органом регулирования</v>
      </c>
      <c r="AI7" s="155" cm="1" t="str">
        <f t="array" ref="AI7:AI7">AI25</f>
        <v>Предложение организации</v>
      </c>
      <c r="AJ7" s="155" cm="1" t="str">
        <f t="array" ref="AJ7:AJ7">AJ25</f>
        <v>Предложение организации</v>
      </c>
      <c r="AK7" s="155" cm="1" t="str">
        <f t="array" ref="AK7:AK7">AK25</f>
        <v>Предложение организации</v>
      </c>
      <c r="AL7" s="155" cm="1" t="str">
        <f t="array" ref="AL7:AL7">AL25</f>
        <v>Предложение организации</v>
      </c>
      <c r="AM7" s="155" cm="1" t="str">
        <f t="array" ref="AM7:AM7">AM25</f>
        <v>Предложение организации</v>
      </c>
      <c r="AN7" s="155" cm="1" t="str">
        <f t="array" ref="AN7:AN7">AN25</f>
        <v>Предложение организации</v>
      </c>
      <c r="AO7" s="155" cm="1" t="str">
        <f t="array" ref="AO7:AO7">AO25</f>
        <v>Предложение организации</v>
      </c>
      <c r="AP7" s="155" cm="1" t="str">
        <f t="array" ref="AP7:AP7">AP25</f>
        <v>Предложение организации</v>
      </c>
      <c r="AQ7" s="155" cm="1" t="str">
        <f t="array" ref="AQ7:AQ7">AQ25</f>
        <v>Предложение организации</v>
      </c>
      <c r="AR7" s="155" cm="1" t="str">
        <f t="array" ref="AR7:AR7">AR25</f>
        <v>Предложение организации</v>
      </c>
      <c r="AS7" s="155" cm="1" t="str">
        <f t="array" ref="AS7:AS7">AS25</f>
        <v>Принято органом регулирования</v>
      </c>
      <c r="AT7" s="155" cm="1" t="str">
        <f t="array" ref="AT7:AT7">AT25</f>
        <v>Принято органом регулирования</v>
      </c>
      <c r="AU7" s="155" cm="1" t="str">
        <f t="array" ref="AU7:AU7">AU25</f>
        <v>Принято органом регулирования</v>
      </c>
      <c r="AV7" s="155" cm="1" t="str">
        <f t="array" ref="AV7:AV7">AV25</f>
        <v>Принято органом регулирования</v>
      </c>
      <c r="AW7" s="155" cm="1" t="str">
        <f t="array" ref="AW7:AW7">AW25</f>
        <v>Принято органом регулирования</v>
      </c>
      <c r="AX7" s="155" cm="1" t="str">
        <f t="array" ref="AX7:AX7">AX25</f>
        <v>Принято органом регулирования</v>
      </c>
      <c r="AY7" s="155" cm="1" t="str">
        <f t="array" ref="AY7:AY7">AY25</f>
        <v>Принято органом регулирования</v>
      </c>
      <c r="AZ7" s="155" cm="1" t="str">
        <f t="array" ref="AZ7:AZ7">AZ25</f>
        <v>Принято органом регулирования</v>
      </c>
      <c r="BA7" s="155" cm="1" t="str">
        <f t="array" ref="BA7:BA7">BA25</f>
        <v>Принято органом регулирования</v>
      </c>
      <c r="BB7" s="155" cm="1" t="str">
        <f t="array" ref="BB7:BB7">BB25</f>
        <v>Принято органом регулирования</v>
      </c>
      <c r="BF7" s="1224"/>
      <c r="BG7" s="1224"/>
      <c r="BH7" s="1224"/>
      <c r="BI7" s="1224"/>
      <c r="BJ7" s="1225"/>
      <c r="BK7" s="1225"/>
    </row>
    <row s="1535" customFormat="1" customHeight="1" ht="12" hidden="1">
      <c r="A8" s="183"/>
      <c r="B8" s="788"/>
      <c r="C8" s="183"/>
      <c r="D8" s="183"/>
      <c r="E8" s="797"/>
      <c r="Q8" s="193"/>
      <c r="R8" s="193"/>
      <c r="T8" s="214"/>
      <c r="U8" s="214"/>
      <c r="V8" s="214"/>
      <c r="W8" s="214"/>
      <c r="X8" s="214"/>
      <c r="Y8" s="214"/>
      <c r="Z8" s="214"/>
      <c r="AI8" s="1535"/>
      <c r="AJ8" s="1535"/>
      <c r="AK8" s="1535"/>
      <c r="AL8" s="1535"/>
      <c r="AM8" s="1535"/>
      <c r="AN8" s="1535"/>
      <c r="AO8" s="1535"/>
      <c r="AP8" s="1535"/>
      <c r="AQ8" s="1535"/>
      <c r="AR8" s="1535"/>
      <c r="AS8" s="1535"/>
      <c r="AT8" s="1535"/>
      <c r="AU8" s="1535"/>
      <c r="AV8" s="1535"/>
      <c r="AW8" s="1535"/>
      <c r="AX8" s="1535"/>
      <c r="AY8" s="1535"/>
      <c r="AZ8" s="1535"/>
      <c r="BA8" s="1535"/>
      <c r="BB8" s="1535"/>
      <c r="BF8" s="1224"/>
      <c r="BG8" s="1224"/>
      <c r="BH8" s="1224"/>
      <c r="BI8" s="1224"/>
      <c r="BJ8" s="1225"/>
      <c r="BK8" s="1225"/>
    </row>
    <row s="1211" customFormat="1" customHeight="1" ht="12" hidden="1">
      <c r="A9" s="1171" t="s">
        <v>437</v>
      </c>
      <c r="B9" s="1154"/>
      <c r="E9" s="1154"/>
      <c r="Q9" s="1212"/>
      <c r="R9" s="1212"/>
      <c r="T9" s="1152"/>
      <c r="U9" s="1152"/>
      <c r="V9" s="1152"/>
      <c r="W9" s="1152"/>
      <c r="X9" s="1152"/>
      <c r="Y9" s="1152"/>
      <c r="Z9" s="1152"/>
      <c r="AE9" s="1211">
        <f>god-2</f>
        <v>2024</v>
      </c>
      <c r="AF9" s="1211">
        <f>god-2</f>
        <v>2024</v>
      </c>
      <c r="AG9" s="1211">
        <f>god-2</f>
        <v>2024</v>
      </c>
      <c r="AH9" s="1211">
        <f>god-1</f>
        <v>2025</v>
      </c>
      <c r="AI9" s="1211" cm="1" t="str">
        <f t="array" ref="AI9:AI9">god</f>
        <v>2026</v>
      </c>
      <c r="AJ9" s="1211">
        <f>god+1</f>
        <v>2027</v>
      </c>
      <c r="AK9" s="1211">
        <f>god+2</f>
        <v>2028</v>
      </c>
      <c r="AL9" s="1211">
        <f>god+3</f>
        <v>2029</v>
      </c>
      <c r="AM9" s="1211">
        <f>god+4</f>
        <v>2030</v>
      </c>
      <c r="AN9" s="1211">
        <f>god+5</f>
        <v>2031</v>
      </c>
      <c r="AO9" s="1211">
        <f>god+6</f>
        <v>2032</v>
      </c>
      <c r="AP9" s="1211">
        <f>god+7</f>
        <v>2033</v>
      </c>
      <c r="AQ9" s="1211">
        <f>god+8</f>
        <v>2034</v>
      </c>
      <c r="AR9" s="1211">
        <f>god+9</f>
        <v>2035</v>
      </c>
      <c r="AS9" s="1211" cm="1" t="str">
        <f t="array" ref="AS9:AS9">god</f>
        <v>2026</v>
      </c>
      <c r="AT9" s="1211">
        <f>god+1</f>
        <v>2027</v>
      </c>
      <c r="AU9" s="1211">
        <f>god+2</f>
        <v>2028</v>
      </c>
      <c r="AV9" s="1211">
        <f>god+3</f>
        <v>2029</v>
      </c>
      <c r="AW9" s="1211">
        <f>god+4</f>
        <v>2030</v>
      </c>
      <c r="AX9" s="1211">
        <f>god+5</f>
        <v>2031</v>
      </c>
      <c r="AY9" s="1211">
        <f>god+6</f>
        <v>2032</v>
      </c>
      <c r="AZ9" s="1211">
        <f>god+7</f>
        <v>2033</v>
      </c>
      <c r="BA9" s="1211">
        <f>god+8</f>
        <v>2034</v>
      </c>
      <c r="BB9" s="1211">
        <f>god+9</f>
        <v>2035</v>
      </c>
      <c r="BF9" s="1224"/>
      <c r="BG9" s="1224"/>
      <c r="BH9" s="1224"/>
      <c r="BI9" s="1224"/>
      <c r="BJ9" s="1225"/>
      <c r="BK9" s="1225"/>
    </row>
    <row s="1211" customFormat="1" customHeight="1" ht="12" hidden="1">
      <c r="A10" s="1171" t="s">
        <v>438</v>
      </c>
      <c r="B10" s="1154"/>
      <c r="E10" s="1154"/>
      <c r="Q10" s="1212"/>
      <c r="R10" s="1212"/>
      <c r="T10" s="1152"/>
      <c r="U10" s="1152"/>
      <c r="V10" s="1152"/>
      <c r="W10" s="1152"/>
      <c r="X10" s="1152"/>
      <c r="Y10" s="1152"/>
      <c r="Z10" s="1152"/>
      <c r="AE10" s="1211" cm="1" t="str">
        <f t="array" ref="AE10:AE10">AE25</f>
        <v>Принято органом регулирования</v>
      </c>
      <c r="AF10" s="1211" cm="1" t="str">
        <f t="array" ref="AF10:AF10">AF25</f>
        <v>Факт по данным организации</v>
      </c>
      <c r="AG10" s="1211" cm="1" t="str">
        <f t="array" ref="AG10:AG10">AG25</f>
        <v>Факт, принятый органом регулирования</v>
      </c>
      <c r="AH10" s="1211" cm="1" t="str">
        <f t="array" ref="AH10:AH10">AH25</f>
        <v>Принято органом регулирования</v>
      </c>
      <c r="AI10" s="1211" cm="1" t="str">
        <f t="array" ref="AI10:AI10">AI25</f>
        <v>Предложение организации</v>
      </c>
      <c r="AJ10" s="1211" cm="1" t="str">
        <f t="array" ref="AJ10:AJ10">AJ25</f>
        <v>Предложение организации</v>
      </c>
      <c r="AK10" s="1211" cm="1" t="str">
        <f t="array" ref="AK10:AK10">AK25</f>
        <v>Предложение организации</v>
      </c>
      <c r="AL10" s="1211" cm="1" t="str">
        <f t="array" ref="AL10:AL10">AL25</f>
        <v>Предложение организации</v>
      </c>
      <c r="AM10" s="1211" cm="1" t="str">
        <f t="array" ref="AM10:AM10">AM25</f>
        <v>Предложение организации</v>
      </c>
      <c r="AN10" s="1211" cm="1" t="str">
        <f t="array" ref="AN10:AN10">AN25</f>
        <v>Предложение организации</v>
      </c>
      <c r="AO10" s="1211" cm="1" t="str">
        <f t="array" ref="AO10:AO10">AO25</f>
        <v>Предложение организации</v>
      </c>
      <c r="AP10" s="1211" cm="1" t="str">
        <f t="array" ref="AP10:AP10">AP25</f>
        <v>Предложение организации</v>
      </c>
      <c r="AQ10" s="1211" cm="1" t="str">
        <f t="array" ref="AQ10:AQ10">AQ25</f>
        <v>Предложение организации</v>
      </c>
      <c r="AR10" s="1211" cm="1" t="str">
        <f t="array" ref="AR10:AR10">AR25</f>
        <v>Предложение организации</v>
      </c>
      <c r="AS10" s="1211" cm="1" t="str">
        <f t="array" ref="AS10:AS10">AS25</f>
        <v>Принято органом регулирования</v>
      </c>
      <c r="AT10" s="1211" cm="1" t="str">
        <f t="array" ref="AT10:AT10">AT25</f>
        <v>Принято органом регулирования</v>
      </c>
      <c r="AU10" s="1211" cm="1" t="str">
        <f t="array" ref="AU10:AU10">AU25</f>
        <v>Принято органом регулирования</v>
      </c>
      <c r="AV10" s="1211" cm="1" t="str">
        <f t="array" ref="AV10:AV10">AV25</f>
        <v>Принято органом регулирования</v>
      </c>
      <c r="AW10" s="1211" cm="1" t="str">
        <f t="array" ref="AW10:AW10">AW25</f>
        <v>Принято органом регулирования</v>
      </c>
      <c r="AX10" s="1211" cm="1" t="str">
        <f t="array" ref="AX10:AX10">AX25</f>
        <v>Принято органом регулирования</v>
      </c>
      <c r="AY10" s="1211" cm="1" t="str">
        <f t="array" ref="AY10:AY10">AY25</f>
        <v>Принято органом регулирования</v>
      </c>
      <c r="AZ10" s="1211" cm="1" t="str">
        <f t="array" ref="AZ10:AZ10">AZ25</f>
        <v>Принято органом регулирования</v>
      </c>
      <c r="BA10" s="1211" cm="1" t="str">
        <f t="array" ref="BA10:BA10">BA25</f>
        <v>Принято органом регулирования</v>
      </c>
      <c r="BB10" s="1211" cm="1" t="str">
        <f t="array" ref="BB10:BB10">BB25</f>
        <v>Принято органом регулирования</v>
      </c>
      <c r="BF10" s="1224"/>
      <c r="BG10" s="1224"/>
      <c r="BH10" s="1224"/>
      <c r="BI10" s="1224"/>
      <c r="BJ10" s="1225"/>
      <c r="BK10" s="1225"/>
    </row>
    <row s="1211" customFormat="1" customHeight="1" ht="12" hidden="1">
      <c r="A11" s="1171" t="s">
        <v>439</v>
      </c>
      <c r="B11" s="1154"/>
      <c r="E11" s="1154"/>
      <c r="G11" s="1213"/>
      <c r="H11" s="1213"/>
      <c r="I11" s="1213"/>
      <c r="J11" s="1213"/>
      <c r="K11" s="1213"/>
      <c r="L11" s="1213"/>
      <c r="M11" s="1213"/>
      <c r="N11" s="1213"/>
      <c r="O11" s="1213"/>
      <c r="P11" s="1213"/>
      <c r="Q11" s="1214"/>
      <c r="R11" s="1214"/>
      <c r="S11" s="1213"/>
      <c r="T11" s="1152"/>
      <c r="U11" s="1152"/>
      <c r="V11" s="1152"/>
      <c r="W11" s="1152"/>
      <c r="X11" s="1152"/>
      <c r="Y11" s="1152"/>
      <c r="Z11" s="1152"/>
      <c r="AI11" s="1211"/>
      <c r="AJ11" s="1211"/>
      <c r="AK11" s="1211"/>
      <c r="AL11" s="1211"/>
      <c r="AM11" s="1211"/>
      <c r="AN11" s="1211"/>
      <c r="AO11" s="1211"/>
      <c r="AP11" s="1211"/>
      <c r="AQ11" s="1211"/>
      <c r="AR11" s="1211"/>
      <c r="AS11" s="1211"/>
      <c r="AT11" s="1211"/>
      <c r="AU11" s="1211"/>
      <c r="AV11" s="1211"/>
      <c r="AW11" s="1211"/>
      <c r="AX11" s="1211"/>
      <c r="AY11" s="1211"/>
      <c r="AZ11" s="1211"/>
      <c r="BA11" s="1211"/>
      <c r="BB11" s="1211"/>
      <c r="BC11" s="1211" cm="1" t="str">
        <f t="array" ref="BC11:BC11">BC24</f>
        <v>Ссылка на правовую норму (основание для принятия показателя в расчет тарифа)</v>
      </c>
      <c r="BF11" s="1224"/>
      <c r="BG11" s="1224"/>
      <c r="BH11" s="1224"/>
      <c r="BI11" s="1224"/>
      <c r="BJ11" s="1225"/>
      <c r="BK11" s="1225"/>
    </row>
    <row s="1211" customFormat="1" customHeight="1" ht="12" hidden="1">
      <c r="A12" s="1171" t="s">
        <v>384</v>
      </c>
      <c r="B12" s="1154"/>
      <c r="E12" s="1154"/>
      <c r="G12" s="1213"/>
      <c r="H12" s="1213"/>
      <c r="I12" s="1213"/>
      <c r="J12" s="1213"/>
      <c r="K12" s="1213"/>
      <c r="L12" s="1213"/>
      <c r="M12" s="1213"/>
      <c r="N12" s="1213"/>
      <c r="O12" s="1213"/>
      <c r="P12" s="1213"/>
      <c r="Q12" s="1214"/>
      <c r="R12" s="1214"/>
      <c r="S12" s="1213"/>
      <c r="T12" s="1152"/>
      <c r="U12" s="1152"/>
      <c r="V12" s="1152"/>
      <c r="W12" s="1152"/>
      <c r="X12" s="1152"/>
      <c r="Y12" s="1152"/>
      <c r="Z12" s="1152"/>
      <c r="AC12" s="1211" t="s">
        <v>375</v>
      </c>
      <c r="AD12" s="1211" t="s">
        <v>1181</v>
      </c>
      <c r="AI12" s="1211"/>
      <c r="AJ12" s="1211"/>
      <c r="AK12" s="1211"/>
      <c r="AL12" s="1211"/>
      <c r="AM12" s="1211"/>
      <c r="AN12" s="1211"/>
      <c r="AO12" s="1211"/>
      <c r="AP12" s="1211"/>
      <c r="AQ12" s="1211"/>
      <c r="AR12" s="1211"/>
      <c r="AS12" s="1211"/>
      <c r="AT12" s="1211"/>
      <c r="AU12" s="1211"/>
      <c r="AV12" s="1211"/>
      <c r="AW12" s="1211"/>
      <c r="AX12" s="1211"/>
      <c r="AY12" s="1211"/>
      <c r="AZ12" s="1211"/>
      <c r="BA12" s="1211"/>
      <c r="BB12" s="1211"/>
      <c r="BF12" s="1224"/>
      <c r="BG12" s="1224"/>
      <c r="BH12" s="1224"/>
      <c r="BI12" s="1224"/>
      <c r="BJ12" s="1225"/>
      <c r="BK12" s="1225"/>
    </row>
    <row s="1428" customFormat="1" customHeight="1" ht="12" hidden="1">
      <c r="B13" s="788"/>
      <c r="E13" s="797"/>
      <c r="G13" s="155"/>
      <c r="H13" s="155"/>
      <c r="I13" s="155"/>
      <c r="J13" s="155"/>
      <c r="K13" s="155"/>
      <c r="L13" s="155"/>
      <c r="M13" s="155"/>
      <c r="N13" s="155"/>
      <c r="O13" s="155"/>
      <c r="P13" s="155"/>
      <c r="Q13" s="193"/>
      <c r="R13" s="193"/>
      <c r="S13" s="155"/>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224"/>
      <c r="BG13" s="1224"/>
      <c r="BH13" s="1224"/>
      <c r="BI13" s="1224"/>
      <c r="BJ13" s="1225"/>
      <c r="BK13" s="1225"/>
    </row>
    <row s="1428" customFormat="1" customHeight="1" ht="12" hidden="1">
      <c r="B14" s="788"/>
      <c r="E14" s="797"/>
      <c r="G14" s="155"/>
      <c r="H14" s="155"/>
      <c r="I14" s="155"/>
      <c r="J14" s="155"/>
      <c r="K14" s="155"/>
      <c r="L14" s="155"/>
      <c r="M14" s="155"/>
      <c r="N14" s="155"/>
      <c r="O14" s="155"/>
      <c r="P14" s="155"/>
      <c r="Q14" s="193"/>
      <c r="R14" s="193"/>
      <c r="S14" s="155"/>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224"/>
      <c r="BG14" s="1224"/>
      <c r="BH14" s="1224"/>
      <c r="BI14" s="1224"/>
      <c r="BJ14" s="1225"/>
      <c r="BK14" s="1225"/>
    </row>
    <row s="1428" customFormat="1" customHeight="1" ht="12" hidden="1">
      <c r="B15" s="788"/>
      <c r="E15" s="797"/>
      <c r="G15" s="155"/>
      <c r="H15" s="155"/>
      <c r="I15" s="155"/>
      <c r="J15" s="155"/>
      <c r="K15" s="155"/>
      <c r="L15" s="155"/>
      <c r="M15" s="155"/>
      <c r="N15" s="155"/>
      <c r="O15" s="155"/>
      <c r="P15" s="155"/>
      <c r="Q15" s="193"/>
      <c r="R15" s="193"/>
      <c r="S15" s="155"/>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224"/>
      <c r="BG15" s="1224"/>
      <c r="BH15" s="1224"/>
      <c r="BI15" s="1224"/>
      <c r="BJ15" s="1225"/>
      <c r="BK15" s="1225"/>
    </row>
    <row s="1428" customFormat="1" customHeight="1" ht="12" hidden="1">
      <c r="B16" s="788"/>
      <c r="E16" s="797"/>
      <c r="G16" s="155"/>
      <c r="H16" s="155"/>
      <c r="I16" s="155"/>
      <c r="J16" s="155"/>
      <c r="K16" s="155"/>
      <c r="L16" s="155"/>
      <c r="M16" s="155"/>
      <c r="N16" s="155"/>
      <c r="O16" s="155"/>
      <c r="P16" s="155"/>
      <c r="Q16" s="193"/>
      <c r="R16" s="193"/>
      <c r="S16" s="155"/>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224"/>
      <c r="BG16" s="1224"/>
      <c r="BH16" s="1224"/>
      <c r="BI16" s="1224"/>
      <c r="BJ16" s="1225"/>
      <c r="BK16" s="1225"/>
    </row>
    <row s="1428" customFormat="1" customHeight="1" ht="12" hidden="1">
      <c r="B17" s="788"/>
      <c r="E17" s="797"/>
      <c r="G17" s="155"/>
      <c r="H17" s="155"/>
      <c r="I17" s="155"/>
      <c r="J17" s="155"/>
      <c r="K17" s="155"/>
      <c r="L17" s="155"/>
      <c r="M17" s="155"/>
      <c r="N17" s="155"/>
      <c r="O17" s="155"/>
      <c r="P17" s="155"/>
      <c r="Q17" s="193"/>
      <c r="R17" s="193"/>
      <c r="S17" s="155"/>
      <c r="T17" s="179"/>
      <c r="U17" s="179"/>
      <c r="V17" s="179"/>
      <c r="W17" s="179"/>
      <c r="X17" s="179"/>
      <c r="Y17" s="179"/>
      <c r="Z17" s="179"/>
      <c r="AI17" s="1428"/>
      <c r="AJ17" s="1428"/>
      <c r="AK17" s="1428"/>
      <c r="AL17" s="1428"/>
      <c r="AM17" s="1428"/>
      <c r="AN17" s="1428"/>
      <c r="AO17" s="1428"/>
      <c r="AP17" s="1428"/>
      <c r="AQ17" s="1428"/>
      <c r="AR17" s="1428"/>
      <c r="AS17" s="1428"/>
      <c r="AT17" s="1428"/>
      <c r="AU17" s="1428"/>
      <c r="AV17" s="1428"/>
      <c r="AW17" s="1428"/>
      <c r="AX17" s="175"/>
      <c r="AY17" s="175"/>
      <c r="AZ17" s="175"/>
      <c r="BA17" s="175"/>
      <c r="BB17" s="175"/>
      <c r="BF17" s="1224"/>
      <c r="BG17" s="1224"/>
      <c r="BH17" s="1224"/>
      <c r="BI17" s="1224"/>
      <c r="BJ17" s="1225"/>
      <c r="BK17" s="1225"/>
    </row>
    <row s="1428" customFormat="1" customHeight="1" ht="12" hidden="1">
      <c r="A18" s="1020" t="s">
        <v>495</v>
      </c>
      <c r="B18" s="788"/>
      <c r="E18" s="797"/>
      <c r="G18" s="155"/>
      <c r="H18" s="155"/>
      <c r="I18" s="155"/>
      <c r="J18" s="155"/>
      <c r="K18" s="155"/>
      <c r="L18" s="155"/>
      <c r="M18" s="155"/>
      <c r="N18" s="155"/>
      <c r="O18" s="155"/>
      <c r="P18" s="155"/>
      <c r="Q18" s="193"/>
      <c r="R18" s="193"/>
      <c r="S18" s="155"/>
      <c r="T18" s="179"/>
      <c r="U18" s="179"/>
      <c r="V18" s="179"/>
      <c r="W18" s="179"/>
      <c r="X18" s="179"/>
      <c r="Y18" s="179"/>
      <c r="Z18" s="179"/>
      <c r="AC18" s="183" t="s">
        <v>225</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224"/>
      <c r="BG18" s="1224"/>
      <c r="BH18" s="1224"/>
      <c r="BI18" s="1224"/>
      <c r="BJ18" s="1225"/>
      <c r="BK18" s="1225"/>
    </row>
    <row s="1428" customFormat="1" customHeight="1" ht="12" hidden="1">
      <c r="B19" s="788"/>
      <c r="E19" s="797"/>
      <c r="G19" s="155"/>
      <c r="H19" s="155"/>
      <c r="I19" s="155"/>
      <c r="J19" s="155"/>
      <c r="K19" s="155"/>
      <c r="L19" s="155"/>
      <c r="M19" s="155"/>
      <c r="N19" s="155"/>
      <c r="O19" s="155"/>
      <c r="P19" s="155"/>
      <c r="Q19" s="193"/>
      <c r="R19" s="193"/>
      <c r="S19" s="155"/>
      <c r="T19" s="179"/>
      <c r="U19" s="179"/>
      <c r="V19" s="179"/>
      <c r="W19" s="179"/>
      <c r="X19" s="179"/>
      <c r="Y19" s="179"/>
      <c r="Z19" s="17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224"/>
      <c r="BG19" s="1224"/>
      <c r="BH19" s="1224"/>
      <c r="BI19" s="1224"/>
      <c r="BJ19" s="1225"/>
      <c r="BK19" s="1225"/>
    </row>
    <row s="1428" customFormat="1" customHeight="1" ht="12" hidden="1">
      <c r="B20" s="788"/>
      <c r="E20" s="797"/>
      <c r="G20" s="155"/>
      <c r="H20" s="155"/>
      <c r="I20" s="155"/>
      <c r="J20" s="155"/>
      <c r="K20" s="155"/>
      <c r="L20" s="155"/>
      <c r="M20" s="155"/>
      <c r="N20" s="155"/>
      <c r="O20" s="155"/>
      <c r="P20" s="155"/>
      <c r="Q20" s="193"/>
      <c r="R20" s="193"/>
      <c r="S20" s="155"/>
      <c r="T20" s="179"/>
      <c r="U20" s="179"/>
      <c r="V20" s="179"/>
      <c r="W20" s="179"/>
      <c r="X20" s="179"/>
      <c r="Y20" s="179"/>
      <c r="Z20" s="17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224"/>
      <c r="BG20" s="1224"/>
      <c r="BH20" s="1224"/>
      <c r="BI20" s="1224"/>
      <c r="BJ20" s="1225"/>
      <c r="BK20" s="1225"/>
    </row>
    <row customHeight="1" ht="14.625">
      <c r="E21" s="797">
        <v>15</v>
      </c>
      <c r="AA21" s="820"/>
      <c r="AC21" s="403" cm="1" t="str">
        <f t="array" ref="AC21:AC21">tpl_title</f>
        <v>Кемеровская область / 2026 / ООО "ВЕЛЕС" (ИНН:4212036655, КПП:421201001) / ДПР: 2016-2025</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97">
        <v>20.1</v>
      </c>
      <c r="AB22" s="392" t="s">
        <v>47</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97">
        <v>11.3</v>
      </c>
      <c r="AB23" s="1057" t="s">
        <v>1182</v>
      </c>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97">
        <v>15</v>
      </c>
      <c r="AB24" s="1530" t="s">
        <v>995</v>
      </c>
      <c r="AC24" s="1538" t="s">
        <v>225</v>
      </c>
      <c r="AD24" s="1530" t="s">
        <v>441</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475" t="s">
        <v>595</v>
      </c>
    </row>
    <row customHeight="1" ht="48.847500000000004">
      <c r="E25" s="797">
        <v>50.1</v>
      </c>
      <c r="AB25" s="1537"/>
      <c r="AC25" s="1537"/>
      <c r="AD25" s="1537"/>
      <c r="AE25" s="170" t="s">
        <v>402</v>
      </c>
      <c r="AF25" s="1356" t="s">
        <v>596</v>
      </c>
      <c r="AG25" s="170" t="s">
        <v>597</v>
      </c>
      <c r="AH25" s="170" t="s">
        <v>402</v>
      </c>
      <c r="AI25" s="1357" t="s">
        <v>403</v>
      </c>
      <c r="AJ25" s="1357" t="s">
        <v>403</v>
      </c>
      <c r="AK25" s="1357" t="s">
        <v>403</v>
      </c>
      <c r="AL25" s="1357" t="s">
        <v>403</v>
      </c>
      <c r="AM25" s="1357" t="s">
        <v>403</v>
      </c>
      <c r="AN25" s="1357" t="s">
        <v>403</v>
      </c>
      <c r="AO25" s="1357" t="s">
        <v>403</v>
      </c>
      <c r="AP25" s="1357" t="s">
        <v>403</v>
      </c>
      <c r="AQ25" s="1357" t="s">
        <v>403</v>
      </c>
      <c r="AR25" s="1357" t="s">
        <v>403</v>
      </c>
      <c r="AS25" s="413" t="s">
        <v>402</v>
      </c>
      <c r="AT25" s="413" t="s">
        <v>402</v>
      </c>
      <c r="AU25" s="413" t="s">
        <v>402</v>
      </c>
      <c r="AV25" s="413" t="s">
        <v>402</v>
      </c>
      <c r="AW25" s="413" t="s">
        <v>402</v>
      </c>
      <c r="AX25" s="413" t="s">
        <v>402</v>
      </c>
      <c r="AY25" s="413" t="s">
        <v>402</v>
      </c>
      <c r="AZ25" s="413" t="s">
        <v>402</v>
      </c>
      <c r="BA25" s="413" t="s">
        <v>402</v>
      </c>
      <c r="BB25" s="413" t="s">
        <v>402</v>
      </c>
      <c r="BC25" s="1537"/>
    </row>
    <row customHeight="1" ht="50.25" hidden="1">
      <c r="E26" s="797">
        <v>0</v>
      </c>
      <c r="AB26" s="506"/>
      <c r="AC26" s="507"/>
      <c r="AD26" s="507"/>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08"/>
    </row>
    <row customHeight="1" ht="11.115" hidden="1">
      <c r="E27" s="797">
        <v>11.4</v>
      </c>
      <c r="F27" s="922" cm="1" t="str">
        <f t="array" ref="F27:F27">X27</f>
        <v>0</v>
      </c>
      <c r="G27" s="193" t="s">
        <v>1183</v>
      </c>
      <c r="T27" s="819">
        <f>X27&gt;0</f>
        <v>0</v>
      </c>
      <c r="V27" s="175" t="s">
        <v>310</v>
      </c>
      <c r="X27" s="159">
        <v>0</v>
      </c>
      <c r="AB27" s="290" cm="1" t="str">
        <f t="array" ref="AB27:AB27">INDEX('Общие сведения'!$AG$169:$AG$202,MATCH($F27,'Общие сведения'!$Z$169:$Z$202,0))</f>
        <v>Тариф 0 (Теплоснабжение) - </v>
      </c>
      <c r="AC27" s="260"/>
      <c r="AD27" s="260"/>
      <c r="AE27" s="380">
        <f>AE28+AE34+AE40</f>
        <v>0</v>
      </c>
      <c r="AF27" s="380">
        <f>AF28+AF34+AF40</f>
        <v>0</v>
      </c>
      <c r="AG27" s="380">
        <f>AG28+AG34+AG40</f>
        <v>0</v>
      </c>
      <c r="AH27" s="380">
        <f>AH28+AH34+AH40</f>
        <v>0</v>
      </c>
      <c r="AI27" s="380">
        <f>AI28+AI34+AI40</f>
        <v>0</v>
      </c>
      <c r="AJ27" s="380">
        <f>AJ28+AJ34+AJ40</f>
        <v>0</v>
      </c>
      <c r="AK27" s="380">
        <f>AK28+AK34+AK40</f>
        <v>0</v>
      </c>
      <c r="AL27" s="380">
        <f>AL28+AL34+AL40</f>
        <v>0</v>
      </c>
      <c r="AM27" s="380">
        <f>AM28+AM34+AM40</f>
        <v>0</v>
      </c>
      <c r="AN27" s="380">
        <f>AN28+AN34+AN40</f>
        <v>0</v>
      </c>
      <c r="AO27" s="380">
        <f>AO28+AO34+AO40</f>
        <v>0</v>
      </c>
      <c r="AP27" s="380">
        <f>AP28+AP34+AP40</f>
        <v>0</v>
      </c>
      <c r="AQ27" s="380">
        <f>AQ28+AQ34+AQ40</f>
        <v>0</v>
      </c>
      <c r="AR27" s="380">
        <f>AR28+AR34+AR40</f>
        <v>0</v>
      </c>
      <c r="AS27" s="380">
        <f>AS28+AS34+AS40</f>
        <v>0</v>
      </c>
      <c r="AT27" s="380">
        <f>AT28+AT34+AT40</f>
        <v>0</v>
      </c>
      <c r="AU27" s="380">
        <f>AU28+AU34+AU40</f>
        <v>0</v>
      </c>
      <c r="AV27" s="380">
        <f>AV28+AV34+AV40</f>
        <v>0</v>
      </c>
      <c r="AW27" s="380">
        <f>AW28+AW34+AW40</f>
        <v>0</v>
      </c>
      <c r="AX27" s="380">
        <f>AX28+AX34+AX40</f>
        <v>0</v>
      </c>
      <c r="AY27" s="380">
        <f>AY28+AY34+AY40</f>
        <v>0</v>
      </c>
      <c r="AZ27" s="380">
        <f>AZ28+AZ34+AZ40</f>
        <v>0</v>
      </c>
      <c r="BA27" s="380">
        <f>BA28+BA34+BA40</f>
        <v>0</v>
      </c>
      <c r="BB27" s="380">
        <f>BB28+BB34+BB40</f>
        <v>0</v>
      </c>
      <c r="BC27" s="292"/>
    </row>
    <row customHeight="1" ht="11.115" hidden="1">
      <c r="E28" s="797">
        <v>11.4</v>
      </c>
      <c r="F28" s="922" cm="1" t="str">
        <f t="array" ref="F28:F28">F27</f>
        <v>0</v>
      </c>
      <c r="G28" s="193" t="s">
        <v>444</v>
      </c>
      <c r="T28" s="819" cm="1" t="str">
        <f t="array" ref="T28:T28">T27</f>
        <v>false</v>
      </c>
      <c r="AB28" s="286">
        <v>1</v>
      </c>
      <c r="AC28" s="281" t="s">
        <v>1184</v>
      </c>
      <c r="AD28" s="280" t="s">
        <v>810</v>
      </c>
      <c r="AE28" s="282">
        <f>SUMIF($AD29:$AD33,$AD28,AE29:AE33)</f>
        <v>0</v>
      </c>
      <c r="AF28" s="282">
        <f>SUMIF($AD29:$AD33,$AD28,AF29:AF33)</f>
        <v>0</v>
      </c>
      <c r="AG28" s="282">
        <f>SUMIF($AD29:$AD33,$AD28,AG29:AG33)</f>
        <v>0</v>
      </c>
      <c r="AH28" s="282">
        <f>SUMIF($AD29:$AD33,$AD28,AH29:AH33)</f>
        <v>0</v>
      </c>
      <c r="AI28" s="282">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2">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4" t="s">
        <v>1009</v>
      </c>
    </row>
    <row customHeight="1" ht="0.19499999999999998" hidden="1">
      <c r="E29" s="797">
        <v>0.2</v>
      </c>
      <c r="F29" s="922" cm="1" t="str">
        <f t="array" ref="F29:F29">F28</f>
        <v>0</v>
      </c>
      <c r="T29" s="819"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224" t="str">
        <f>IF(AND(ISNUMBER(VALUE(TRIM(SUBSTITUTE(AB29,".","")))),TRIM(SUBSTITUTE(AB29,".",""))&lt;&gt;""),"P"&amp;SUBSTITUTE(AB29,".",""),"")</f>
        <v/>
      </c>
    </row>
    <row customHeight="1" ht="17.55" hidden="1">
      <c r="A30" s="1125" t="str">
        <f>"checkCosts_1."&amp;F30&amp;"."&amp;Y30</f>
        <v>checkCosts_1.0.0</v>
      </c>
      <c r="E30" s="797">
        <v>18</v>
      </c>
      <c r="F30" s="922" cm="1" t="str">
        <f t="array" ref="F30:F30">OFFSET(G30,-1,-1)</f>
        <v>0</v>
      </c>
      <c r="G30" s="193" t="s">
        <v>444</v>
      </c>
      <c r="H30" s="155" cm="1" t="str">
        <f t="array" ref="H30:H30">AC30</f>
        <v>0</v>
      </c>
      <c r="T30" s="819">
        <f>AND(F30&gt;0,Y30&gt;0)</f>
        <v>0</v>
      </c>
      <c r="W30" s="159" t="s">
        <v>234</v>
      </c>
      <c r="Y30" s="159">
        <v>0</v>
      </c>
      <c r="AA30" s="1536" t="s">
        <v>218</v>
      </c>
      <c r="AB30" s="288" t="str">
        <f>"1."&amp;Y30</f>
        <v>1.0</v>
      </c>
      <c r="AC30" s="463"/>
      <c r="AD30" s="280" t="s">
        <v>810</v>
      </c>
      <c r="AE30" s="1872">
        <f>AE31*AE32/1000</f>
        <v>0</v>
      </c>
      <c r="AF30" s="1665"/>
      <c r="AG30" s="1665"/>
      <c r="AH30" s="1872">
        <f>AH31*AH32/1000</f>
        <v>0</v>
      </c>
      <c r="AI30" s="1665"/>
      <c r="AJ30" s="1665"/>
      <c r="AK30" s="1665"/>
      <c r="AL30" s="1665"/>
      <c r="AM30" s="1665"/>
      <c r="AN30" s="1665"/>
      <c r="AO30" s="1665"/>
      <c r="AP30" s="1665"/>
      <c r="AQ30" s="1665"/>
      <c r="AR30" s="1665"/>
      <c r="AS30" s="1872">
        <f>AS31*AS32/1000</f>
        <v>0</v>
      </c>
      <c r="AT30" s="1872">
        <f>AT31*AT32/1000</f>
        <v>0</v>
      </c>
      <c r="AU30" s="1872">
        <f>AU31*AU32/1000</f>
        <v>0</v>
      </c>
      <c r="AV30" s="1872">
        <f>AV31*AV32/1000</f>
        <v>0</v>
      </c>
      <c r="AW30" s="1872">
        <f>AW31*AW32/1000</f>
        <v>0</v>
      </c>
      <c r="AX30" s="1872">
        <f>AX31*AX32/1000</f>
        <v>0</v>
      </c>
      <c r="AY30" s="1872">
        <f>AY31*AY32/1000</f>
        <v>0</v>
      </c>
      <c r="AZ30" s="1872">
        <f>AZ31*AZ32/1000</f>
        <v>0</v>
      </c>
      <c r="BA30" s="1872">
        <f>BA31*BA32/1000</f>
        <v>0</v>
      </c>
      <c r="BB30" s="1872">
        <f>BB31*BB32/1000</f>
        <v>0</v>
      </c>
      <c r="BC30" s="1719"/>
      <c r="BF30" s="1224" t="s">
        <v>1010</v>
      </c>
      <c r="BG30" s="1224" t="s">
        <v>1185</v>
      </c>
      <c r="BH30" s="1224" cm="1" t="str">
        <f t="array" ref="BH30:BH30">AC30</f>
        <v>0</v>
      </c>
      <c r="BI30" s="1224" cm="1" t="str">
        <f t="array" ref="BI30:BI30">AD32</f>
        <v>Гкал</v>
      </c>
      <c r="BK30" s="1225" t="b">
        <v>1</v>
      </c>
    </row>
    <row s="1390" customFormat="1" customHeight="1" ht="16.575" hidden="1">
      <c r="E31" s="797">
        <v>17</v>
      </c>
      <c r="F31" s="922" cm="1" t="str">
        <f t="array" ref="F31:F31">F29</f>
        <v>0</v>
      </c>
      <c r="G31" s="193" t="s">
        <v>191</v>
      </c>
      <c r="H31" s="155" cm="1" t="str">
        <f t="array" ref="H31:H31">H30</f>
        <v>0</v>
      </c>
      <c r="T31" s="819" cm="1" t="str">
        <f t="array" ref="T31:T31">T30</f>
        <v>false</v>
      </c>
      <c r="AA31" s="1536"/>
      <c r="AB31" s="288" t="str">
        <f>AB30&amp;".1"</f>
        <v>1.0.1</v>
      </c>
      <c r="AC31" s="294" t="s">
        <v>946</v>
      </c>
      <c r="AD31" s="106" t="s">
        <v>245</v>
      </c>
      <c r="AE31" s="61"/>
      <c r="AF31" s="335">
        <f>IF(AF32=0,0,AF30/AF32)*1000</f>
        <v>0</v>
      </c>
      <c r="AG31" s="335">
        <f>IF(AG32=0,0,AG30/AG32)*1000</f>
        <v>0</v>
      </c>
      <c r="AH31" s="61"/>
      <c r="AI31" s="335">
        <f>IF(AI32=0,0,AI30/AI32)*1000</f>
        <v>0</v>
      </c>
      <c r="AJ31" s="335">
        <f>IF(AJ32=0,0,AJ30/AJ32)*1000</f>
        <v>0</v>
      </c>
      <c r="AK31" s="335">
        <f>IF(AK32=0,0,AK30/AK32)*1000</f>
        <v>0</v>
      </c>
      <c r="AL31" s="335">
        <f>IF(AL32=0,0,AL30/AL32)*1000</f>
        <v>0</v>
      </c>
      <c r="AM31" s="335">
        <f>IF(AM32=0,0,AM30/AM32)*1000</f>
        <v>0</v>
      </c>
      <c r="AN31" s="335">
        <f>IF(AN32=0,0,AN30/AN32)*1000</f>
        <v>0</v>
      </c>
      <c r="AO31" s="335">
        <f>IF(AO32=0,0,AO30/AO32)*1000</f>
        <v>0</v>
      </c>
      <c r="AP31" s="335">
        <f>IF(AP32=0,0,AP30/AP32)*1000</f>
        <v>0</v>
      </c>
      <c r="AQ31" s="335">
        <f>IF(AQ32=0,0,AQ30/AQ32)*1000</f>
        <v>0</v>
      </c>
      <c r="AR31" s="335">
        <f>IF(AR32=0,0,AR30/AR32)*1000</f>
        <v>0</v>
      </c>
      <c r="AS31" s="1665"/>
      <c r="AT31" s="61"/>
      <c r="AU31" s="61"/>
      <c r="AV31" s="61"/>
      <c r="AW31" s="61"/>
      <c r="AX31" s="61"/>
      <c r="AY31" s="61"/>
      <c r="AZ31" s="61"/>
      <c r="BA31" s="61"/>
      <c r="BB31" s="61"/>
      <c r="BC31" s="73"/>
      <c r="BF31" s="1224" t="s">
        <v>1012</v>
      </c>
      <c r="BG31" s="1224" t="s">
        <v>1185</v>
      </c>
      <c r="BH31" s="1224" cm="1" t="str">
        <f t="array" ref="BH31:BH31">BH30</f>
        <v>0</v>
      </c>
      <c r="BI31" s="1224" cm="1" t="str">
        <f t="array" ref="BI31:BI31">BI30</f>
        <v>Гкал</v>
      </c>
      <c r="BJ31" s="1225"/>
      <c r="BK31" s="1225"/>
    </row>
    <row customHeight="1" ht="16.575" hidden="1">
      <c r="A32" s="1125" t="str">
        <f>"checkVolume_1."&amp;F32&amp;"."&amp;Y30</f>
        <v>checkVolume_1.0.0</v>
      </c>
      <c r="E32" s="797">
        <v>17</v>
      </c>
      <c r="F32" s="922" cm="1" t="str">
        <f t="array" ref="F32:F32">F30</f>
        <v>0</v>
      </c>
      <c r="G32" s="193" t="s">
        <v>191</v>
      </c>
      <c r="H32" s="155" cm="1" t="str">
        <f t="array" ref="H32:H32">H30</f>
        <v>0</v>
      </c>
      <c r="T32" s="819" cm="1" t="str">
        <f t="array" ref="T32:T32">T30</f>
        <v>false</v>
      </c>
      <c r="AA32" s="1536"/>
      <c r="AB32" s="288" t="str">
        <f>AB30&amp;".2"</f>
        <v>1.0.2</v>
      </c>
      <c r="AC32" s="294" t="s">
        <v>1186</v>
      </c>
      <c r="AD32" s="106" t="s">
        <v>599</v>
      </c>
      <c r="AE32" s="61"/>
      <c r="AF32" s="61"/>
      <c r="AG32" s="61"/>
      <c r="AH32" s="61"/>
      <c r="AI32" s="1665"/>
      <c r="AJ32" s="61"/>
      <c r="AK32" s="61"/>
      <c r="AL32" s="61"/>
      <c r="AM32" s="61"/>
      <c r="AN32" s="61"/>
      <c r="AO32" s="61"/>
      <c r="AP32" s="61"/>
      <c r="AQ32" s="61"/>
      <c r="AR32" s="61"/>
      <c r="AS32" s="1665"/>
      <c r="AT32" s="61"/>
      <c r="AU32" s="61"/>
      <c r="AV32" s="61"/>
      <c r="AW32" s="61"/>
      <c r="AX32" s="61"/>
      <c r="AY32" s="61"/>
      <c r="AZ32" s="61"/>
      <c r="BA32" s="61"/>
      <c r="BB32" s="61"/>
      <c r="BC32" s="73"/>
      <c r="BF32" s="1224" t="s">
        <v>1014</v>
      </c>
      <c r="BG32" s="1224" t="s">
        <v>1185</v>
      </c>
      <c r="BH32" s="1224" cm="1" t="str">
        <f t="array" ref="BH32:BH32">BH30</f>
        <v>0</v>
      </c>
      <c r="BI32" s="1224" cm="1" t="str">
        <f t="array" ref="BI32:BI32">BI30</f>
        <v>Гкал</v>
      </c>
    </row>
    <row customHeight="1" ht="16.575" hidden="1">
      <c r="E33" s="797">
        <v>17</v>
      </c>
      <c r="F33" s="922" cm="1" t="str">
        <f t="array" ref="F33:F33">F29</f>
        <v>0</v>
      </c>
      <c r="G33" s="193" t="str">
        <f>F33&amp;"pIns3"</f>
        <v>0pIns3</v>
      </c>
      <c r="T33" s="819">
        <f>F33&gt;0</f>
        <v>0</v>
      </c>
      <c r="W33" s="374" t="s">
        <v>1187</v>
      </c>
      <c r="AB33" s="302"/>
      <c r="AC33" s="303" t="s">
        <v>982</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101"/>
      <c r="BF33" s="1224" t="str">
        <f>IF(AND(ISNUMBER(VALUE(TRIM(SUBSTITUTE(AB33,".","")))),TRIM(SUBSTITUTE(AB33,".",""))&lt;&gt;""),"P"&amp;SUBSTITUTE(AB33,".",""),"")</f>
        <v/>
      </c>
      <c r="BJ33" s="1225" t="s">
        <v>1185</v>
      </c>
    </row>
    <row customHeight="1" ht="16.575" hidden="1">
      <c r="E34" s="797">
        <v>17</v>
      </c>
      <c r="F34" s="922" cm="1" t="str">
        <f t="array" ref="F34:F34">F33</f>
        <v>0</v>
      </c>
      <c r="G34" s="193" t="s">
        <v>1188</v>
      </c>
      <c r="T34" s="819">
        <f>F34&gt;0</f>
        <v>0</v>
      </c>
      <c r="AB34" s="286">
        <v>2</v>
      </c>
      <c r="AC34" s="281" t="s">
        <v>1189</v>
      </c>
      <c r="AD34" s="280" t="s">
        <v>810</v>
      </c>
      <c r="AE34" s="282">
        <f>SUMIF($AD35:$AD39,$AD34,AE35:AE39)</f>
        <v>0</v>
      </c>
      <c r="AF34" s="282">
        <f>SUMIF($AD35:$AD39,$AD34,AF35:AF39)</f>
        <v>0</v>
      </c>
      <c r="AG34" s="282">
        <f>SUMIF($AD35:$AD39,$AD34,AG35:AG39)</f>
        <v>0</v>
      </c>
      <c r="AH34" s="282">
        <f>SUMIF($AD35:$AD39,$AD34,AH35:AH39)</f>
        <v>0</v>
      </c>
      <c r="AI34" s="282">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2">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4" t="s">
        <v>1190</v>
      </c>
    </row>
    <row customHeight="1" ht="0.19499999999999998" hidden="1">
      <c r="E35" s="797">
        <v>0.2</v>
      </c>
      <c r="F35" s="922" cm="1" t="str">
        <f t="array" ref="F35:F35">F34</f>
        <v>0</v>
      </c>
      <c r="T35" s="819"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224" t="str">
        <f>IF(AND(ISNUMBER(VALUE(TRIM(SUBSTITUTE(AB35,".","")))),TRIM(SUBSTITUTE(AB35,".",""))&lt;&gt;""),"P"&amp;SUBSTITUTE(AB35,".",""),"")</f>
        <v/>
      </c>
    </row>
    <row customHeight="1" ht="17.55" hidden="1">
      <c r="A36" s="1125" t="str">
        <f>"checkCosts_2."&amp;F36&amp;"."&amp;Y36</f>
        <v>checkCosts_2.0.0</v>
      </c>
      <c r="E36" s="797">
        <v>18</v>
      </c>
      <c r="F36" s="922" cm="1" t="str">
        <f t="array" ref="F36:F36">OFFSET(G36,-1,-1)</f>
        <v>0</v>
      </c>
      <c r="G36" s="193" t="s">
        <v>1188</v>
      </c>
      <c r="H36" s="155" cm="1" t="str">
        <f t="array" ref="H36:H36">AC36</f>
        <v>0</v>
      </c>
      <c r="T36" s="819">
        <f>AND(F36&gt;0,Y36&gt;0)</f>
        <v>0</v>
      </c>
      <c r="W36" s="159" t="s">
        <v>234</v>
      </c>
      <c r="Y36" s="159">
        <v>0</v>
      </c>
      <c r="AA36" s="1536" t="s">
        <v>218</v>
      </c>
      <c r="AB36" s="288" t="str">
        <f>"2."&amp;Y36</f>
        <v>2.0</v>
      </c>
      <c r="AC36" s="463"/>
      <c r="AD36" s="280" t="s">
        <v>810</v>
      </c>
      <c r="AE36" s="1872">
        <f>AE37*AE38</f>
        <v>0</v>
      </c>
      <c r="AF36" s="1665"/>
      <c r="AG36" s="1665"/>
      <c r="AH36" s="1872">
        <f>AH37*AH38</f>
        <v>0</v>
      </c>
      <c r="AI36" s="1665"/>
      <c r="AJ36" s="1665"/>
      <c r="AK36" s="1665"/>
      <c r="AL36" s="1665"/>
      <c r="AM36" s="1665"/>
      <c r="AN36" s="1665"/>
      <c r="AO36" s="1665"/>
      <c r="AP36" s="1665"/>
      <c r="AQ36" s="1665"/>
      <c r="AR36" s="1665"/>
      <c r="AS36" s="1872">
        <f>AS37*AS38</f>
        <v>0</v>
      </c>
      <c r="AT36" s="1872">
        <f>AT37*AT38</f>
        <v>0</v>
      </c>
      <c r="AU36" s="1872">
        <f>AU37*AU38</f>
        <v>0</v>
      </c>
      <c r="AV36" s="1872">
        <f>AV37*AV38</f>
        <v>0</v>
      </c>
      <c r="AW36" s="1872">
        <f>AW37*AW38</f>
        <v>0</v>
      </c>
      <c r="AX36" s="1872">
        <f>AX37*AX38</f>
        <v>0</v>
      </c>
      <c r="AY36" s="1872">
        <f>AY37*AY38</f>
        <v>0</v>
      </c>
      <c r="AZ36" s="1872">
        <f>AZ37*AZ38</f>
        <v>0</v>
      </c>
      <c r="BA36" s="1872">
        <f>BA37*BA38</f>
        <v>0</v>
      </c>
      <c r="BB36" s="1872">
        <f>BB37*BB38</f>
        <v>0</v>
      </c>
      <c r="BC36" s="1719"/>
      <c r="BF36" s="1224" t="s">
        <v>1191</v>
      </c>
      <c r="BG36" s="1224" t="s">
        <v>1192</v>
      </c>
      <c r="BH36" s="1224" cm="1" t="str">
        <f t="array" ref="BH36:BH36">AC36</f>
        <v>0</v>
      </c>
      <c r="BI36" s="1224" cm="1" t="str">
        <f t="array" ref="BI36:BI36">AD38</f>
        <v>тыс.куб.м</v>
      </c>
      <c r="BK36" s="1225" t="b">
        <v>1</v>
      </c>
    </row>
    <row s="1390" customFormat="1" customHeight="1" ht="16.575" hidden="1">
      <c r="E37" s="797">
        <v>17</v>
      </c>
      <c r="F37" s="922" cm="1" t="str">
        <f t="array" ref="F37:F37">F35</f>
        <v>0</v>
      </c>
      <c r="G37" s="193" t="s">
        <v>201</v>
      </c>
      <c r="H37" s="155" cm="1" t="str">
        <f t="array" ref="H37:H37">H36</f>
        <v>0</v>
      </c>
      <c r="T37" s="819" cm="1" t="str">
        <f t="array" ref="T37:T37">T36</f>
        <v>false</v>
      </c>
      <c r="AA37" s="1536"/>
      <c r="AB37" s="288" t="str">
        <f>AB36&amp;".1"</f>
        <v>2.0.1</v>
      </c>
      <c r="AC37" s="294" t="s">
        <v>946</v>
      </c>
      <c r="AD37" s="106" t="s">
        <v>245</v>
      </c>
      <c r="AE37" s="61"/>
      <c r="AF37" s="335">
        <f>IF(AF38=0,0,AF36/AF38)</f>
        <v>0</v>
      </c>
      <c r="AG37" s="335">
        <f>IF(AG38=0,0,AG36/AG38)</f>
        <v>0</v>
      </c>
      <c r="AH37" s="61"/>
      <c r="AI37" s="335">
        <f>IF(AI38=0,0,AI36/AI38)</f>
        <v>0</v>
      </c>
      <c r="AJ37" s="335">
        <f>IF(AJ38=0,0,AJ36/AJ38)</f>
        <v>0</v>
      </c>
      <c r="AK37" s="335">
        <f>IF(AK38=0,0,AK36/AK38)</f>
        <v>0</v>
      </c>
      <c r="AL37" s="335">
        <f>IF(AL38=0,0,AL36/AL38)</f>
        <v>0</v>
      </c>
      <c r="AM37" s="335">
        <f>IF(AM38=0,0,AM36/AM38)</f>
        <v>0</v>
      </c>
      <c r="AN37" s="335">
        <f>IF(AN38=0,0,AN36/AN38)</f>
        <v>0</v>
      </c>
      <c r="AO37" s="335">
        <f>IF(AO38=0,0,AO36/AO38)</f>
        <v>0</v>
      </c>
      <c r="AP37" s="335">
        <f>IF(AP38=0,0,AP36/AP38)</f>
        <v>0</v>
      </c>
      <c r="AQ37" s="335">
        <f>IF(AQ38=0,0,AQ36/AQ38)</f>
        <v>0</v>
      </c>
      <c r="AR37" s="335">
        <f>IF(AR38=0,0,AR36/AR38)</f>
        <v>0</v>
      </c>
      <c r="AS37" s="1665"/>
      <c r="AT37" s="61"/>
      <c r="AU37" s="61"/>
      <c r="AV37" s="61"/>
      <c r="AW37" s="61"/>
      <c r="AX37" s="61"/>
      <c r="AY37" s="61"/>
      <c r="AZ37" s="61"/>
      <c r="BA37" s="61"/>
      <c r="BB37" s="61"/>
      <c r="BC37" s="73"/>
      <c r="BF37" s="1224" t="s">
        <v>1193</v>
      </c>
      <c r="BG37" s="1224" t="s">
        <v>1192</v>
      </c>
      <c r="BH37" s="1224" cm="1" t="str">
        <f t="array" ref="BH37:BH37">BH36</f>
        <v>0</v>
      </c>
      <c r="BI37" s="1224" cm="1" t="str">
        <f t="array" ref="BI37:BI37">BI36</f>
        <v>тыс.куб.м</v>
      </c>
      <c r="BJ37" s="1225"/>
      <c r="BK37" s="1225"/>
    </row>
    <row customHeight="1" ht="16.575" hidden="1">
      <c r="A38" s="1125" t="str">
        <f>"checkVolume_2."&amp;F38&amp;"."&amp;Y36</f>
        <v>checkVolume_2.0.0</v>
      </c>
      <c r="E38" s="797">
        <v>17</v>
      </c>
      <c r="F38" s="922" cm="1" t="str">
        <f t="array" ref="F38:F38">F36</f>
        <v>0</v>
      </c>
      <c r="G38" s="193" t="s">
        <v>201</v>
      </c>
      <c r="H38" s="155" cm="1" t="str">
        <f t="array" ref="H38:H38">H36</f>
        <v>0</v>
      </c>
      <c r="T38" s="819" cm="1" t="str">
        <f t="array" ref="T38:T38">T36</f>
        <v>false</v>
      </c>
      <c r="AA38" s="1536"/>
      <c r="AB38" s="288" t="str">
        <f>AB36&amp;".2"</f>
        <v>2.0.2</v>
      </c>
      <c r="AC38" s="294" t="s">
        <v>1186</v>
      </c>
      <c r="AD38" s="106" t="s">
        <v>1004</v>
      </c>
      <c r="AE38" s="61"/>
      <c r="AF38" s="61"/>
      <c r="AG38" s="61"/>
      <c r="AH38" s="61"/>
      <c r="AI38" s="1665"/>
      <c r="AJ38" s="61"/>
      <c r="AK38" s="61"/>
      <c r="AL38" s="61"/>
      <c r="AM38" s="61"/>
      <c r="AN38" s="61"/>
      <c r="AO38" s="61"/>
      <c r="AP38" s="61"/>
      <c r="AQ38" s="61"/>
      <c r="AR38" s="61"/>
      <c r="AS38" s="1665"/>
      <c r="AT38" s="61"/>
      <c r="AU38" s="61"/>
      <c r="AV38" s="61"/>
      <c r="AW38" s="61"/>
      <c r="AX38" s="61"/>
      <c r="AY38" s="61"/>
      <c r="AZ38" s="61"/>
      <c r="BA38" s="61"/>
      <c r="BB38" s="61"/>
      <c r="BC38" s="73"/>
      <c r="BF38" s="1224" t="s">
        <v>1194</v>
      </c>
      <c r="BG38" s="1224" t="s">
        <v>1192</v>
      </c>
      <c r="BH38" s="1224" cm="1" t="str">
        <f t="array" ref="BH38:BH38">BH36</f>
        <v>0</v>
      </c>
      <c r="BI38" s="1224" cm="1" t="str">
        <f t="array" ref="BI38:BI38">BI36</f>
        <v>тыс.куб.м</v>
      </c>
    </row>
    <row customHeight="1" ht="16.575" hidden="1">
      <c r="E39" s="797">
        <v>17</v>
      </c>
      <c r="F39" s="922" cm="1" t="str">
        <f t="array" ref="F39:F39">F35</f>
        <v>0</v>
      </c>
      <c r="G39" s="193" t="str">
        <f>F39&amp;"pIns5"</f>
        <v>0pIns5</v>
      </c>
      <c r="T39" s="819">
        <f>F39&gt;0</f>
        <v>0</v>
      </c>
      <c r="W39" s="374" t="s">
        <v>1195</v>
      </c>
      <c r="AB39" s="302"/>
      <c r="AC39" s="303" t="s">
        <v>982</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1101"/>
      <c r="BF39" s="1224" t="str">
        <f>IF(AND(ISNUMBER(VALUE(TRIM(SUBSTITUTE(AB39,".","")))),TRIM(SUBSTITUTE(AB39,".",""))&lt;&gt;""),"P"&amp;SUBSTITUTE(AB39,".",""),"")</f>
        <v/>
      </c>
      <c r="BJ39" s="1225" t="s">
        <v>1192</v>
      </c>
    </row>
    <row customHeight="1" ht="16.575" hidden="1">
      <c r="E40" s="797">
        <v>17</v>
      </c>
      <c r="F40" s="922" cm="1" t="str">
        <f t="array" ref="F40:F40">F39</f>
        <v>0</v>
      </c>
      <c r="G40" s="193" t="s">
        <v>1196</v>
      </c>
      <c r="T40" s="819">
        <f>F40&gt;0</f>
        <v>0</v>
      </c>
      <c r="AB40" s="286">
        <v>3</v>
      </c>
      <c r="AC40" s="281" t="s">
        <v>1197</v>
      </c>
      <c r="AD40" s="280" t="s">
        <v>810</v>
      </c>
      <c r="AE40" s="282">
        <f>SUMIF($AD41:$AD45,$AD40,AE41:AE45)</f>
        <v>0</v>
      </c>
      <c r="AF40" s="282">
        <f>SUMIF($AD41:$AD45,$AD40,AF41:AF45)</f>
        <v>0</v>
      </c>
      <c r="AG40" s="282">
        <f>SUMIF($AD41:$AD45,$AD40,AG41:AG45)</f>
        <v>0</v>
      </c>
      <c r="AH40" s="282">
        <f>SUMIF($AD41:$AD45,$AD40,AH41:AH45)</f>
        <v>0</v>
      </c>
      <c r="AI40" s="282">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2">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4" t="s">
        <v>1198</v>
      </c>
    </row>
    <row customHeight="1" ht="0.19499999999999998" hidden="1">
      <c r="E41" s="797">
        <v>0.2</v>
      </c>
      <c r="F41" s="922" cm="1" t="str">
        <f t="array" ref="F41:F41">F40</f>
        <v>0</v>
      </c>
      <c r="T41" s="819" t="b">
        <v>0</v>
      </c>
      <c r="AB41" s="286"/>
      <c r="AC41" s="281"/>
      <c r="AD41" s="280"/>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93"/>
      <c r="BF41" s="1224" t="str">
        <f>IF(AND(ISNUMBER(VALUE(TRIM(SUBSTITUTE(AB41,".","")))),TRIM(SUBSTITUTE(AB41,".",""))&lt;&gt;""),"P"&amp;SUBSTITUTE(AB41,".",""),"")</f>
        <v/>
      </c>
    </row>
    <row customHeight="1" ht="22.23" hidden="1">
      <c r="A42" s="1125" t="str">
        <f>"checkCosts_3."&amp;F42&amp;"."&amp;Y42</f>
        <v>checkCosts_3.0.0</v>
      </c>
      <c r="E42" s="797">
        <v>22.8</v>
      </c>
      <c r="F42" s="922" cm="1" t="str">
        <f t="array" ref="F42:F42">OFFSET(G42,-1,-1)</f>
        <v>0</v>
      </c>
      <c r="G42" s="193" t="s">
        <v>1196</v>
      </c>
      <c r="H42" s="155" cm="1" t="str">
        <f t="array" ref="H42:H42">AC42</f>
        <v>0</v>
      </c>
      <c r="T42" s="819">
        <f>AND(F42&gt;0,Y42&gt;0)</f>
        <v>0</v>
      </c>
      <c r="W42" s="159" t="s">
        <v>234</v>
      </c>
      <c r="Y42" s="159">
        <v>0</v>
      </c>
      <c r="AA42" s="1536" t="s">
        <v>218</v>
      </c>
      <c r="AB42" s="288" t="str">
        <f>"3."&amp;Y42</f>
        <v>3.0</v>
      </c>
      <c r="AC42" s="54"/>
      <c r="AD42" s="280" t="s">
        <v>810</v>
      </c>
      <c r="AE42" s="1872">
        <f>AE43*AE44</f>
        <v>0</v>
      </c>
      <c r="AF42" s="1665"/>
      <c r="AG42" s="1665"/>
      <c r="AH42" s="1872">
        <f>AH43*AH44</f>
        <v>0</v>
      </c>
      <c r="AI42" s="1665"/>
      <c r="AJ42" s="1665"/>
      <c r="AK42" s="1665"/>
      <c r="AL42" s="1665"/>
      <c r="AM42" s="1665"/>
      <c r="AN42" s="1665"/>
      <c r="AO42" s="1665"/>
      <c r="AP42" s="1665"/>
      <c r="AQ42" s="1665"/>
      <c r="AR42" s="1665"/>
      <c r="AS42" s="1872">
        <f>AS43*AS44</f>
        <v>0</v>
      </c>
      <c r="AT42" s="1872">
        <f>AT43*AT44</f>
        <v>0</v>
      </c>
      <c r="AU42" s="1872">
        <f>AU43*AU44</f>
        <v>0</v>
      </c>
      <c r="AV42" s="1872">
        <f>AV43*AV44</f>
        <v>0</v>
      </c>
      <c r="AW42" s="1872">
        <f>AW43*AW44</f>
        <v>0</v>
      </c>
      <c r="AX42" s="1872">
        <f>AX43*AX44</f>
        <v>0</v>
      </c>
      <c r="AY42" s="1872">
        <f>AY43*AY44</f>
        <v>0</v>
      </c>
      <c r="AZ42" s="1872">
        <f>AZ43*AZ44</f>
        <v>0</v>
      </c>
      <c r="BA42" s="1872">
        <f>BA43*BA44</f>
        <v>0</v>
      </c>
      <c r="BB42" s="1872">
        <f>BB43*BB44</f>
        <v>0</v>
      </c>
      <c r="BC42" s="1719"/>
      <c r="BF42" s="1224" t="s">
        <v>1199</v>
      </c>
      <c r="BG42" s="1224" t="s">
        <v>1200</v>
      </c>
      <c r="BH42" s="1224" cm="1" t="str">
        <f t="array" ref="BH42:BH42">AC42</f>
        <v>0</v>
      </c>
      <c r="BI42" s="1224" cm="1" t="str">
        <f t="array" ref="BI42:BI42">AD44</f>
        <v>0</v>
      </c>
      <c r="BK42" s="1225" t="b">
        <v>1</v>
      </c>
    </row>
    <row s="1390" customFormat="1" customHeight="1" ht="16.575" hidden="1">
      <c r="E43" s="797">
        <v>17</v>
      </c>
      <c r="F43" s="922" cm="1" t="str">
        <f t="array" ref="F43:F43">F41</f>
        <v>0</v>
      </c>
      <c r="G43" s="193" t="s">
        <v>269</v>
      </c>
      <c r="H43" s="155" cm="1" t="str">
        <f t="array" ref="H43:H43">H42</f>
        <v>0</v>
      </c>
      <c r="T43" s="819" cm="1" t="str">
        <f t="array" ref="T43:T43">T42</f>
        <v>false</v>
      </c>
      <c r="AA43" s="1536"/>
      <c r="AB43" s="288" t="str">
        <f>AB42&amp;".1"</f>
        <v>3.0.1</v>
      </c>
      <c r="AC43" s="294" t="s">
        <v>946</v>
      </c>
      <c r="AD43" s="106" t="s">
        <v>245</v>
      </c>
      <c r="AE43" s="61"/>
      <c r="AF43" s="335">
        <f>IF(AF44=0,0,AF42/AF44)</f>
        <v>0</v>
      </c>
      <c r="AG43" s="335">
        <f>IF(AG44=0,0,AG42/AG44)</f>
        <v>0</v>
      </c>
      <c r="AH43" s="61"/>
      <c r="AI43" s="335">
        <f>IF(AI44=0,0,AI42/AI44)</f>
        <v>0</v>
      </c>
      <c r="AJ43" s="335">
        <f>IF(AJ44=0,0,AJ42/AJ44)</f>
        <v>0</v>
      </c>
      <c r="AK43" s="335">
        <f>IF(AK44=0,0,AK42/AK44)</f>
        <v>0</v>
      </c>
      <c r="AL43" s="335">
        <f>IF(AL44=0,0,AL42/AL44)</f>
        <v>0</v>
      </c>
      <c r="AM43" s="335">
        <f>IF(AM44=0,0,AM42/AM44)</f>
        <v>0</v>
      </c>
      <c r="AN43" s="335">
        <f>IF(AN44=0,0,AN42/AN44)</f>
        <v>0</v>
      </c>
      <c r="AO43" s="335">
        <f>IF(AO44=0,0,AO42/AO44)</f>
        <v>0</v>
      </c>
      <c r="AP43" s="335">
        <f>IF(AP44=0,0,AP42/AP44)</f>
        <v>0</v>
      </c>
      <c r="AQ43" s="335">
        <f>IF(AQ44=0,0,AQ42/AQ44)</f>
        <v>0</v>
      </c>
      <c r="AR43" s="335">
        <f>IF(AR44=0,0,AR42/AR44)</f>
        <v>0</v>
      </c>
      <c r="AS43" s="1665"/>
      <c r="AT43" s="61"/>
      <c r="AU43" s="61"/>
      <c r="AV43" s="61"/>
      <c r="AW43" s="61"/>
      <c r="AX43" s="61"/>
      <c r="AY43" s="61"/>
      <c r="AZ43" s="61"/>
      <c r="BA43" s="61"/>
      <c r="BB43" s="61"/>
      <c r="BC43" s="73"/>
      <c r="BF43" s="1224" t="s">
        <v>1201</v>
      </c>
      <c r="BG43" s="1224" t="s">
        <v>1200</v>
      </c>
      <c r="BH43" s="1224" cm="1" t="str">
        <f t="array" ref="BH43:BH43">BH42</f>
        <v>0</v>
      </c>
      <c r="BI43" s="1224" cm="1" t="str">
        <f t="array" ref="BI43:BI43">BI42</f>
        <v>0</v>
      </c>
      <c r="BJ43" s="1225"/>
      <c r="BK43" s="1225"/>
    </row>
    <row customHeight="1" ht="16.575" hidden="1">
      <c r="A44" s="1125" t="str">
        <f>"checkVolume_3."&amp;F44&amp;"."&amp;Y42</f>
        <v>checkVolume_3.0.0</v>
      </c>
      <c r="E44" s="797">
        <v>17</v>
      </c>
      <c r="F44" s="922" cm="1" t="str">
        <f t="array" ref="F44:F44">F42</f>
        <v>0</v>
      </c>
      <c r="G44" s="193" t="s">
        <v>269</v>
      </c>
      <c r="H44" s="155" cm="1" t="str">
        <f t="array" ref="H44:H44">H42</f>
        <v>0</v>
      </c>
      <c r="T44" s="819" cm="1" t="str">
        <f t="array" ref="T44:T44">T42</f>
        <v>false</v>
      </c>
      <c r="AA44" s="1536"/>
      <c r="AB44" s="288" t="str">
        <f>AB42&amp;".2"</f>
        <v>3.0.2</v>
      </c>
      <c r="AC44" s="294" t="s">
        <v>1186</v>
      </c>
      <c r="AD44" s="106"/>
      <c r="AE44" s="61"/>
      <c r="AF44" s="61"/>
      <c r="AG44" s="61"/>
      <c r="AH44" s="61"/>
      <c r="AI44" s="1665"/>
      <c r="AJ44" s="61"/>
      <c r="AK44" s="61"/>
      <c r="AL44" s="61"/>
      <c r="AM44" s="61"/>
      <c r="AN44" s="61"/>
      <c r="AO44" s="61"/>
      <c r="AP44" s="61"/>
      <c r="AQ44" s="61"/>
      <c r="AR44" s="61"/>
      <c r="AS44" s="1665"/>
      <c r="AT44" s="61"/>
      <c r="AU44" s="61"/>
      <c r="AV44" s="61"/>
      <c r="AW44" s="61"/>
      <c r="AX44" s="61"/>
      <c r="AY44" s="61"/>
      <c r="AZ44" s="61"/>
      <c r="BA44" s="61"/>
      <c r="BB44" s="61"/>
      <c r="BC44" s="73"/>
      <c r="BF44" s="1224" t="s">
        <v>1202</v>
      </c>
      <c r="BG44" s="1224" t="s">
        <v>1200</v>
      </c>
      <c r="BH44" s="1224" cm="1" t="str">
        <f t="array" ref="BH44:BH44">BH42</f>
        <v>0</v>
      </c>
      <c r="BI44" s="1224" cm="1" t="str">
        <f t="array" ref="BI44:BI44">BI42</f>
        <v>0</v>
      </c>
    </row>
    <row customHeight="1" ht="16.575" hidden="1">
      <c r="E45" s="797">
        <v>17</v>
      </c>
      <c r="F45" s="922" cm="1" t="str">
        <f t="array" ref="F45:F45">F41</f>
        <v>0</v>
      </c>
      <c r="G45" s="193" t="str">
        <f>F45&amp;"pIns5"</f>
        <v>0pIns5</v>
      </c>
      <c r="T45" s="819">
        <f>F45&gt;0</f>
        <v>0</v>
      </c>
      <c r="W45" s="374" t="s">
        <v>1203</v>
      </c>
      <c r="AB45" s="302"/>
      <c r="AC45" s="303" t="s">
        <v>982</v>
      </c>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1101"/>
      <c r="BJ45" s="1225" t="s">
        <v>1200</v>
      </c>
    </row>
    <row s="1632" customFormat="1" customHeight="1" ht="10.5">
      <c r="A46" s="1428"/>
      <c r="B46" s="927"/>
      <c r="C46" s="1428"/>
      <c r="D46" s="1428"/>
      <c r="E46" s="797">
        <v>11.4</v>
      </c>
      <c r="F46" s="922" cm="1" t="str">
        <f t="array" ref="F46:F46">X46</f>
        <v>1</v>
      </c>
      <c r="G46" s="193" t="s">
        <v>1183</v>
      </c>
      <c r="H46" s="1535"/>
      <c r="I46" s="1535"/>
      <c r="J46" s="1535"/>
      <c r="K46" s="1535"/>
      <c r="L46" s="1535"/>
      <c r="M46" s="1535"/>
      <c r="N46" s="1535"/>
      <c r="O46" s="1535"/>
      <c r="P46" s="1535"/>
      <c r="Q46" s="193"/>
      <c r="R46" s="193"/>
      <c r="S46" s="1535"/>
      <c r="T46" s="819">
        <f>X46&gt;0</f>
        <v>1</v>
      </c>
      <c r="U46" s="1443"/>
      <c r="V46" s="175" cm="1" t="str">
        <f t="array" ref="V46:V46">Аренда!$AB$39</f>
        <v>Тариф 1 (Теплоснабжение) - Тариф на тепловую энергию (мощность), поставляемую потребителям (Не определено)</v>
      </c>
      <c r="W46" s="1443"/>
      <c r="X46" s="159" t="s">
        <v>336</v>
      </c>
      <c r="Y46" s="1443"/>
      <c r="Z46" s="1443"/>
      <c r="AA46" s="223"/>
      <c r="AB46" s="290" cm="1" t="str">
        <f t="array" ref="AB46:AB46">IF(ISBLANK(Аренда!$AB$39),"",Аренда!$AB$39)</f>
        <v>Тариф 1 (Теплоснабжение) - Тариф на тепловую энергию (мощность), поставляемую потребителям (Не определено)</v>
      </c>
      <c r="AC46" s="260"/>
      <c r="AD46" s="260"/>
      <c r="AE46" s="380">
        <f>AE47+AE53+AE59</f>
        <v>0</v>
      </c>
      <c r="AF46" s="380">
        <f>AF47+AF53+AF59</f>
        <v>0</v>
      </c>
      <c r="AG46" s="380">
        <f>AG47+AG53+AG59</f>
        <v>0</v>
      </c>
      <c r="AH46" s="380">
        <f>AH47+AH53+AH59</f>
        <v>0</v>
      </c>
      <c r="AI46" s="380">
        <f>AI47+AI53+AI59</f>
        <v>0</v>
      </c>
      <c r="AJ46" s="380">
        <f>AJ47+AJ53+AJ59</f>
        <v>0</v>
      </c>
      <c r="AK46" s="380">
        <f>AK47+AK53+AK59</f>
        <v>0</v>
      </c>
      <c r="AL46" s="380">
        <f>AL47+AL53+AL59</f>
        <v>0</v>
      </c>
      <c r="AM46" s="380">
        <f>AM47+AM53+AM59</f>
        <v>0</v>
      </c>
      <c r="AN46" s="380">
        <f>AN47+AN53+AN59</f>
        <v>0</v>
      </c>
      <c r="AO46" s="380">
        <f>AO47+AO53+AO59</f>
        <v>0</v>
      </c>
      <c r="AP46" s="380">
        <f>AP47+AP53+AP59</f>
        <v>0</v>
      </c>
      <c r="AQ46" s="380">
        <f>AQ47+AQ53+AQ59</f>
        <v>0</v>
      </c>
      <c r="AR46" s="380">
        <f>AR47+AR53+AR59</f>
        <v>0</v>
      </c>
      <c r="AS46" s="380">
        <f>AS47+AS53+AS59</f>
        <v>0</v>
      </c>
      <c r="AT46" s="380">
        <f>AT47+AT53+AT59</f>
        <v>0</v>
      </c>
      <c r="AU46" s="380">
        <f>AU47+AU53+AU59</f>
        <v>0</v>
      </c>
      <c r="AV46" s="380">
        <f>AV47+AV53+AV59</f>
        <v>0</v>
      </c>
      <c r="AW46" s="380">
        <f>AW47+AW53+AW59</f>
        <v>0</v>
      </c>
      <c r="AX46" s="380">
        <f>AX47+AX53+AX59</f>
        <v>0</v>
      </c>
      <c r="AY46" s="380">
        <f>AY47+AY53+AY59</f>
        <v>0</v>
      </c>
      <c r="AZ46" s="380">
        <f>AZ47+AZ53+AZ59</f>
        <v>0</v>
      </c>
      <c r="BA46" s="380">
        <f>BA47+BA53+BA59</f>
        <v>0</v>
      </c>
      <c r="BB46" s="380">
        <f>BB47+BB53+BB59</f>
        <v>0</v>
      </c>
      <c r="BC46" s="292"/>
      <c r="BD46" s="223"/>
      <c r="BE46" s="223"/>
      <c r="BF46" s="1224"/>
      <c r="BG46" s="1224"/>
      <c r="BH46" s="1224"/>
      <c r="BI46" s="1224"/>
      <c r="BJ46" s="1225"/>
      <c r="BK46" s="1225"/>
    </row>
    <row s="1632" customFormat="1" customHeight="1" ht="10.5">
      <c r="A47" s="1428"/>
      <c r="B47" s="927"/>
      <c r="C47" s="1428"/>
      <c r="D47" s="1428"/>
      <c r="E47" s="797">
        <v>11.4</v>
      </c>
      <c r="F47" s="922" cm="1" t="str">
        <f t="array" ref="F47:F47">F46</f>
        <v>1</v>
      </c>
      <c r="G47" s="193" t="s">
        <v>444</v>
      </c>
      <c r="H47" s="1535"/>
      <c r="I47" s="1535"/>
      <c r="J47" s="1535"/>
      <c r="K47" s="1535"/>
      <c r="L47" s="1535"/>
      <c r="M47" s="1535"/>
      <c r="N47" s="1535"/>
      <c r="O47" s="1535"/>
      <c r="P47" s="1535"/>
      <c r="Q47" s="193"/>
      <c r="R47" s="193"/>
      <c r="S47" s="1535"/>
      <c r="T47" s="819" cm="1" t="str">
        <f t="array" ref="T47:T47">T46</f>
        <v>true</v>
      </c>
      <c r="U47" s="1443"/>
      <c r="V47" s="1443"/>
      <c r="W47" s="1443"/>
      <c r="X47" s="1443"/>
      <c r="Y47" s="1443"/>
      <c r="Z47" s="1443"/>
      <c r="AA47" s="223"/>
      <c r="AB47" s="286">
        <v>1</v>
      </c>
      <c r="AC47" s="281" t="s">
        <v>1184</v>
      </c>
      <c r="AD47" s="280" t="s">
        <v>810</v>
      </c>
      <c r="AE47" s="282">
        <f>SUMIF($AD48:$AD52,$AD47,AE48:AE52)</f>
        <v>0</v>
      </c>
      <c r="AF47" s="282">
        <f>SUMIF($AD48:$AD52,$AD47,AF48:AF52)</f>
        <v>0</v>
      </c>
      <c r="AG47" s="282">
        <f>SUMIF($AD48:$AD52,$AD47,AG48:AG52)</f>
        <v>0</v>
      </c>
      <c r="AH47" s="282">
        <f>SUMIF($AD48:$AD52,$AD47,AH48:AH52)</f>
        <v>0</v>
      </c>
      <c r="AI47" s="282">
        <f>SUMIF($AD48:$AD52,$AD47,AI48:AI52)</f>
        <v>0</v>
      </c>
      <c r="AJ47" s="1880">
        <f>SUMIF($AD48:$AD52,$AD47,AJ48:AJ52)</f>
        <v>0</v>
      </c>
      <c r="AK47" s="1880">
        <f>SUMIF($AD48:$AD52,$AD47,AK48:AK52)</f>
        <v>0</v>
      </c>
      <c r="AL47" s="1880">
        <f>SUMIF($AD48:$AD52,$AD47,AL48:AL52)</f>
        <v>0</v>
      </c>
      <c r="AM47" s="1880">
        <f>SUMIF($AD48:$AD52,$AD47,AM48:AM52)</f>
        <v>0</v>
      </c>
      <c r="AN47" s="1880">
        <f>SUMIF($AD48:$AD52,$AD47,AN48:AN52)</f>
        <v>0</v>
      </c>
      <c r="AO47" s="1880">
        <f>SUMIF($AD48:$AD52,$AD47,AO48:AO52)</f>
        <v>0</v>
      </c>
      <c r="AP47" s="1880">
        <f>SUMIF($AD48:$AD52,$AD47,AP48:AP52)</f>
        <v>0</v>
      </c>
      <c r="AQ47" s="1880">
        <f>SUMIF($AD48:$AD52,$AD47,AQ48:AQ52)</f>
        <v>0</v>
      </c>
      <c r="AR47" s="1880">
        <f>SUMIF($AD48:$AD52,$AD47,AR48:AR52)</f>
        <v>0</v>
      </c>
      <c r="AS47" s="282">
        <f>SUMIF($AD48:$AD52,$AD47,AS48:AS52)</f>
        <v>0</v>
      </c>
      <c r="AT47" s="1880">
        <f>SUMIF($AD48:$AD52,$AD47,AT48:AT52)</f>
        <v>0</v>
      </c>
      <c r="AU47" s="1880">
        <f>SUMIF($AD48:$AD52,$AD47,AU48:AU52)</f>
        <v>0</v>
      </c>
      <c r="AV47" s="1880">
        <f>SUMIF($AD48:$AD52,$AD47,AV48:AV52)</f>
        <v>0</v>
      </c>
      <c r="AW47" s="1880">
        <f>SUMIF($AD48:$AD52,$AD47,AW48:AW52)</f>
        <v>0</v>
      </c>
      <c r="AX47" s="1880">
        <f>SUMIF($AD48:$AD52,$AD47,AX48:AX52)</f>
        <v>0</v>
      </c>
      <c r="AY47" s="1880">
        <f>SUMIF($AD48:$AD52,$AD47,AY48:AY52)</f>
        <v>0</v>
      </c>
      <c r="AZ47" s="1880">
        <f>SUMIF($AD48:$AD52,$AD47,AZ48:AZ52)</f>
        <v>0</v>
      </c>
      <c r="BA47" s="1880">
        <f>SUMIF($AD48:$AD52,$AD47,BA48:BA52)</f>
        <v>0</v>
      </c>
      <c r="BB47" s="1880">
        <f>SUMIF($AD48:$AD52,$AD47,BB48:BB52)</f>
        <v>0</v>
      </c>
      <c r="BC47" s="1719"/>
      <c r="BD47" s="223"/>
      <c r="BE47" s="223"/>
      <c r="BF47" s="1224" t="s">
        <v>1009</v>
      </c>
      <c r="BG47" s="1224"/>
      <c r="BH47" s="1224"/>
      <c r="BI47" s="1224"/>
      <c r="BJ47" s="1225"/>
      <c r="BK47" s="1225"/>
    </row>
    <row s="1632" customFormat="1" customHeight="1" ht="0" hidden="1">
      <c r="A48" s="1428"/>
      <c r="B48" s="927"/>
      <c r="C48" s="1428"/>
      <c r="D48" s="1428"/>
      <c r="E48" s="797">
        <v>0.2</v>
      </c>
      <c r="F48" s="922" cm="1" t="str">
        <f t="array" ref="F48:F48">F47</f>
        <v>1</v>
      </c>
      <c r="G48" s="1535"/>
      <c r="H48" s="1535"/>
      <c r="I48" s="1535"/>
      <c r="J48" s="1535"/>
      <c r="K48" s="1535"/>
      <c r="L48" s="1535"/>
      <c r="M48" s="1535"/>
      <c r="N48" s="1535"/>
      <c r="O48" s="1535"/>
      <c r="P48" s="1535"/>
      <c r="Q48" s="193"/>
      <c r="R48" s="193"/>
      <c r="S48" s="1535"/>
      <c r="T48" s="819" t="b">
        <v>0</v>
      </c>
      <c r="U48" s="1443"/>
      <c r="V48" s="1443"/>
      <c r="W48" s="1443"/>
      <c r="X48" s="1443"/>
      <c r="Y48" s="1443"/>
      <c r="Z48" s="1443"/>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224" t="str">
        <f>IF(AND(ISNUMBER(VALUE(TRIM(SUBSTITUTE(AB48,".","")))),TRIM(SUBSTITUTE(AB48,".",""))&lt;&gt;""),"P"&amp;SUBSTITUTE(AB48,".",""),"")</f>
        <v/>
      </c>
      <c r="BG48" s="1224"/>
      <c r="BH48" s="1224"/>
      <c r="BI48" s="1224"/>
      <c r="BJ48" s="1225"/>
      <c r="BK48" s="1225"/>
    </row>
    <row s="1632" customFormat="1" customHeight="1" ht="17.25" hidden="1">
      <c r="A49" s="1125" t="str">
        <f>"checkCosts_1."&amp;F49&amp;"."&amp;Y49</f>
        <v>checkCosts_1.1.0</v>
      </c>
      <c r="B49" s="927"/>
      <c r="C49" s="1428"/>
      <c r="D49" s="1428"/>
      <c r="E49" s="797">
        <v>18</v>
      </c>
      <c r="F49" s="922" cm="1" t="str">
        <f t="array" ref="F49:F49">OFFSET(G49,-1,-1)</f>
        <v>1</v>
      </c>
      <c r="G49" s="193" t="s">
        <v>444</v>
      </c>
      <c r="H49" s="155" cm="1" t="str">
        <f t="array" ref="H49:H49">AC49</f>
        <v>0</v>
      </c>
      <c r="I49" s="1535"/>
      <c r="J49" s="1535"/>
      <c r="K49" s="1535"/>
      <c r="L49" s="1535"/>
      <c r="M49" s="1535"/>
      <c r="N49" s="1535"/>
      <c r="O49" s="1535"/>
      <c r="P49" s="1535"/>
      <c r="Q49" s="193"/>
      <c r="R49" s="193"/>
      <c r="S49" s="1535"/>
      <c r="T49" s="819">
        <f>AND(F49&gt;0,Y49&gt;0)</f>
        <v>0</v>
      </c>
      <c r="U49" s="1443"/>
      <c r="V49" s="1443"/>
      <c r="W49" s="159" t="s">
        <v>234</v>
      </c>
      <c r="X49" s="1443"/>
      <c r="Y49" s="159">
        <v>0</v>
      </c>
      <c r="Z49" s="1443"/>
      <c r="AA49" s="1536" t="s">
        <v>218</v>
      </c>
      <c r="AB49" s="288" t="str">
        <f>"1."&amp;Y49</f>
        <v>1.0</v>
      </c>
      <c r="AC49" s="463"/>
      <c r="AD49" s="280" t="s">
        <v>810</v>
      </c>
      <c r="AE49" s="1872">
        <f>AE50*AE51/1000</f>
        <v>0</v>
      </c>
      <c r="AF49" s="1665"/>
      <c r="AG49" s="1665"/>
      <c r="AH49" s="1872">
        <f>AH50*AH51/1000</f>
        <v>0</v>
      </c>
      <c r="AI49" s="1665"/>
      <c r="AJ49" s="1665"/>
      <c r="AK49" s="1665"/>
      <c r="AL49" s="1665"/>
      <c r="AM49" s="1665"/>
      <c r="AN49" s="1665"/>
      <c r="AO49" s="1665"/>
      <c r="AP49" s="1665"/>
      <c r="AQ49" s="1665"/>
      <c r="AR49" s="1665"/>
      <c r="AS49" s="1872">
        <f>AS50*AS51/1000</f>
        <v>0</v>
      </c>
      <c r="AT49" s="1872">
        <f>AT50*AT51/1000</f>
        <v>0</v>
      </c>
      <c r="AU49" s="1872">
        <f>AU50*AU51/1000</f>
        <v>0</v>
      </c>
      <c r="AV49" s="1872">
        <f>AV50*AV51/1000</f>
        <v>0</v>
      </c>
      <c r="AW49" s="1872">
        <f>AW50*AW51/1000</f>
        <v>0</v>
      </c>
      <c r="AX49" s="1872">
        <f>AX50*AX51/1000</f>
        <v>0</v>
      </c>
      <c r="AY49" s="1872">
        <f>AY50*AY51/1000</f>
        <v>0</v>
      </c>
      <c r="AZ49" s="1872">
        <f>AZ50*AZ51/1000</f>
        <v>0</v>
      </c>
      <c r="BA49" s="1872">
        <f>BA50*BA51/1000</f>
        <v>0</v>
      </c>
      <c r="BB49" s="1872">
        <f>BB50*BB51/1000</f>
        <v>0</v>
      </c>
      <c r="BC49" s="1719"/>
      <c r="BD49" s="223"/>
      <c r="BE49" s="223"/>
      <c r="BF49" s="1224" t="s">
        <v>1010</v>
      </c>
      <c r="BG49" s="1224" t="s">
        <v>1185</v>
      </c>
      <c r="BH49" s="1224" cm="1" t="str">
        <f t="array" ref="BH49:BH49">AC49</f>
        <v>0</v>
      </c>
      <c r="BI49" s="1224" cm="1" t="str">
        <f t="array" ref="BI49:BI49">AD51</f>
        <v>Гкал</v>
      </c>
      <c r="BJ49" s="1225"/>
      <c r="BK49" s="1225" t="b">
        <v>1</v>
      </c>
    </row>
    <row s="1390" customFormat="1" customHeight="1" ht="16.5" hidden="1">
      <c r="A50" s="1390"/>
      <c r="B50" s="1390"/>
      <c r="C50" s="1390"/>
      <c r="D50" s="1390"/>
      <c r="E50" s="797">
        <v>17</v>
      </c>
      <c r="F50" s="922" cm="1" t="str">
        <f t="array" ref="F50:F50">F48</f>
        <v>1</v>
      </c>
      <c r="G50" s="193" t="s">
        <v>191</v>
      </c>
      <c r="H50" s="155" cm="1" t="str">
        <f t="array" ref="H50:H50">H49</f>
        <v>0</v>
      </c>
      <c r="I50" s="1390"/>
      <c r="J50" s="1390"/>
      <c r="K50" s="1390"/>
      <c r="L50" s="1390"/>
      <c r="M50" s="1390"/>
      <c r="N50" s="1390"/>
      <c r="O50" s="1390"/>
      <c r="P50" s="1390"/>
      <c r="Q50" s="1390"/>
      <c r="R50" s="1390"/>
      <c r="S50" s="1390"/>
      <c r="T50" s="819" cm="1" t="str">
        <f t="array" ref="T50:T50">T49</f>
        <v>false</v>
      </c>
      <c r="U50" s="1390"/>
      <c r="V50" s="1390"/>
      <c r="W50" s="1390"/>
      <c r="X50" s="1390"/>
      <c r="Y50" s="1390"/>
      <c r="Z50" s="1390"/>
      <c r="AA50" s="1536"/>
      <c r="AB50" s="288" t="str">
        <f>AB49&amp;".1"</f>
        <v>1.0.1</v>
      </c>
      <c r="AC50" s="294" t="s">
        <v>946</v>
      </c>
      <c r="AD50" s="106" t="s">
        <v>245</v>
      </c>
      <c r="AE50" s="61"/>
      <c r="AF50" s="335">
        <f>IF(AF51=0,0,AF49/AF51)*1000</f>
        <v>0</v>
      </c>
      <c r="AG50" s="335">
        <f>IF(AG51=0,0,AG49/AG51)*1000</f>
        <v>0</v>
      </c>
      <c r="AH50" s="61"/>
      <c r="AI50" s="335">
        <f>IF(AI51=0,0,AI49/AI51)*1000</f>
        <v>0</v>
      </c>
      <c r="AJ50" s="335">
        <f>IF(AJ51=0,0,AJ49/AJ51)*1000</f>
        <v>0</v>
      </c>
      <c r="AK50" s="335">
        <f>IF(AK51=0,0,AK49/AK51)*1000</f>
        <v>0</v>
      </c>
      <c r="AL50" s="335">
        <f>IF(AL51=0,0,AL49/AL51)*1000</f>
        <v>0</v>
      </c>
      <c r="AM50" s="335">
        <f>IF(AM51=0,0,AM49/AM51)*1000</f>
        <v>0</v>
      </c>
      <c r="AN50" s="335">
        <f>IF(AN51=0,0,AN49/AN51)*1000</f>
        <v>0</v>
      </c>
      <c r="AO50" s="335">
        <f>IF(AO51=0,0,AO49/AO51)*1000</f>
        <v>0</v>
      </c>
      <c r="AP50" s="335">
        <f>IF(AP51=0,0,AP49/AP51)*1000</f>
        <v>0</v>
      </c>
      <c r="AQ50" s="335">
        <f>IF(AQ51=0,0,AQ49/AQ51)*1000</f>
        <v>0</v>
      </c>
      <c r="AR50" s="335">
        <f>IF(AR51=0,0,AR49/AR51)*1000</f>
        <v>0</v>
      </c>
      <c r="AS50" s="1665"/>
      <c r="AT50" s="61"/>
      <c r="AU50" s="61"/>
      <c r="AV50" s="61"/>
      <c r="AW50" s="61"/>
      <c r="AX50" s="61"/>
      <c r="AY50" s="61"/>
      <c r="AZ50" s="61"/>
      <c r="BA50" s="61"/>
      <c r="BB50" s="61"/>
      <c r="BC50" s="73"/>
      <c r="BD50" s="1390"/>
      <c r="BE50" s="1390"/>
      <c r="BF50" s="1224" t="s">
        <v>1012</v>
      </c>
      <c r="BG50" s="1224" t="s">
        <v>1185</v>
      </c>
      <c r="BH50" s="1224" cm="1" t="str">
        <f t="array" ref="BH50:BH50">BH49</f>
        <v>0</v>
      </c>
      <c r="BI50" s="1224" cm="1" t="str">
        <f t="array" ref="BI50:BI50">BI49</f>
        <v>Гкал</v>
      </c>
      <c r="BJ50" s="1225"/>
      <c r="BK50" s="1225"/>
    </row>
    <row s="1632" customFormat="1" customHeight="1" ht="16.5" hidden="1">
      <c r="A51" s="1125" t="str">
        <f>"checkVolume_1."&amp;F51&amp;"."&amp;Y49</f>
        <v>checkVolume_1.1.0</v>
      </c>
      <c r="B51" s="927"/>
      <c r="C51" s="1428"/>
      <c r="D51" s="1428"/>
      <c r="E51" s="797">
        <v>17</v>
      </c>
      <c r="F51" s="922" cm="1" t="str">
        <f t="array" ref="F51:F51">F49</f>
        <v>1</v>
      </c>
      <c r="G51" s="193" t="s">
        <v>191</v>
      </c>
      <c r="H51" s="155" cm="1" t="str">
        <f t="array" ref="H51:H51">H49</f>
        <v>0</v>
      </c>
      <c r="I51" s="1535"/>
      <c r="J51" s="1535"/>
      <c r="K51" s="1535"/>
      <c r="L51" s="1535"/>
      <c r="M51" s="1535"/>
      <c r="N51" s="1535"/>
      <c r="O51" s="1535"/>
      <c r="P51" s="1535"/>
      <c r="Q51" s="193"/>
      <c r="R51" s="193"/>
      <c r="S51" s="1535"/>
      <c r="T51" s="819" cm="1" t="str">
        <f t="array" ref="T51:T51">T49</f>
        <v>false</v>
      </c>
      <c r="U51" s="1443"/>
      <c r="V51" s="1443"/>
      <c r="W51" s="1443"/>
      <c r="X51" s="1443"/>
      <c r="Y51" s="1443"/>
      <c r="Z51" s="1443"/>
      <c r="AA51" s="1536"/>
      <c r="AB51" s="288" t="str">
        <f>AB49&amp;".2"</f>
        <v>1.0.2</v>
      </c>
      <c r="AC51" s="294" t="s">
        <v>1186</v>
      </c>
      <c r="AD51" s="106" t="s">
        <v>599</v>
      </c>
      <c r="AE51" s="61"/>
      <c r="AF51" s="61"/>
      <c r="AG51" s="61"/>
      <c r="AH51" s="61"/>
      <c r="AI51" s="1665"/>
      <c r="AJ51" s="61"/>
      <c r="AK51" s="61"/>
      <c r="AL51" s="61"/>
      <c r="AM51" s="61"/>
      <c r="AN51" s="61"/>
      <c r="AO51" s="61"/>
      <c r="AP51" s="61"/>
      <c r="AQ51" s="61"/>
      <c r="AR51" s="61"/>
      <c r="AS51" s="1665"/>
      <c r="AT51" s="61"/>
      <c r="AU51" s="61"/>
      <c r="AV51" s="61"/>
      <c r="AW51" s="61"/>
      <c r="AX51" s="61"/>
      <c r="AY51" s="61"/>
      <c r="AZ51" s="61"/>
      <c r="BA51" s="61"/>
      <c r="BB51" s="61"/>
      <c r="BC51" s="73"/>
      <c r="BD51" s="223"/>
      <c r="BE51" s="223"/>
      <c r="BF51" s="1224" t="s">
        <v>1014</v>
      </c>
      <c r="BG51" s="1224" t="s">
        <v>1185</v>
      </c>
      <c r="BH51" s="1224" cm="1" t="str">
        <f t="array" ref="BH51:BH51">BH49</f>
        <v>0</v>
      </c>
      <c r="BI51" s="1224" cm="1" t="str">
        <f t="array" ref="BI51:BI51">BI49</f>
        <v>Гкал</v>
      </c>
      <c r="BJ51" s="1225"/>
      <c r="BK51" s="1225"/>
    </row>
    <row s="1632" customFormat="1" customHeight="1" ht="16.5">
      <c r="A52" s="1428"/>
      <c r="B52" s="927"/>
      <c r="C52" s="1428"/>
      <c r="D52" s="1428"/>
      <c r="E52" s="797">
        <v>17</v>
      </c>
      <c r="F52" s="922" cm="1" t="str">
        <f t="array" ref="F52:F52">F48</f>
        <v>1</v>
      </c>
      <c r="G52" s="193" t="str">
        <f>F52&amp;"pIns3"</f>
        <v>1pIns3</v>
      </c>
      <c r="H52" s="1535"/>
      <c r="I52" s="1535"/>
      <c r="J52" s="1535"/>
      <c r="K52" s="1535"/>
      <c r="L52" s="1535"/>
      <c r="M52" s="1535"/>
      <c r="N52" s="1535"/>
      <c r="O52" s="1535"/>
      <c r="P52" s="1535"/>
      <c r="Q52" s="193"/>
      <c r="R52" s="193"/>
      <c r="S52" s="1535"/>
      <c r="T52" s="819">
        <f>F52&gt;0</f>
        <v>1</v>
      </c>
      <c r="U52" s="1443"/>
      <c r="V52" s="1443"/>
      <c r="W52" s="374" t="s">
        <v>1187</v>
      </c>
      <c r="X52" s="1443"/>
      <c r="Y52" s="1443"/>
      <c r="Z52" s="1443"/>
      <c r="AA52" s="223"/>
      <c r="AB52" s="302"/>
      <c r="AC52" s="303" t="s">
        <v>982</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101"/>
      <c r="BD52" s="223"/>
      <c r="BE52" s="223"/>
      <c r="BF52" s="1224" t="str">
        <f>IF(AND(ISNUMBER(VALUE(TRIM(SUBSTITUTE(AB52,".","")))),TRIM(SUBSTITUTE(AB52,".",""))&lt;&gt;""),"P"&amp;SUBSTITUTE(AB52,".",""),"")</f>
        <v/>
      </c>
      <c r="BG52" s="1224"/>
      <c r="BH52" s="1224"/>
      <c r="BI52" s="1224"/>
      <c r="BJ52" s="1225" t="s">
        <v>1185</v>
      </c>
      <c r="BK52" s="1225"/>
    </row>
    <row s="1632" customFormat="1" customHeight="1" ht="16.5">
      <c r="A53" s="1428"/>
      <c r="B53" s="927"/>
      <c r="C53" s="1428"/>
      <c r="D53" s="1428"/>
      <c r="E53" s="797">
        <v>17</v>
      </c>
      <c r="F53" s="922" cm="1" t="str">
        <f t="array" ref="F53:F53">F52</f>
        <v>1</v>
      </c>
      <c r="G53" s="193" t="s">
        <v>1188</v>
      </c>
      <c r="H53" s="1535"/>
      <c r="I53" s="1535"/>
      <c r="J53" s="1535"/>
      <c r="K53" s="1535"/>
      <c r="L53" s="1535"/>
      <c r="M53" s="1535"/>
      <c r="N53" s="1535"/>
      <c r="O53" s="1535"/>
      <c r="P53" s="1535"/>
      <c r="Q53" s="193"/>
      <c r="R53" s="193"/>
      <c r="S53" s="1535"/>
      <c r="T53" s="819">
        <f>F53&gt;0</f>
        <v>1</v>
      </c>
      <c r="U53" s="1443"/>
      <c r="V53" s="1443"/>
      <c r="W53" s="1443"/>
      <c r="X53" s="1443"/>
      <c r="Y53" s="1443"/>
      <c r="Z53" s="1443"/>
      <c r="AA53" s="223"/>
      <c r="AB53" s="286">
        <v>2</v>
      </c>
      <c r="AC53" s="281" t="s">
        <v>1189</v>
      </c>
      <c r="AD53" s="280" t="s">
        <v>810</v>
      </c>
      <c r="AE53" s="282">
        <f>SUMIF($AD54:$AD58,$AD53,AE54:AE58)</f>
        <v>0</v>
      </c>
      <c r="AF53" s="282">
        <f>SUMIF($AD54:$AD58,$AD53,AF54:AF58)</f>
        <v>0</v>
      </c>
      <c r="AG53" s="282">
        <f>SUMIF($AD54:$AD58,$AD53,AG54:AG58)</f>
        <v>0</v>
      </c>
      <c r="AH53" s="282">
        <f>SUMIF($AD54:$AD58,$AD53,AH54:AH58)</f>
        <v>0</v>
      </c>
      <c r="AI53" s="282">
        <f>SUMIF($AD54:$AD58,$AD53,AI54:AI58)</f>
        <v>0</v>
      </c>
      <c r="AJ53" s="1880">
        <f>SUMIF($AD54:$AD58,$AD53,AJ54:AJ58)</f>
        <v>0</v>
      </c>
      <c r="AK53" s="1880">
        <f>SUMIF($AD54:$AD58,$AD53,AK54:AK58)</f>
        <v>0</v>
      </c>
      <c r="AL53" s="1880">
        <f>SUMIF($AD54:$AD58,$AD53,AL54:AL58)</f>
        <v>0</v>
      </c>
      <c r="AM53" s="1880">
        <f>SUMIF($AD54:$AD58,$AD53,AM54:AM58)</f>
        <v>0</v>
      </c>
      <c r="AN53" s="1880">
        <f>SUMIF($AD54:$AD58,$AD53,AN54:AN58)</f>
        <v>0</v>
      </c>
      <c r="AO53" s="1880">
        <f>SUMIF($AD54:$AD58,$AD53,AO54:AO58)</f>
        <v>0</v>
      </c>
      <c r="AP53" s="1880">
        <f>SUMIF($AD54:$AD58,$AD53,AP54:AP58)</f>
        <v>0</v>
      </c>
      <c r="AQ53" s="1880">
        <f>SUMIF($AD54:$AD58,$AD53,AQ54:AQ58)</f>
        <v>0</v>
      </c>
      <c r="AR53" s="1880">
        <f>SUMIF($AD54:$AD58,$AD53,AR54:AR58)</f>
        <v>0</v>
      </c>
      <c r="AS53" s="282">
        <f>SUMIF($AD54:$AD58,$AD53,AS54:AS58)</f>
        <v>0</v>
      </c>
      <c r="AT53" s="1880">
        <f>SUMIF($AD54:$AD58,$AD53,AT54:AT58)</f>
        <v>0</v>
      </c>
      <c r="AU53" s="1880">
        <f>SUMIF($AD54:$AD58,$AD53,AU54:AU58)</f>
        <v>0</v>
      </c>
      <c r="AV53" s="1880">
        <f>SUMIF($AD54:$AD58,$AD53,AV54:AV58)</f>
        <v>0</v>
      </c>
      <c r="AW53" s="1880">
        <f>SUMIF($AD54:$AD58,$AD53,AW54:AW58)</f>
        <v>0</v>
      </c>
      <c r="AX53" s="1880">
        <f>SUMIF($AD54:$AD58,$AD53,AX54:AX58)</f>
        <v>0</v>
      </c>
      <c r="AY53" s="1880">
        <f>SUMIF($AD54:$AD58,$AD53,AY54:AY58)</f>
        <v>0</v>
      </c>
      <c r="AZ53" s="1880">
        <f>SUMIF($AD54:$AD58,$AD53,AZ54:AZ58)</f>
        <v>0</v>
      </c>
      <c r="BA53" s="1880">
        <f>SUMIF($AD54:$AD58,$AD53,BA54:BA58)</f>
        <v>0</v>
      </c>
      <c r="BB53" s="1880">
        <f>SUMIF($AD54:$AD58,$AD53,BB54:BB58)</f>
        <v>0</v>
      </c>
      <c r="BC53" s="1719"/>
      <c r="BD53" s="223"/>
      <c r="BE53" s="223"/>
      <c r="BF53" s="1224" t="s">
        <v>1190</v>
      </c>
      <c r="BG53" s="1224"/>
      <c r="BH53" s="1224"/>
      <c r="BI53" s="1224"/>
      <c r="BJ53" s="1225"/>
      <c r="BK53" s="1225"/>
    </row>
    <row s="1632" customFormat="1" customHeight="1" ht="0" hidden="1">
      <c r="A54" s="1428"/>
      <c r="B54" s="927"/>
      <c r="C54" s="1428"/>
      <c r="D54" s="1428"/>
      <c r="E54" s="797">
        <v>0.2</v>
      </c>
      <c r="F54" s="922" cm="1" t="str">
        <f t="array" ref="F54:F54">F53</f>
        <v>1</v>
      </c>
      <c r="G54" s="1535"/>
      <c r="H54" s="1535"/>
      <c r="I54" s="1535"/>
      <c r="J54" s="1535"/>
      <c r="K54" s="1535"/>
      <c r="L54" s="1535"/>
      <c r="M54" s="1535"/>
      <c r="N54" s="1535"/>
      <c r="O54" s="1535"/>
      <c r="P54" s="1535"/>
      <c r="Q54" s="193"/>
      <c r="R54" s="193"/>
      <c r="S54" s="1535"/>
      <c r="T54" s="819" t="b">
        <v>0</v>
      </c>
      <c r="U54" s="1443"/>
      <c r="V54" s="1443"/>
      <c r="W54" s="1443"/>
      <c r="X54" s="1443"/>
      <c r="Y54" s="1443"/>
      <c r="Z54" s="1443"/>
      <c r="AA54" s="223"/>
      <c r="AB54" s="286"/>
      <c r="AC54" s="281"/>
      <c r="AD54" s="280"/>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93"/>
      <c r="BD54" s="223"/>
      <c r="BE54" s="223"/>
      <c r="BF54" s="1224" t="str">
        <f>IF(AND(ISNUMBER(VALUE(TRIM(SUBSTITUTE(AB54,".","")))),TRIM(SUBSTITUTE(AB54,".",""))&lt;&gt;""),"P"&amp;SUBSTITUTE(AB54,".",""),"")</f>
        <v/>
      </c>
      <c r="BG54" s="1224"/>
      <c r="BH54" s="1224"/>
      <c r="BI54" s="1224"/>
      <c r="BJ54" s="1225"/>
      <c r="BK54" s="1225"/>
    </row>
    <row s="1632" customFormat="1" customHeight="1" ht="17.25" hidden="1">
      <c r="A55" s="1125" t="str">
        <f>"checkCosts_2."&amp;F55&amp;"."&amp;Y55</f>
        <v>checkCosts_2.1.0</v>
      </c>
      <c r="B55" s="927"/>
      <c r="C55" s="1428"/>
      <c r="D55" s="1428"/>
      <c r="E55" s="797">
        <v>18</v>
      </c>
      <c r="F55" s="922" cm="1" t="str">
        <f t="array" ref="F55:F55">OFFSET(G55,-1,-1)</f>
        <v>1</v>
      </c>
      <c r="G55" s="193" t="s">
        <v>1188</v>
      </c>
      <c r="H55" s="155" cm="1" t="str">
        <f t="array" ref="H55:H55">AC55</f>
        <v>0</v>
      </c>
      <c r="I55" s="1535"/>
      <c r="J55" s="1535"/>
      <c r="K55" s="1535"/>
      <c r="L55" s="1535"/>
      <c r="M55" s="1535"/>
      <c r="N55" s="1535"/>
      <c r="O55" s="1535"/>
      <c r="P55" s="1535"/>
      <c r="Q55" s="193"/>
      <c r="R55" s="193"/>
      <c r="S55" s="1535"/>
      <c r="T55" s="819">
        <f>AND(F55&gt;0,Y55&gt;0)</f>
        <v>0</v>
      </c>
      <c r="U55" s="1443"/>
      <c r="V55" s="1443"/>
      <c r="W55" s="159" t="s">
        <v>234</v>
      </c>
      <c r="X55" s="1443"/>
      <c r="Y55" s="159">
        <v>0</v>
      </c>
      <c r="Z55" s="1443"/>
      <c r="AA55" s="1536" t="s">
        <v>218</v>
      </c>
      <c r="AB55" s="288" t="str">
        <f>"2."&amp;Y55</f>
        <v>2.0</v>
      </c>
      <c r="AC55" s="463"/>
      <c r="AD55" s="280" t="s">
        <v>810</v>
      </c>
      <c r="AE55" s="1872">
        <f>AE56*AE57</f>
        <v>0</v>
      </c>
      <c r="AF55" s="1665"/>
      <c r="AG55" s="1665"/>
      <c r="AH55" s="1872">
        <f>AH56*AH57</f>
        <v>0</v>
      </c>
      <c r="AI55" s="1665"/>
      <c r="AJ55" s="1665"/>
      <c r="AK55" s="1665"/>
      <c r="AL55" s="1665"/>
      <c r="AM55" s="1665"/>
      <c r="AN55" s="1665"/>
      <c r="AO55" s="1665"/>
      <c r="AP55" s="1665"/>
      <c r="AQ55" s="1665"/>
      <c r="AR55" s="1665"/>
      <c r="AS55" s="1872">
        <f>AS56*AS57</f>
        <v>0</v>
      </c>
      <c r="AT55" s="1872">
        <f>AT56*AT57</f>
        <v>0</v>
      </c>
      <c r="AU55" s="1872">
        <f>AU56*AU57</f>
        <v>0</v>
      </c>
      <c r="AV55" s="1872">
        <f>AV56*AV57</f>
        <v>0</v>
      </c>
      <c r="AW55" s="1872">
        <f>AW56*AW57</f>
        <v>0</v>
      </c>
      <c r="AX55" s="1872">
        <f>AX56*AX57</f>
        <v>0</v>
      </c>
      <c r="AY55" s="1872">
        <f>AY56*AY57</f>
        <v>0</v>
      </c>
      <c r="AZ55" s="1872">
        <f>AZ56*AZ57</f>
        <v>0</v>
      </c>
      <c r="BA55" s="1872">
        <f>BA56*BA57</f>
        <v>0</v>
      </c>
      <c r="BB55" s="1872">
        <f>BB56*BB57</f>
        <v>0</v>
      </c>
      <c r="BC55" s="1719"/>
      <c r="BD55" s="223"/>
      <c r="BE55" s="223"/>
      <c r="BF55" s="1224" t="s">
        <v>1191</v>
      </c>
      <c r="BG55" s="1224" t="s">
        <v>1192</v>
      </c>
      <c r="BH55" s="1224" cm="1" t="str">
        <f t="array" ref="BH55:BH55">AC55</f>
        <v>0</v>
      </c>
      <c r="BI55" s="1224" cm="1" t="str">
        <f t="array" ref="BI55:BI55">AD57</f>
        <v>тыс.куб.м</v>
      </c>
      <c r="BJ55" s="1225"/>
      <c r="BK55" s="1225" t="b">
        <v>1</v>
      </c>
    </row>
    <row s="1390" customFormat="1" customHeight="1" ht="16.5" hidden="1">
      <c r="A56" s="1390"/>
      <c r="B56" s="1390"/>
      <c r="C56" s="1390"/>
      <c r="D56" s="1390"/>
      <c r="E56" s="797">
        <v>17</v>
      </c>
      <c r="F56" s="922" cm="1" t="str">
        <f t="array" ref="F56:F56">F54</f>
        <v>1</v>
      </c>
      <c r="G56" s="193" t="s">
        <v>201</v>
      </c>
      <c r="H56" s="155" cm="1" t="str">
        <f t="array" ref="H56:H56">H55</f>
        <v>0</v>
      </c>
      <c r="I56" s="1390"/>
      <c r="J56" s="1390"/>
      <c r="K56" s="1390"/>
      <c r="L56" s="1390"/>
      <c r="M56" s="1390"/>
      <c r="N56" s="1390"/>
      <c r="O56" s="1390"/>
      <c r="P56" s="1390"/>
      <c r="Q56" s="1390"/>
      <c r="R56" s="1390"/>
      <c r="S56" s="1390"/>
      <c r="T56" s="819" cm="1" t="str">
        <f t="array" ref="T56:T56">T55</f>
        <v>false</v>
      </c>
      <c r="U56" s="1390"/>
      <c r="V56" s="1390"/>
      <c r="W56" s="1390"/>
      <c r="X56" s="1390"/>
      <c r="Y56" s="1390"/>
      <c r="Z56" s="1390"/>
      <c r="AA56" s="1536"/>
      <c r="AB56" s="288" t="str">
        <f>AB55&amp;".1"</f>
        <v>2.0.1</v>
      </c>
      <c r="AC56" s="294" t="s">
        <v>946</v>
      </c>
      <c r="AD56" s="106" t="s">
        <v>245</v>
      </c>
      <c r="AE56" s="61"/>
      <c r="AF56" s="335">
        <f>IF(AF57=0,0,AF55/AF57)</f>
        <v>0</v>
      </c>
      <c r="AG56" s="335">
        <f>IF(AG57=0,0,AG55/AG57)</f>
        <v>0</v>
      </c>
      <c r="AH56" s="61"/>
      <c r="AI56" s="335">
        <f>IF(AI57=0,0,AI55/AI57)</f>
        <v>0</v>
      </c>
      <c r="AJ56" s="335">
        <f>IF(AJ57=0,0,AJ55/AJ57)</f>
        <v>0</v>
      </c>
      <c r="AK56" s="335">
        <f>IF(AK57=0,0,AK55/AK57)</f>
        <v>0</v>
      </c>
      <c r="AL56" s="335">
        <f>IF(AL57=0,0,AL55/AL57)</f>
        <v>0</v>
      </c>
      <c r="AM56" s="335">
        <f>IF(AM57=0,0,AM55/AM57)</f>
        <v>0</v>
      </c>
      <c r="AN56" s="335">
        <f>IF(AN57=0,0,AN55/AN57)</f>
        <v>0</v>
      </c>
      <c r="AO56" s="335">
        <f>IF(AO57=0,0,AO55/AO57)</f>
        <v>0</v>
      </c>
      <c r="AP56" s="335">
        <f>IF(AP57=0,0,AP55/AP57)</f>
        <v>0</v>
      </c>
      <c r="AQ56" s="335">
        <f>IF(AQ57=0,0,AQ55/AQ57)</f>
        <v>0</v>
      </c>
      <c r="AR56" s="335">
        <f>IF(AR57=0,0,AR55/AR57)</f>
        <v>0</v>
      </c>
      <c r="AS56" s="1665"/>
      <c r="AT56" s="61"/>
      <c r="AU56" s="61"/>
      <c r="AV56" s="61"/>
      <c r="AW56" s="61"/>
      <c r="AX56" s="61"/>
      <c r="AY56" s="61"/>
      <c r="AZ56" s="61"/>
      <c r="BA56" s="61"/>
      <c r="BB56" s="61"/>
      <c r="BC56" s="73"/>
      <c r="BD56" s="1390"/>
      <c r="BE56" s="1390"/>
      <c r="BF56" s="1224" t="s">
        <v>1193</v>
      </c>
      <c r="BG56" s="1224" t="s">
        <v>1192</v>
      </c>
      <c r="BH56" s="1224" cm="1" t="str">
        <f t="array" ref="BH56:BH56">BH55</f>
        <v>0</v>
      </c>
      <c r="BI56" s="1224" cm="1" t="str">
        <f t="array" ref="BI56:BI56">BI55</f>
        <v>тыс.куб.м</v>
      </c>
      <c r="BJ56" s="1225"/>
      <c r="BK56" s="1225"/>
    </row>
    <row s="1632" customFormat="1" customHeight="1" ht="16.5" hidden="1">
      <c r="A57" s="1125" t="str">
        <f>"checkVolume_2."&amp;F57&amp;"."&amp;Y55</f>
        <v>checkVolume_2.1.0</v>
      </c>
      <c r="B57" s="927"/>
      <c r="C57" s="1428"/>
      <c r="D57" s="1428"/>
      <c r="E57" s="797">
        <v>17</v>
      </c>
      <c r="F57" s="922" cm="1" t="str">
        <f t="array" ref="F57:F57">F55</f>
        <v>1</v>
      </c>
      <c r="G57" s="193" t="s">
        <v>201</v>
      </c>
      <c r="H57" s="155" cm="1" t="str">
        <f t="array" ref="H57:H57">H55</f>
        <v>0</v>
      </c>
      <c r="I57" s="1535"/>
      <c r="J57" s="1535"/>
      <c r="K57" s="1535"/>
      <c r="L57" s="1535"/>
      <c r="M57" s="1535"/>
      <c r="N57" s="1535"/>
      <c r="O57" s="1535"/>
      <c r="P57" s="1535"/>
      <c r="Q57" s="193"/>
      <c r="R57" s="193"/>
      <c r="S57" s="1535"/>
      <c r="T57" s="819" cm="1" t="str">
        <f t="array" ref="T57:T57">T55</f>
        <v>false</v>
      </c>
      <c r="U57" s="1443"/>
      <c r="V57" s="1443"/>
      <c r="W57" s="1443"/>
      <c r="X57" s="1443"/>
      <c r="Y57" s="1443"/>
      <c r="Z57" s="1443"/>
      <c r="AA57" s="1536"/>
      <c r="AB57" s="288" t="str">
        <f>AB55&amp;".2"</f>
        <v>2.0.2</v>
      </c>
      <c r="AC57" s="294" t="s">
        <v>1186</v>
      </c>
      <c r="AD57" s="106" t="s">
        <v>1004</v>
      </c>
      <c r="AE57" s="61"/>
      <c r="AF57" s="61"/>
      <c r="AG57" s="61"/>
      <c r="AH57" s="61"/>
      <c r="AI57" s="1665"/>
      <c r="AJ57" s="61"/>
      <c r="AK57" s="61"/>
      <c r="AL57" s="61"/>
      <c r="AM57" s="61"/>
      <c r="AN57" s="61"/>
      <c r="AO57" s="61"/>
      <c r="AP57" s="61"/>
      <c r="AQ57" s="61"/>
      <c r="AR57" s="61"/>
      <c r="AS57" s="1665"/>
      <c r="AT57" s="61"/>
      <c r="AU57" s="61"/>
      <c r="AV57" s="61"/>
      <c r="AW57" s="61"/>
      <c r="AX57" s="61"/>
      <c r="AY57" s="61"/>
      <c r="AZ57" s="61"/>
      <c r="BA57" s="61"/>
      <c r="BB57" s="61"/>
      <c r="BC57" s="73"/>
      <c r="BD57" s="223"/>
      <c r="BE57" s="223"/>
      <c r="BF57" s="1224" t="s">
        <v>1194</v>
      </c>
      <c r="BG57" s="1224" t="s">
        <v>1192</v>
      </c>
      <c r="BH57" s="1224" cm="1" t="str">
        <f t="array" ref="BH57:BH57">BH55</f>
        <v>0</v>
      </c>
      <c r="BI57" s="1224" cm="1" t="str">
        <f t="array" ref="BI57:BI57">BI55</f>
        <v>тыс.куб.м</v>
      </c>
      <c r="BJ57" s="1225"/>
      <c r="BK57" s="1225"/>
    </row>
    <row s="1632" customFormat="1" customHeight="1" ht="16.5">
      <c r="A58" s="1428"/>
      <c r="B58" s="927"/>
      <c r="C58" s="1428"/>
      <c r="D58" s="1428"/>
      <c r="E58" s="797">
        <v>17</v>
      </c>
      <c r="F58" s="922" cm="1" t="str">
        <f t="array" ref="F58:F58">F54</f>
        <v>1</v>
      </c>
      <c r="G58" s="193" t="str">
        <f>F58&amp;"pIns5"</f>
        <v>1pIns5</v>
      </c>
      <c r="H58" s="1535"/>
      <c r="I58" s="1535"/>
      <c r="J58" s="1535"/>
      <c r="K58" s="1535"/>
      <c r="L58" s="1535"/>
      <c r="M58" s="1535"/>
      <c r="N58" s="1535"/>
      <c r="O58" s="1535"/>
      <c r="P58" s="1535"/>
      <c r="Q58" s="193"/>
      <c r="R58" s="193"/>
      <c r="S58" s="1535"/>
      <c r="T58" s="819">
        <f>F58&gt;0</f>
        <v>1</v>
      </c>
      <c r="U58" s="1443"/>
      <c r="V58" s="1443"/>
      <c r="W58" s="374" t="s">
        <v>1195</v>
      </c>
      <c r="X58" s="1443"/>
      <c r="Y58" s="1443"/>
      <c r="Z58" s="1443"/>
      <c r="AA58" s="223"/>
      <c r="AB58" s="302"/>
      <c r="AC58" s="303" t="s">
        <v>982</v>
      </c>
      <c r="AD58" s="303"/>
      <c r="AE58" s="303"/>
      <c r="AF58" s="303"/>
      <c r="AG58" s="303"/>
      <c r="AH58" s="303"/>
      <c r="AI58" s="303"/>
      <c r="AJ58" s="303"/>
      <c r="AK58" s="303"/>
      <c r="AL58" s="303"/>
      <c r="AM58" s="303"/>
      <c r="AN58" s="303"/>
      <c r="AO58" s="303"/>
      <c r="AP58" s="303"/>
      <c r="AQ58" s="303"/>
      <c r="AR58" s="303"/>
      <c r="AS58" s="303"/>
      <c r="AT58" s="303"/>
      <c r="AU58" s="303"/>
      <c r="AV58" s="303"/>
      <c r="AW58" s="303"/>
      <c r="AX58" s="303"/>
      <c r="AY58" s="303"/>
      <c r="AZ58" s="303"/>
      <c r="BA58" s="303"/>
      <c r="BB58" s="303"/>
      <c r="BC58" s="1101"/>
      <c r="BD58" s="223"/>
      <c r="BE58" s="223"/>
      <c r="BF58" s="1224" t="str">
        <f>IF(AND(ISNUMBER(VALUE(TRIM(SUBSTITUTE(AB58,".","")))),TRIM(SUBSTITUTE(AB58,".",""))&lt;&gt;""),"P"&amp;SUBSTITUTE(AB58,".",""),"")</f>
        <v/>
      </c>
      <c r="BG58" s="1224"/>
      <c r="BH58" s="1224"/>
      <c r="BI58" s="1224"/>
      <c r="BJ58" s="1225" t="s">
        <v>1192</v>
      </c>
      <c r="BK58" s="1225"/>
    </row>
    <row s="1632" customFormat="1" customHeight="1" ht="16.5">
      <c r="A59" s="1428"/>
      <c r="B59" s="927"/>
      <c r="C59" s="1428"/>
      <c r="D59" s="1428"/>
      <c r="E59" s="797">
        <v>17</v>
      </c>
      <c r="F59" s="922" cm="1" t="str">
        <f t="array" ref="F59:F59">F58</f>
        <v>1</v>
      </c>
      <c r="G59" s="193" t="s">
        <v>1196</v>
      </c>
      <c r="H59" s="1535"/>
      <c r="I59" s="1535"/>
      <c r="J59" s="1535"/>
      <c r="K59" s="1535"/>
      <c r="L59" s="1535"/>
      <c r="M59" s="1535"/>
      <c r="N59" s="1535"/>
      <c r="O59" s="1535"/>
      <c r="P59" s="1535"/>
      <c r="Q59" s="193"/>
      <c r="R59" s="193"/>
      <c r="S59" s="1535"/>
      <c r="T59" s="819">
        <f>F59&gt;0</f>
        <v>1</v>
      </c>
      <c r="U59" s="1443"/>
      <c r="V59" s="1443"/>
      <c r="W59" s="1443"/>
      <c r="X59" s="1443"/>
      <c r="Y59" s="1443"/>
      <c r="Z59" s="1443"/>
      <c r="AA59" s="223"/>
      <c r="AB59" s="286">
        <v>3</v>
      </c>
      <c r="AC59" s="281" t="s">
        <v>1197</v>
      </c>
      <c r="AD59" s="280" t="s">
        <v>810</v>
      </c>
      <c r="AE59" s="282">
        <f>SUMIF($AD60:$AD64,$AD59,AE60:AE64)</f>
        <v>0</v>
      </c>
      <c r="AF59" s="282">
        <f>SUMIF($AD60:$AD64,$AD59,AF60:AF64)</f>
        <v>0</v>
      </c>
      <c r="AG59" s="282">
        <f>SUMIF($AD60:$AD64,$AD59,AG60:AG64)</f>
        <v>0</v>
      </c>
      <c r="AH59" s="282">
        <f>SUMIF($AD60:$AD64,$AD59,AH60:AH64)</f>
        <v>0</v>
      </c>
      <c r="AI59" s="282">
        <f>SUMIF($AD60:$AD64,$AD59,AI60:AI64)</f>
        <v>0</v>
      </c>
      <c r="AJ59" s="1880">
        <f>SUMIF($AD60:$AD64,$AD59,AJ60:AJ64)</f>
        <v>0</v>
      </c>
      <c r="AK59" s="1880">
        <f>SUMIF($AD60:$AD64,$AD59,AK60:AK64)</f>
        <v>0</v>
      </c>
      <c r="AL59" s="1880">
        <f>SUMIF($AD60:$AD64,$AD59,AL60:AL64)</f>
        <v>0</v>
      </c>
      <c r="AM59" s="1880">
        <f>SUMIF($AD60:$AD64,$AD59,AM60:AM64)</f>
        <v>0</v>
      </c>
      <c r="AN59" s="1880">
        <f>SUMIF($AD60:$AD64,$AD59,AN60:AN64)</f>
        <v>0</v>
      </c>
      <c r="AO59" s="1880">
        <f>SUMIF($AD60:$AD64,$AD59,AO60:AO64)</f>
        <v>0</v>
      </c>
      <c r="AP59" s="1880">
        <f>SUMIF($AD60:$AD64,$AD59,AP60:AP64)</f>
        <v>0</v>
      </c>
      <c r="AQ59" s="1880">
        <f>SUMIF($AD60:$AD64,$AD59,AQ60:AQ64)</f>
        <v>0</v>
      </c>
      <c r="AR59" s="1880">
        <f>SUMIF($AD60:$AD64,$AD59,AR60:AR64)</f>
        <v>0</v>
      </c>
      <c r="AS59" s="282">
        <f>SUMIF($AD60:$AD64,$AD59,AS60:AS64)</f>
        <v>0</v>
      </c>
      <c r="AT59" s="1880">
        <f>SUMIF($AD60:$AD64,$AD59,AT60:AT64)</f>
        <v>0</v>
      </c>
      <c r="AU59" s="1880">
        <f>SUMIF($AD60:$AD64,$AD59,AU60:AU64)</f>
        <v>0</v>
      </c>
      <c r="AV59" s="1880">
        <f>SUMIF($AD60:$AD64,$AD59,AV60:AV64)</f>
        <v>0</v>
      </c>
      <c r="AW59" s="1880">
        <f>SUMIF($AD60:$AD64,$AD59,AW60:AW64)</f>
        <v>0</v>
      </c>
      <c r="AX59" s="1880">
        <f>SUMIF($AD60:$AD64,$AD59,AX60:AX64)</f>
        <v>0</v>
      </c>
      <c r="AY59" s="1880">
        <f>SUMIF($AD60:$AD64,$AD59,AY60:AY64)</f>
        <v>0</v>
      </c>
      <c r="AZ59" s="1880">
        <f>SUMIF($AD60:$AD64,$AD59,AZ60:AZ64)</f>
        <v>0</v>
      </c>
      <c r="BA59" s="1880">
        <f>SUMIF($AD60:$AD64,$AD59,BA60:BA64)</f>
        <v>0</v>
      </c>
      <c r="BB59" s="1880">
        <f>SUMIF($AD60:$AD64,$AD59,BB60:BB64)</f>
        <v>0</v>
      </c>
      <c r="BC59" s="1719"/>
      <c r="BD59" s="223"/>
      <c r="BE59" s="223"/>
      <c r="BF59" s="1224" t="s">
        <v>1198</v>
      </c>
      <c r="BG59" s="1224"/>
      <c r="BH59" s="1224"/>
      <c r="BI59" s="1224"/>
      <c r="BJ59" s="1225"/>
      <c r="BK59" s="1225"/>
    </row>
    <row s="1632" customFormat="1" customHeight="1" ht="0" hidden="1">
      <c r="A60" s="1428"/>
      <c r="B60" s="927"/>
      <c r="C60" s="1428"/>
      <c r="D60" s="1428"/>
      <c r="E60" s="797">
        <v>0.2</v>
      </c>
      <c r="F60" s="922" cm="1" t="str">
        <f t="array" ref="F60:F60">F59</f>
        <v>1</v>
      </c>
      <c r="G60" s="1535"/>
      <c r="H60" s="1535"/>
      <c r="I60" s="1535"/>
      <c r="J60" s="1535"/>
      <c r="K60" s="1535"/>
      <c r="L60" s="1535"/>
      <c r="M60" s="1535"/>
      <c r="N60" s="1535"/>
      <c r="O60" s="1535"/>
      <c r="P60" s="1535"/>
      <c r="Q60" s="193"/>
      <c r="R60" s="193"/>
      <c r="S60" s="1535"/>
      <c r="T60" s="819" t="b">
        <v>0</v>
      </c>
      <c r="U60" s="1443"/>
      <c r="V60" s="1443"/>
      <c r="W60" s="1443"/>
      <c r="X60" s="1443"/>
      <c r="Y60" s="1443"/>
      <c r="Z60" s="1443"/>
      <c r="AA60" s="223"/>
      <c r="AB60" s="286"/>
      <c r="AC60" s="281"/>
      <c r="AD60" s="280"/>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93"/>
      <c r="BD60" s="223"/>
      <c r="BE60" s="223"/>
      <c r="BF60" s="1224" t="str">
        <f>IF(AND(ISNUMBER(VALUE(TRIM(SUBSTITUTE(AB60,".","")))),TRIM(SUBSTITUTE(AB60,".",""))&lt;&gt;""),"P"&amp;SUBSTITUTE(AB60,".",""),"")</f>
        <v/>
      </c>
      <c r="BG60" s="1224"/>
      <c r="BH60" s="1224"/>
      <c r="BI60" s="1224"/>
      <c r="BJ60" s="1225"/>
      <c r="BK60" s="1225"/>
    </row>
    <row s="1632" customFormat="1" customHeight="1" ht="21.75" hidden="1">
      <c r="A61" s="1125" t="str">
        <f>"checkCosts_3."&amp;F61&amp;"."&amp;Y61</f>
        <v>checkCosts_3.1.0</v>
      </c>
      <c r="B61" s="927"/>
      <c r="C61" s="1428"/>
      <c r="D61" s="1428"/>
      <c r="E61" s="797">
        <v>22.8</v>
      </c>
      <c r="F61" s="922" cm="1" t="str">
        <f t="array" ref="F61:F61">OFFSET(G61,-1,-1)</f>
        <v>1</v>
      </c>
      <c r="G61" s="193" t="s">
        <v>1196</v>
      </c>
      <c r="H61" s="155" cm="1" t="str">
        <f t="array" ref="H61:H61">AC61</f>
        <v>0</v>
      </c>
      <c r="I61" s="1535"/>
      <c r="J61" s="1535"/>
      <c r="K61" s="1535"/>
      <c r="L61" s="1535"/>
      <c r="M61" s="1535"/>
      <c r="N61" s="1535"/>
      <c r="O61" s="1535"/>
      <c r="P61" s="1535"/>
      <c r="Q61" s="193"/>
      <c r="R61" s="193"/>
      <c r="S61" s="1535"/>
      <c r="T61" s="819">
        <f>AND(F61&gt;0,Y61&gt;0)</f>
        <v>0</v>
      </c>
      <c r="U61" s="1443"/>
      <c r="V61" s="1443"/>
      <c r="W61" s="159" t="s">
        <v>234</v>
      </c>
      <c r="X61" s="1443"/>
      <c r="Y61" s="159">
        <v>0</v>
      </c>
      <c r="Z61" s="1443"/>
      <c r="AA61" s="1536" t="s">
        <v>218</v>
      </c>
      <c r="AB61" s="288" t="str">
        <f>"3."&amp;Y61</f>
        <v>3.0</v>
      </c>
      <c r="AC61" s="54"/>
      <c r="AD61" s="280" t="s">
        <v>810</v>
      </c>
      <c r="AE61" s="1872">
        <f>AE62*AE63</f>
        <v>0</v>
      </c>
      <c r="AF61" s="1665"/>
      <c r="AG61" s="1665"/>
      <c r="AH61" s="1872">
        <f>AH62*AH63</f>
        <v>0</v>
      </c>
      <c r="AI61" s="1665"/>
      <c r="AJ61" s="1665"/>
      <c r="AK61" s="1665"/>
      <c r="AL61" s="1665"/>
      <c r="AM61" s="1665"/>
      <c r="AN61" s="1665"/>
      <c r="AO61" s="1665"/>
      <c r="AP61" s="1665"/>
      <c r="AQ61" s="1665"/>
      <c r="AR61" s="1665"/>
      <c r="AS61" s="1872">
        <f>AS62*AS63</f>
        <v>0</v>
      </c>
      <c r="AT61" s="1872">
        <f>AT62*AT63</f>
        <v>0</v>
      </c>
      <c r="AU61" s="1872">
        <f>AU62*AU63</f>
        <v>0</v>
      </c>
      <c r="AV61" s="1872">
        <f>AV62*AV63</f>
        <v>0</v>
      </c>
      <c r="AW61" s="1872">
        <f>AW62*AW63</f>
        <v>0</v>
      </c>
      <c r="AX61" s="1872">
        <f>AX62*AX63</f>
        <v>0</v>
      </c>
      <c r="AY61" s="1872">
        <f>AY62*AY63</f>
        <v>0</v>
      </c>
      <c r="AZ61" s="1872">
        <f>AZ62*AZ63</f>
        <v>0</v>
      </c>
      <c r="BA61" s="1872">
        <f>BA62*BA63</f>
        <v>0</v>
      </c>
      <c r="BB61" s="1872">
        <f>BB62*BB63</f>
        <v>0</v>
      </c>
      <c r="BC61" s="1719"/>
      <c r="BD61" s="223"/>
      <c r="BE61" s="223"/>
      <c r="BF61" s="1224" t="s">
        <v>1199</v>
      </c>
      <c r="BG61" s="1224" t="s">
        <v>1200</v>
      </c>
      <c r="BH61" s="1224" cm="1" t="str">
        <f t="array" ref="BH61:BH61">AC61</f>
        <v>0</v>
      </c>
      <c r="BI61" s="1224" cm="1" t="str">
        <f t="array" ref="BI61:BI61">AD63</f>
        <v>0</v>
      </c>
      <c r="BJ61" s="1225"/>
      <c r="BK61" s="1225" t="b">
        <v>1</v>
      </c>
    </row>
    <row s="1390" customFormat="1" customHeight="1" ht="16.5" hidden="1">
      <c r="A62" s="1390"/>
      <c r="B62" s="1390"/>
      <c r="C62" s="1390"/>
      <c r="D62" s="1390"/>
      <c r="E62" s="797">
        <v>17</v>
      </c>
      <c r="F62" s="922" cm="1" t="str">
        <f t="array" ref="F62:F62">F60</f>
        <v>1</v>
      </c>
      <c r="G62" s="193" t="s">
        <v>269</v>
      </c>
      <c r="H62" s="155" cm="1" t="str">
        <f t="array" ref="H62:H62">H61</f>
        <v>0</v>
      </c>
      <c r="I62" s="1390"/>
      <c r="J62" s="1390"/>
      <c r="K62" s="1390"/>
      <c r="L62" s="1390"/>
      <c r="M62" s="1390"/>
      <c r="N62" s="1390"/>
      <c r="O62" s="1390"/>
      <c r="P62" s="1390"/>
      <c r="Q62" s="1390"/>
      <c r="R62" s="1390"/>
      <c r="S62" s="1390"/>
      <c r="T62" s="819" cm="1" t="str">
        <f t="array" ref="T62:T62">T61</f>
        <v>false</v>
      </c>
      <c r="U62" s="1390"/>
      <c r="V62" s="1390"/>
      <c r="W62" s="1390"/>
      <c r="X62" s="1390"/>
      <c r="Y62" s="1390"/>
      <c r="Z62" s="1390"/>
      <c r="AA62" s="1536"/>
      <c r="AB62" s="288" t="str">
        <f>AB61&amp;".1"</f>
        <v>3.0.1</v>
      </c>
      <c r="AC62" s="294" t="s">
        <v>946</v>
      </c>
      <c r="AD62" s="106" t="s">
        <v>245</v>
      </c>
      <c r="AE62" s="61"/>
      <c r="AF62" s="335">
        <f>IF(AF63=0,0,AF61/AF63)</f>
        <v>0</v>
      </c>
      <c r="AG62" s="335">
        <f>IF(AG63=0,0,AG61/AG63)</f>
        <v>0</v>
      </c>
      <c r="AH62" s="61"/>
      <c r="AI62" s="335">
        <f>IF(AI63=0,0,AI61/AI63)</f>
        <v>0</v>
      </c>
      <c r="AJ62" s="335">
        <f>IF(AJ63=0,0,AJ61/AJ63)</f>
        <v>0</v>
      </c>
      <c r="AK62" s="335">
        <f>IF(AK63=0,0,AK61/AK63)</f>
        <v>0</v>
      </c>
      <c r="AL62" s="335">
        <f>IF(AL63=0,0,AL61/AL63)</f>
        <v>0</v>
      </c>
      <c r="AM62" s="335">
        <f>IF(AM63=0,0,AM61/AM63)</f>
        <v>0</v>
      </c>
      <c r="AN62" s="335">
        <f>IF(AN63=0,0,AN61/AN63)</f>
        <v>0</v>
      </c>
      <c r="AO62" s="335">
        <f>IF(AO63=0,0,AO61/AO63)</f>
        <v>0</v>
      </c>
      <c r="AP62" s="335">
        <f>IF(AP63=0,0,AP61/AP63)</f>
        <v>0</v>
      </c>
      <c r="AQ62" s="335">
        <f>IF(AQ63=0,0,AQ61/AQ63)</f>
        <v>0</v>
      </c>
      <c r="AR62" s="335">
        <f>IF(AR63=0,0,AR61/AR63)</f>
        <v>0</v>
      </c>
      <c r="AS62" s="1665"/>
      <c r="AT62" s="61"/>
      <c r="AU62" s="61"/>
      <c r="AV62" s="61"/>
      <c r="AW62" s="61"/>
      <c r="AX62" s="61"/>
      <c r="AY62" s="61"/>
      <c r="AZ62" s="61"/>
      <c r="BA62" s="61"/>
      <c r="BB62" s="61"/>
      <c r="BC62" s="73"/>
      <c r="BD62" s="1390"/>
      <c r="BE62" s="1390"/>
      <c r="BF62" s="1224" t="s">
        <v>1201</v>
      </c>
      <c r="BG62" s="1224" t="s">
        <v>1200</v>
      </c>
      <c r="BH62" s="1224" cm="1" t="str">
        <f t="array" ref="BH62:BH62">BH61</f>
        <v>0</v>
      </c>
      <c r="BI62" s="1224" cm="1" t="str">
        <f t="array" ref="BI62:BI62">BI61</f>
        <v>0</v>
      </c>
      <c r="BJ62" s="1225"/>
      <c r="BK62" s="1225"/>
    </row>
    <row s="1632" customFormat="1" customHeight="1" ht="16.5" hidden="1">
      <c r="A63" s="1125" t="str">
        <f>"checkVolume_3."&amp;F63&amp;"."&amp;Y61</f>
        <v>checkVolume_3.1.0</v>
      </c>
      <c r="B63" s="927"/>
      <c r="C63" s="1428"/>
      <c r="D63" s="1428"/>
      <c r="E63" s="797">
        <v>17</v>
      </c>
      <c r="F63" s="922" cm="1" t="str">
        <f t="array" ref="F63:F63">F61</f>
        <v>1</v>
      </c>
      <c r="G63" s="193" t="s">
        <v>269</v>
      </c>
      <c r="H63" s="155" cm="1" t="str">
        <f t="array" ref="H63:H63">H61</f>
        <v>0</v>
      </c>
      <c r="I63" s="1535"/>
      <c r="J63" s="1535"/>
      <c r="K63" s="1535"/>
      <c r="L63" s="1535"/>
      <c r="M63" s="1535"/>
      <c r="N63" s="1535"/>
      <c r="O63" s="1535"/>
      <c r="P63" s="1535"/>
      <c r="Q63" s="193"/>
      <c r="R63" s="193"/>
      <c r="S63" s="1535"/>
      <c r="T63" s="819" cm="1" t="str">
        <f t="array" ref="T63:T63">T61</f>
        <v>false</v>
      </c>
      <c r="U63" s="1443"/>
      <c r="V63" s="1443"/>
      <c r="W63" s="1443"/>
      <c r="X63" s="1443"/>
      <c r="Y63" s="1443"/>
      <c r="Z63" s="1443"/>
      <c r="AA63" s="1536"/>
      <c r="AB63" s="288" t="str">
        <f>AB61&amp;".2"</f>
        <v>3.0.2</v>
      </c>
      <c r="AC63" s="294" t="s">
        <v>1186</v>
      </c>
      <c r="AD63" s="106"/>
      <c r="AE63" s="61"/>
      <c r="AF63" s="61"/>
      <c r="AG63" s="61"/>
      <c r="AH63" s="61"/>
      <c r="AI63" s="1665"/>
      <c r="AJ63" s="61"/>
      <c r="AK63" s="61"/>
      <c r="AL63" s="61"/>
      <c r="AM63" s="61"/>
      <c r="AN63" s="61"/>
      <c r="AO63" s="61"/>
      <c r="AP63" s="61"/>
      <c r="AQ63" s="61"/>
      <c r="AR63" s="61"/>
      <c r="AS63" s="1665"/>
      <c r="AT63" s="61"/>
      <c r="AU63" s="61"/>
      <c r="AV63" s="61"/>
      <c r="AW63" s="61"/>
      <c r="AX63" s="61"/>
      <c r="AY63" s="61"/>
      <c r="AZ63" s="61"/>
      <c r="BA63" s="61"/>
      <c r="BB63" s="61"/>
      <c r="BC63" s="73"/>
      <c r="BD63" s="223"/>
      <c r="BE63" s="223"/>
      <c r="BF63" s="1224" t="s">
        <v>1202</v>
      </c>
      <c r="BG63" s="1224" t="s">
        <v>1200</v>
      </c>
      <c r="BH63" s="1224" cm="1" t="str">
        <f t="array" ref="BH63:BH63">BH61</f>
        <v>0</v>
      </c>
      <c r="BI63" s="1224" cm="1" t="str">
        <f t="array" ref="BI63:BI63">BI61</f>
        <v>0</v>
      </c>
      <c r="BJ63" s="1225"/>
      <c r="BK63" s="1225"/>
    </row>
    <row s="1632" customFormat="1" customHeight="1" ht="16.5">
      <c r="A64" s="1428"/>
      <c r="B64" s="927"/>
      <c r="C64" s="1428"/>
      <c r="D64" s="1428"/>
      <c r="E64" s="797">
        <v>17</v>
      </c>
      <c r="F64" s="922" cm="1" t="str">
        <f t="array" ref="F64:F64">F60</f>
        <v>1</v>
      </c>
      <c r="G64" s="193" t="str">
        <f>F64&amp;"pIns5"</f>
        <v>1pIns5</v>
      </c>
      <c r="H64" s="1535"/>
      <c r="I64" s="1535"/>
      <c r="J64" s="1535"/>
      <c r="K64" s="1535"/>
      <c r="L64" s="1535"/>
      <c r="M64" s="1535"/>
      <c r="N64" s="1535"/>
      <c r="O64" s="1535"/>
      <c r="P64" s="1535"/>
      <c r="Q64" s="193"/>
      <c r="R64" s="193"/>
      <c r="S64" s="1535"/>
      <c r="T64" s="819">
        <f>F64&gt;0</f>
        <v>1</v>
      </c>
      <c r="U64" s="1443"/>
      <c r="V64" s="1443"/>
      <c r="W64" s="374" t="s">
        <v>1203</v>
      </c>
      <c r="X64" s="1443"/>
      <c r="Y64" s="1443"/>
      <c r="Z64" s="1443"/>
      <c r="AA64" s="223"/>
      <c r="AB64" s="302"/>
      <c r="AC64" s="303" t="s">
        <v>982</v>
      </c>
      <c r="AD64" s="303"/>
      <c r="AE64" s="303"/>
      <c r="AF64" s="303"/>
      <c r="AG64" s="303"/>
      <c r="AH64" s="303"/>
      <c r="AI64" s="303"/>
      <c r="AJ64" s="303"/>
      <c r="AK64" s="303"/>
      <c r="AL64" s="303"/>
      <c r="AM64" s="303"/>
      <c r="AN64" s="303"/>
      <c r="AO64" s="303"/>
      <c r="AP64" s="303"/>
      <c r="AQ64" s="303"/>
      <c r="AR64" s="303"/>
      <c r="AS64" s="303"/>
      <c r="AT64" s="303"/>
      <c r="AU64" s="303"/>
      <c r="AV64" s="303"/>
      <c r="AW64" s="303"/>
      <c r="AX64" s="303"/>
      <c r="AY64" s="303"/>
      <c r="AZ64" s="303"/>
      <c r="BA64" s="303"/>
      <c r="BB64" s="303"/>
      <c r="BC64" s="1101"/>
      <c r="BD64" s="223"/>
      <c r="BE64" s="223"/>
      <c r="BF64" s="1224"/>
      <c r="BG64" s="1224"/>
      <c r="BH64" s="1224"/>
      <c r="BI64" s="1224"/>
      <c r="BJ64" s="1225" t="s">
        <v>1200</v>
      </c>
      <c r="BK64" s="1225"/>
    </row>
    <row customHeight="1" ht="16.575">
      <c r="E65" s="797">
        <v>17</v>
      </c>
      <c r="U65" s="179" t="s">
        <v>236</v>
      </c>
      <c r="V65" s="171" t="s">
        <v>1204</v>
      </c>
      <c r="AI65" s="223"/>
      <c r="AJ65" s="223"/>
      <c r="AK65" s="223"/>
      <c r="AL65" s="223"/>
      <c r="AM65" s="223"/>
      <c r="AN65" s="223"/>
      <c r="AO65" s="223"/>
      <c r="AP65" s="223"/>
      <c r="AQ65" s="223"/>
      <c r="AR65" s="223"/>
      <c r="AS65" s="223"/>
      <c r="AT65" s="223"/>
      <c r="AU65" s="223"/>
      <c r="AV65" s="223"/>
      <c r="AW65" s="223"/>
      <c r="AX65" s="223"/>
      <c r="AY65" s="223"/>
      <c r="AZ65" s="223"/>
      <c r="BA65" s="223"/>
      <c r="BB65" s="223"/>
    </row>
    <row customHeight="1" ht="11.25" hidden="1">
      <c r="E66" s="797">
        <v>0</v>
      </c>
      <c r="AB66" s="202"/>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row>
    <row s="500" customFormat="1" customHeight="1" ht="14.625">
      <c r="A67" s="175"/>
      <c r="B67" s="788"/>
      <c r="C67" s="175"/>
      <c r="D67" s="175"/>
      <c r="E67" s="797">
        <v>15</v>
      </c>
      <c r="F67" s="175"/>
      <c r="Q67" s="739"/>
      <c r="R67" s="739"/>
      <c r="T67" s="175"/>
      <c r="U67" s="175"/>
      <c r="V67" s="175"/>
      <c r="W67" s="175"/>
      <c r="X67" s="175"/>
      <c r="Y67" s="175"/>
      <c r="Z67" s="175"/>
      <c r="AB67" s="1530" t="s">
        <v>705</v>
      </c>
      <c r="AC67" s="1530"/>
      <c r="AD67" s="1530"/>
      <c r="AE67" s="1530"/>
      <c r="AF67" s="1530"/>
      <c r="AG67" s="1530"/>
      <c r="AH67" s="1530"/>
      <c r="AI67" s="1531"/>
      <c r="AJ67" s="1531"/>
      <c r="AK67" s="1531"/>
      <c r="AL67" s="1531"/>
      <c r="AM67" s="1531"/>
      <c r="AN67" s="1531"/>
      <c r="AO67" s="1531"/>
      <c r="AP67" s="1531"/>
      <c r="AQ67" s="1531"/>
      <c r="AR67" s="1531"/>
      <c r="AS67" s="1531"/>
      <c r="AT67" s="1531"/>
      <c r="AU67" s="1531"/>
      <c r="AV67" s="1531"/>
      <c r="AW67" s="1531"/>
      <c r="AX67" s="1531"/>
      <c r="AY67" s="1531"/>
      <c r="AZ67" s="1531"/>
      <c r="BA67" s="1531"/>
      <c r="BB67" s="1531"/>
      <c r="BC67" s="1531"/>
      <c r="BF67" s="1228"/>
      <c r="BG67" s="1228"/>
      <c r="BH67" s="1228"/>
      <c r="BI67" s="1228"/>
      <c r="BJ67" s="1229"/>
      <c r="BK67" s="1229"/>
    </row>
    <row s="500" customFormat="1" customHeight="1" ht="14.625">
      <c r="A68" s="175"/>
      <c r="B68" s="788"/>
      <c r="C68" s="175"/>
      <c r="D68" s="175"/>
      <c r="E68" s="797">
        <v>15</v>
      </c>
      <c r="F68" s="175"/>
      <c r="Q68" s="739"/>
      <c r="R68" s="739"/>
      <c r="T68" s="175"/>
      <c r="U68" s="175"/>
      <c r="V68" s="175"/>
      <c r="W68" s="175"/>
      <c r="X68" s="175"/>
      <c r="Y68" s="175"/>
      <c r="Z68" s="175"/>
      <c r="AA68" s="921"/>
      <c r="AB68" s="1532"/>
      <c r="AC68" s="1532"/>
      <c r="AD68" s="1532"/>
      <c r="AE68" s="1532"/>
      <c r="AF68" s="1532"/>
      <c r="AG68" s="1532"/>
      <c r="AH68" s="1532"/>
      <c r="AI68" s="1533"/>
      <c r="AJ68" s="1883"/>
      <c r="AK68" s="1883"/>
      <c r="AL68" s="1883"/>
      <c r="AM68" s="1883"/>
      <c r="AN68" s="1883"/>
      <c r="AO68" s="1883"/>
      <c r="AP68" s="1883"/>
      <c r="AQ68" s="1883"/>
      <c r="AR68" s="1883"/>
      <c r="AS68" s="1533"/>
      <c r="AT68" s="1883"/>
      <c r="AU68" s="1883"/>
      <c r="AV68" s="1883"/>
      <c r="AW68" s="1883"/>
      <c r="AX68" s="1883"/>
      <c r="AY68" s="1883"/>
      <c r="AZ68" s="1883"/>
      <c r="BA68" s="1883"/>
      <c r="BB68" s="1883"/>
      <c r="BC68" s="1533"/>
      <c r="BF68" s="1228"/>
      <c r="BG68" s="1228"/>
      <c r="BH68" s="1228"/>
      <c r="BI68" s="1228"/>
      <c r="BJ68" s="1229"/>
      <c r="BK68" s="1229"/>
    </row>
    <row s="500" customFormat="1" customHeight="1" ht="14.625" hidden="1">
      <c r="A69" s="175"/>
      <c r="B69" s="788"/>
      <c r="C69" s="175"/>
      <c r="D69" s="175"/>
      <c r="E69" s="797">
        <v>15</v>
      </c>
      <c r="F69" s="175"/>
      <c r="G69" s="500"/>
      <c r="H69" s="500"/>
      <c r="I69" s="500"/>
      <c r="J69" s="500"/>
      <c r="K69" s="500"/>
      <c r="L69" s="500"/>
      <c r="M69" s="500"/>
      <c r="N69" s="500"/>
      <c r="O69" s="500"/>
      <c r="P69" s="500"/>
      <c r="Q69" s="739"/>
      <c r="R69" s="739"/>
      <c r="S69" s="500"/>
      <c r="T69" s="808">
        <f>ROW(W69)&gt;ROW(W$69)</f>
        <v>0</v>
      </c>
      <c r="U69" s="175"/>
      <c r="V69" s="179"/>
      <c r="W69" s="175" t="s">
        <v>234</v>
      </c>
      <c r="X69" s="175"/>
      <c r="Y69" s="175"/>
      <c r="Z69" s="175"/>
      <c r="AA69" s="917" t="s">
        <v>218</v>
      </c>
      <c r="AB69" s="1884"/>
      <c r="AC69" s="1884"/>
      <c r="AD69" s="1884"/>
      <c r="AE69" s="1884"/>
      <c r="AF69" s="1884"/>
      <c r="AG69" s="1884"/>
      <c r="AH69" s="1884"/>
      <c r="AI69" s="1533"/>
      <c r="AJ69" s="1883"/>
      <c r="AK69" s="1883"/>
      <c r="AL69" s="1883"/>
      <c r="AM69" s="1883"/>
      <c r="AN69" s="1883"/>
      <c r="AO69" s="1883"/>
      <c r="AP69" s="1883"/>
      <c r="AQ69" s="1883"/>
      <c r="AR69" s="1883"/>
      <c r="AS69" s="1533"/>
      <c r="AT69" s="1883"/>
      <c r="AU69" s="1883"/>
      <c r="AV69" s="1883"/>
      <c r="AW69" s="1883"/>
      <c r="AX69" s="1883"/>
      <c r="AY69" s="1883"/>
      <c r="AZ69" s="1883"/>
      <c r="BA69" s="1883"/>
      <c r="BB69" s="1883"/>
      <c r="BC69" s="1883"/>
      <c r="BD69" s="500"/>
      <c r="BE69" s="500"/>
      <c r="BF69" s="1228"/>
      <c r="BG69" s="1228"/>
      <c r="BH69" s="1228"/>
      <c r="BI69" s="1228"/>
      <c r="BJ69" s="1229"/>
      <c r="BK69" s="1229"/>
    </row>
    <row s="500" customFormat="1" customHeight="1" ht="14.625">
      <c r="A70" s="175"/>
      <c r="B70" s="788"/>
      <c r="C70" s="175"/>
      <c r="D70" s="175"/>
      <c r="E70" s="797">
        <v>15</v>
      </c>
      <c r="F70" s="175"/>
      <c r="Q70" s="739"/>
      <c r="R70" s="739"/>
      <c r="T70" s="175"/>
      <c r="U70" s="175"/>
      <c r="V70" s="175"/>
      <c r="W70" s="171" t="s">
        <v>1205</v>
      </c>
      <c r="X70" s="175"/>
      <c r="Y70" s="175"/>
      <c r="Z70" s="175"/>
      <c r="AB70" s="1478" t="s">
        <v>706</v>
      </c>
      <c r="AC70" s="1479"/>
      <c r="AD70" s="383"/>
      <c r="AE70" s="383"/>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5"/>
      <c r="BF70" s="1228"/>
      <c r="BG70" s="1228"/>
      <c r="BH70" s="1228"/>
      <c r="BI70" s="1228"/>
      <c r="BJ70" s="1229"/>
      <c r="BK70" s="1229"/>
    </row>
    <row customHeight="1" ht="11.25">
      <c r="AI71" s="223"/>
      <c r="AJ71" s="223"/>
      <c r="AK71" s="223"/>
      <c r="AL71" s="223"/>
      <c r="AM71" s="223"/>
      <c r="AN71" s="223"/>
      <c r="AO71" s="223"/>
      <c r="AP71" s="223"/>
      <c r="AQ71" s="223"/>
      <c r="AR71" s="223"/>
      <c r="AS71" s="223"/>
      <c r="AT71" s="223"/>
      <c r="AU71" s="223"/>
      <c r="AV71" s="223"/>
      <c r="AW71" s="223"/>
      <c r="AX71" s="223"/>
      <c r="AY71" s="223"/>
      <c r="AZ71" s="223"/>
      <c r="BA71" s="223"/>
      <c r="BB71" s="223"/>
      <c r="BD71" s="223"/>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BDD2C8-63D8-BA28-845D-.8CA01E9BD2F}"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I75" sqref="AI75:AJ75"/>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8.57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500" width="5.1328125" customWidth="1"/>
    <col min="29" max="29" style="500" width="56.75390625" customWidth="1"/>
    <col min="30" max="30" style="500" width="12.1328125" customWidth="1"/>
    <col min="31" max="36" style="500" width="13.1328125" customWidth="1"/>
    <col min="37" max="37" style="500" width="30.75390625" customWidth="1"/>
    <col min="38" max="38" style="500" width="3.00390625" customWidth="1"/>
    <col min="39" max="39" style="500" width="9.140625" hidden="1"/>
    <col min="40" max="40" style="1219" width="16.421875" hidden="1" customWidth="1"/>
    <col min="41" max="41" style="1219" width="11.7109375" hidden="1" customWidth="1"/>
    <col min="42" max="42" style="1219" width="11.28125" hidden="1" customWidth="1"/>
    <col min="43" max="43" style="1230" width="16.140625" hidden="1" customWidth="1"/>
    <col min="44" max="44" style="1230" width="9.140625" hidden="1"/>
  </cols>
  <sheetData>
    <row s="1582" customFormat="1" customHeight="1" ht="12" hidden="1">
      <c r="B1" s="788"/>
      <c r="E1" s="788"/>
      <c r="F1" s="819" t="s">
        <v>83</v>
      </c>
      <c r="G1" s="213"/>
      <c r="H1" s="213"/>
      <c r="I1" s="213"/>
      <c r="J1" s="213"/>
      <c r="K1" s="213"/>
      <c r="L1" s="213"/>
      <c r="M1" s="213"/>
      <c r="N1" s="213"/>
      <c r="O1" s="213"/>
      <c r="P1" s="213"/>
      <c r="Q1" s="739"/>
      <c r="R1" s="739"/>
      <c r="S1" s="213"/>
      <c r="T1" s="808" t="s">
        <v>86</v>
      </c>
      <c r="U1" s="808" t="s">
        <v>91</v>
      </c>
      <c r="V1" s="808" t="s">
        <v>87</v>
      </c>
      <c r="W1" s="808" t="s">
        <v>88</v>
      </c>
      <c r="X1" s="808" t="s">
        <v>89</v>
      </c>
      <c r="Y1" s="819" t="s">
        <v>372</v>
      </c>
      <c r="Z1" s="808" t="s">
        <v>93</v>
      </c>
      <c r="AA1" s="819" t="s">
        <v>90</v>
      </c>
      <c r="AB1" s="819" t="s">
        <v>92</v>
      </c>
      <c r="AC1" s="819" t="s">
        <v>92</v>
      </c>
      <c r="AI1" s="1582"/>
      <c r="AJ1" s="1582"/>
      <c r="AN1" s="1184" t="s">
        <v>373</v>
      </c>
      <c r="AO1" s="1184" t="s">
        <v>374</v>
      </c>
      <c r="AP1" s="1184" t="s">
        <v>375</v>
      </c>
      <c r="AQ1" s="1187" t="s">
        <v>378</v>
      </c>
      <c r="AR1" s="1187" t="s">
        <v>379</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1</v>
      </c>
      <c r="AN2" s="1176"/>
      <c r="AO2" s="1176"/>
      <c r="AP2" s="1176"/>
      <c r="AQ2" s="1188"/>
      <c r="AR2" s="1188"/>
    </row>
    <row s="1582" customFormat="1" customHeight="1" ht="12" hidden="1">
      <c r="B3" s="788"/>
      <c r="E3" s="788"/>
      <c r="G3" s="213"/>
      <c r="H3" s="213"/>
      <c r="I3" s="213"/>
      <c r="J3" s="213"/>
      <c r="K3" s="213"/>
      <c r="L3" s="213"/>
      <c r="M3" s="213"/>
      <c r="N3" s="213"/>
      <c r="O3" s="213"/>
      <c r="P3" s="213"/>
      <c r="Q3" s="739"/>
      <c r="R3" s="739"/>
      <c r="S3" s="213"/>
      <c r="AI3" s="1582"/>
      <c r="AJ3" s="1582"/>
      <c r="AN3" s="1184"/>
      <c r="AO3" s="1184"/>
      <c r="AP3" s="1184"/>
      <c r="AQ3" s="1187"/>
      <c r="AR3" s="1187"/>
    </row>
    <row s="1582" customFormat="1" customHeight="1" ht="12" hidden="1">
      <c r="B4" s="788"/>
      <c r="E4" s="788"/>
      <c r="G4" s="213"/>
      <c r="H4" s="213"/>
      <c r="I4" s="213"/>
      <c r="J4" s="213"/>
      <c r="K4" s="213"/>
      <c r="L4" s="213"/>
      <c r="M4" s="213"/>
      <c r="N4" s="213"/>
      <c r="O4" s="213"/>
      <c r="P4" s="213"/>
      <c r="Q4" s="739"/>
      <c r="R4" s="739"/>
      <c r="S4" s="213"/>
      <c r="AI4" s="1582"/>
      <c r="AJ4" s="1582"/>
      <c r="AN4" s="1184"/>
      <c r="AO4" s="1184"/>
      <c r="AP4" s="1184"/>
      <c r="AQ4" s="1187"/>
      <c r="AR4" s="1187"/>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5.13</v>
      </c>
      <c r="AC5" s="797">
        <v>56.75</v>
      </c>
      <c r="AD5" s="797">
        <v>12.13</v>
      </c>
      <c r="AE5" s="797">
        <v>13.13</v>
      </c>
      <c r="AF5" s="797">
        <v>13.13</v>
      </c>
      <c r="AG5" s="797">
        <v>13.13</v>
      </c>
      <c r="AH5" s="797">
        <v>13.13</v>
      </c>
      <c r="AI5" s="797">
        <v>13.13</v>
      </c>
      <c r="AJ5" s="797">
        <v>13.13</v>
      </c>
      <c r="AK5" s="797">
        <v>30.75</v>
      </c>
      <c r="AL5" s="797">
        <v>3</v>
      </c>
      <c r="AN5" s="1176"/>
      <c r="AO5" s="1176"/>
      <c r="AP5" s="1176"/>
      <c r="AQ5" s="1188"/>
      <c r="AR5" s="1188"/>
    </row>
    <row s="1582" customFormat="1" customHeight="1" ht="12" hidden="1">
      <c r="B6" s="788"/>
      <c r="E6" s="797"/>
      <c r="G6" s="213"/>
      <c r="H6" s="213"/>
      <c r="I6" s="213"/>
      <c r="J6" s="213"/>
      <c r="K6" s="213"/>
      <c r="L6" s="213"/>
      <c r="M6" s="213"/>
      <c r="N6" s="213"/>
      <c r="O6" s="213"/>
      <c r="P6" s="213"/>
      <c r="Q6" s="739"/>
      <c r="R6" s="739"/>
      <c r="S6" s="213"/>
      <c r="AE6" s="175">
        <f>god-2</f>
        <v>2024</v>
      </c>
      <c r="AF6" s="175">
        <f>god-2</f>
        <v>2024</v>
      </c>
      <c r="AG6" s="175">
        <f>god-2</f>
        <v>2024</v>
      </c>
      <c r="AH6" s="175">
        <f>god-1</f>
        <v>2025</v>
      </c>
      <c r="AI6" s="175" cm="1" t="str">
        <f t="array" ref="AI6:AI6">god</f>
        <v>2026</v>
      </c>
      <c r="AJ6" s="175" cm="1" t="str">
        <f t="array" ref="AJ6:AJ6">god</f>
        <v>2026</v>
      </c>
      <c r="AK6" s="183"/>
      <c r="AN6" s="1184"/>
      <c r="AO6" s="1184"/>
      <c r="AP6" s="1184"/>
      <c r="AQ6" s="1187"/>
      <c r="AR6" s="1187"/>
    </row>
    <row customHeight="1" ht="12" hidden="1">
      <c r="F7" s="213"/>
      <c r="T7" s="213"/>
      <c r="U7" s="213"/>
      <c r="V7" s="213"/>
      <c r="W7" s="213"/>
      <c r="X7" s="213"/>
      <c r="Y7" s="213"/>
      <c r="Z7" s="213"/>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Принято органом регулирования</v>
      </c>
      <c r="AI7" s="213" cm="1" t="str">
        <f t="array" ref="AI7:AI7">AI25</f>
        <v>Предложение организации</v>
      </c>
      <c r="AJ7" s="213" cm="1" t="str">
        <f t="array" ref="AJ7:AJ7">AJ25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2026Принято органом регулирования</v>
      </c>
    </row>
    <row s="1217" customFormat="1" customHeight="1" ht="12" hidden="1">
      <c r="A9" s="1161" t="s">
        <v>437</v>
      </c>
      <c r="B9" s="1154"/>
      <c r="E9" s="1154"/>
      <c r="Q9" s="1163"/>
      <c r="R9" s="1163"/>
      <c r="AE9" s="1162">
        <f>god-2</f>
        <v>2024</v>
      </c>
      <c r="AF9" s="1162">
        <f>god-2</f>
        <v>2024</v>
      </c>
      <c r="AG9" s="1162">
        <f>god-2</f>
        <v>2024</v>
      </c>
      <c r="AH9" s="1162">
        <f>god-1</f>
        <v>2025</v>
      </c>
      <c r="AI9" s="1162" cm="1" t="str">
        <f t="array" ref="AI9:AI9">god</f>
        <v>2026</v>
      </c>
      <c r="AJ9" s="1162" cm="1" t="str">
        <f t="array" ref="AJ9:AJ9">god</f>
        <v>2026</v>
      </c>
      <c r="AN9" s="1184"/>
      <c r="AO9" s="1184"/>
      <c r="AP9" s="1184"/>
      <c r="AQ9" s="1187"/>
      <c r="AR9" s="1187"/>
    </row>
    <row s="1217" customFormat="1" customHeight="1" ht="12" hidden="1">
      <c r="A10" s="1161" t="s">
        <v>438</v>
      </c>
      <c r="B10" s="1154"/>
      <c r="E10" s="1154"/>
      <c r="Q10" s="1163"/>
      <c r="R10" s="1163"/>
      <c r="AE10" s="1162" cm="1" t="str">
        <f t="array" ref="AE10:AE10">AE25</f>
        <v>Принято органом регулирования</v>
      </c>
      <c r="AF10" s="1162" cm="1" t="str">
        <f t="array" ref="AF10:AF10">AF25</f>
        <v>Факт по данным организации</v>
      </c>
      <c r="AG10" s="1162" cm="1" t="str">
        <f t="array" ref="AG10:AG10">AG25</f>
        <v>Факт, принятый органом регулирования</v>
      </c>
      <c r="AH10" s="1162" cm="1" t="str">
        <f t="array" ref="AH10:AH10">AH25</f>
        <v>Принято органом регулирования</v>
      </c>
      <c r="AI10" s="1162" cm="1" t="str">
        <f t="array" ref="AI10:AI10">AI25</f>
        <v>Предложение организации</v>
      </c>
      <c r="AJ10" s="1162" cm="1" t="str">
        <f t="array" ref="AJ10:AJ10">AJ25</f>
        <v>Принято органом регулирования</v>
      </c>
      <c r="AN10" s="1184"/>
      <c r="AO10" s="1184"/>
      <c r="AP10" s="1184"/>
      <c r="AQ10" s="1187"/>
      <c r="AR10" s="1187"/>
    </row>
    <row s="1220" customFormat="1" customHeight="1" ht="12" hidden="1">
      <c r="A11" s="1161" t="s">
        <v>439</v>
      </c>
      <c r="B11" s="1154"/>
      <c r="C11" s="1162"/>
      <c r="D11" s="1162"/>
      <c r="E11" s="1154"/>
      <c r="Q11" s="1185"/>
      <c r="R11" s="1185"/>
      <c r="AI11" s="1220"/>
      <c r="AJ11" s="1220"/>
      <c r="AK11" s="1170" cm="1" t="str">
        <f t="array" ref="AK11:AK11">AK24</f>
        <v>Ссылка на правовую норму (основание для принятия показателя в расчет тарифа)</v>
      </c>
      <c r="AN11" s="1184"/>
      <c r="AO11" s="1184"/>
      <c r="AP11" s="1184"/>
      <c r="AQ11" s="1187"/>
      <c r="AR11" s="1187"/>
    </row>
    <row s="1217" customFormat="1" customHeight="1" ht="12" hidden="1">
      <c r="A12" s="1161" t="s">
        <v>384</v>
      </c>
      <c r="B12" s="1154"/>
      <c r="E12" s="1154"/>
      <c r="G12" s="1170"/>
      <c r="H12" s="1170"/>
      <c r="I12" s="1170"/>
      <c r="J12" s="1170"/>
      <c r="K12" s="1170"/>
      <c r="L12" s="1170"/>
      <c r="M12" s="1170"/>
      <c r="N12" s="1170"/>
      <c r="O12" s="1170"/>
      <c r="P12" s="1170"/>
      <c r="Q12" s="1185"/>
      <c r="R12" s="1185"/>
      <c r="S12" s="1170"/>
      <c r="AC12" s="1162" t="s">
        <v>375</v>
      </c>
      <c r="AI12" s="1217"/>
      <c r="AJ12" s="1217"/>
      <c r="AN12" s="1184"/>
      <c r="AO12" s="1184"/>
      <c r="AP12" s="1184"/>
      <c r="AQ12" s="1187"/>
      <c r="AR12" s="1187"/>
    </row>
    <row s="1582" customFormat="1" customHeight="1" ht="12" hidden="1">
      <c r="B13" s="788"/>
      <c r="E13" s="797"/>
      <c r="G13" s="213"/>
      <c r="H13" s="213"/>
      <c r="I13" s="213"/>
      <c r="J13" s="213"/>
      <c r="K13" s="213"/>
      <c r="L13" s="213"/>
      <c r="M13" s="213"/>
      <c r="N13" s="213"/>
      <c r="O13" s="213"/>
      <c r="P13" s="213"/>
      <c r="Q13" s="739"/>
      <c r="R13" s="739"/>
      <c r="S13" s="213"/>
      <c r="AI13" s="1582"/>
      <c r="AJ13" s="1582"/>
      <c r="AN13" s="1184"/>
      <c r="AO13" s="1184"/>
      <c r="AP13" s="1184"/>
      <c r="AQ13" s="1187"/>
      <c r="AR13" s="1187"/>
    </row>
    <row s="1582" customFormat="1" customHeight="1" ht="12" hidden="1">
      <c r="B14" s="788"/>
      <c r="E14" s="797"/>
      <c r="G14" s="213"/>
      <c r="H14" s="213"/>
      <c r="I14" s="213"/>
      <c r="J14" s="213"/>
      <c r="K14" s="213"/>
      <c r="L14" s="213"/>
      <c r="M14" s="213"/>
      <c r="N14" s="213"/>
      <c r="O14" s="213"/>
      <c r="P14" s="213"/>
      <c r="Q14" s="739"/>
      <c r="R14" s="739"/>
      <c r="S14" s="213"/>
      <c r="AI14" s="1582"/>
      <c r="AJ14" s="1582"/>
      <c r="AN14" s="1184"/>
      <c r="AO14" s="1184"/>
      <c r="AP14" s="1184"/>
      <c r="AQ14" s="1187"/>
      <c r="AR14" s="1187"/>
    </row>
    <row s="1582" customFormat="1" customHeight="1" ht="12" hidden="1">
      <c r="B15" s="788"/>
      <c r="E15" s="797"/>
      <c r="G15" s="213"/>
      <c r="H15" s="213"/>
      <c r="I15" s="213"/>
      <c r="J15" s="213"/>
      <c r="K15" s="213"/>
      <c r="L15" s="213"/>
      <c r="M15" s="213"/>
      <c r="N15" s="213"/>
      <c r="O15" s="213"/>
      <c r="P15" s="213"/>
      <c r="Q15" s="739"/>
      <c r="R15" s="739"/>
      <c r="S15" s="213"/>
      <c r="AI15" s="1582"/>
      <c r="AJ15" s="1582"/>
      <c r="AN15" s="1184"/>
      <c r="AO15" s="1184"/>
      <c r="AP15" s="1184"/>
      <c r="AQ15" s="1187"/>
      <c r="AR15" s="1187"/>
    </row>
    <row s="1582" customFormat="1" customHeight="1" ht="12" hidden="1">
      <c r="B16" s="788"/>
      <c r="E16" s="797"/>
      <c r="G16" s="213"/>
      <c r="H16" s="213"/>
      <c r="I16" s="213"/>
      <c r="J16" s="213"/>
      <c r="K16" s="213"/>
      <c r="L16" s="213"/>
      <c r="M16" s="213"/>
      <c r="N16" s="213"/>
      <c r="O16" s="213"/>
      <c r="P16" s="213"/>
      <c r="Q16" s="739"/>
      <c r="R16" s="739"/>
      <c r="S16" s="213"/>
      <c r="AI16" s="1582"/>
      <c r="AJ16" s="1582"/>
      <c r="AN16" s="1184"/>
      <c r="AO16" s="1184"/>
      <c r="AP16" s="1184"/>
      <c r="AQ16" s="1187"/>
      <c r="AR16" s="1187"/>
    </row>
    <row s="1582" customFormat="1" customHeight="1" ht="12" hidden="1">
      <c r="B17" s="788"/>
      <c r="E17" s="797"/>
      <c r="G17" s="213"/>
      <c r="H17" s="213"/>
      <c r="I17" s="213"/>
      <c r="J17" s="213"/>
      <c r="K17" s="213"/>
      <c r="L17" s="213"/>
      <c r="M17" s="213"/>
      <c r="N17" s="213"/>
      <c r="O17" s="213"/>
      <c r="P17" s="213"/>
      <c r="Q17" s="739"/>
      <c r="R17" s="739"/>
      <c r="S17" s="213"/>
      <c r="AI17" s="1582"/>
      <c r="AJ17" s="1582"/>
      <c r="AK17" s="183"/>
      <c r="AN17" s="1184"/>
      <c r="AO17" s="1184"/>
      <c r="AP17" s="1184"/>
      <c r="AQ17" s="1187"/>
      <c r="AR17" s="1187"/>
    </row>
    <row s="1582" customFormat="1" customHeight="1" ht="12" hidden="1">
      <c r="A18" s="1020" t="s">
        <v>495</v>
      </c>
      <c r="B18" s="788"/>
      <c r="E18" s="797"/>
      <c r="G18" s="213"/>
      <c r="H18" s="213"/>
      <c r="I18" s="213"/>
      <c r="J18" s="213"/>
      <c r="K18" s="213"/>
      <c r="L18" s="213"/>
      <c r="M18" s="213"/>
      <c r="N18" s="213"/>
      <c r="O18" s="213"/>
      <c r="P18" s="213"/>
      <c r="Q18" s="739"/>
      <c r="R18" s="739"/>
      <c r="S18" s="213"/>
      <c r="AC18" s="175" t="s">
        <v>225</v>
      </c>
      <c r="AI18" s="1582"/>
      <c r="AJ18" s="1582"/>
      <c r="AN18" s="1184"/>
      <c r="AO18" s="1184"/>
      <c r="AP18" s="1184"/>
      <c r="AQ18" s="1187"/>
      <c r="AR18" s="1187"/>
    </row>
    <row s="1582" customFormat="1" customHeight="1" ht="12" hidden="1">
      <c r="B19" s="788"/>
      <c r="E19" s="797"/>
      <c r="G19" s="213"/>
      <c r="H19" s="213"/>
      <c r="I19" s="213"/>
      <c r="J19" s="213"/>
      <c r="K19" s="213"/>
      <c r="L19" s="213"/>
      <c r="M19" s="213"/>
      <c r="N19" s="213"/>
      <c r="O19" s="213"/>
      <c r="P19" s="213"/>
      <c r="Q19" s="739"/>
      <c r="R19" s="739"/>
      <c r="S19" s="213"/>
      <c r="AI19" s="1582"/>
      <c r="AJ19" s="1582"/>
      <c r="AN19" s="1184"/>
      <c r="AO19" s="1184"/>
      <c r="AP19" s="1184"/>
      <c r="AQ19" s="1187"/>
      <c r="AR19" s="1187"/>
    </row>
    <row s="1582" customFormat="1" customHeight="1" ht="12" hidden="1">
      <c r="B20" s="788"/>
      <c r="E20" s="797"/>
      <c r="G20" s="213"/>
      <c r="H20" s="213"/>
      <c r="I20" s="213"/>
      <c r="J20" s="213"/>
      <c r="K20" s="213"/>
      <c r="L20" s="213"/>
      <c r="M20" s="213"/>
      <c r="N20" s="213"/>
      <c r="O20" s="213"/>
      <c r="P20" s="213"/>
      <c r="Q20" s="739"/>
      <c r="R20" s="739"/>
      <c r="S20" s="213"/>
      <c r="AI20" s="1582"/>
      <c r="AJ20" s="1582"/>
      <c r="AN20" s="1184"/>
      <c r="AO20" s="1184"/>
      <c r="AP20" s="1184"/>
      <c r="AQ20" s="1187"/>
      <c r="AR20" s="1187"/>
    </row>
    <row customHeight="1" ht="14.625">
      <c r="E21" s="797">
        <v>15</v>
      </c>
      <c r="AA21" s="820"/>
      <c r="AC21" s="403" cm="1" t="str">
        <f t="array" ref="AC21:AC21">tpl_title</f>
        <v>Кемеровская область / 2026 / ООО "ВЕЛЕС" (ИНН:4212036655, КПП:421201001) / ДПР: 2016-2025</v>
      </c>
      <c r="AI21" s="500"/>
      <c r="AJ21" s="500"/>
    </row>
    <row s="965" customFormat="1" customHeight="1" ht="19.5975">
      <c r="A22" s="179"/>
      <c r="B22" s="788"/>
      <c r="C22" s="179"/>
      <c r="D22" s="179"/>
      <c r="E22" s="797">
        <v>20.1</v>
      </c>
      <c r="F22" s="179"/>
      <c r="Q22" s="739"/>
      <c r="R22" s="739"/>
      <c r="T22" s="179"/>
      <c r="U22" s="179"/>
      <c r="V22" s="179"/>
      <c r="W22" s="179"/>
      <c r="X22" s="179"/>
      <c r="Y22" s="179"/>
      <c r="Z22" s="179"/>
      <c r="AB22" s="392" t="s">
        <v>49</v>
      </c>
      <c r="AC22" s="404"/>
      <c r="AD22" s="404"/>
      <c r="AE22" s="404"/>
      <c r="AF22" s="404"/>
      <c r="AG22" s="404"/>
      <c r="AH22" s="404"/>
      <c r="AI22" s="404"/>
      <c r="AJ22" s="404"/>
      <c r="AK22" s="404"/>
      <c r="AN22" s="1180"/>
      <c r="AO22" s="1180"/>
      <c r="AP22" s="1180"/>
      <c r="AQ22" s="1189"/>
      <c r="AR22" s="1189"/>
    </row>
    <row s="965" customFormat="1" customHeight="1" ht="11.115">
      <c r="A23" s="179"/>
      <c r="B23" s="788"/>
      <c r="C23" s="179"/>
      <c r="D23" s="179"/>
      <c r="E23" s="797">
        <v>11.4</v>
      </c>
      <c r="F23" s="179"/>
      <c r="Q23" s="739"/>
      <c r="R23" s="739"/>
      <c r="T23" s="179"/>
      <c r="U23" s="179"/>
      <c r="V23" s="179"/>
      <c r="W23" s="179"/>
      <c r="X23" s="179"/>
      <c r="Y23" s="179"/>
      <c r="Z23" s="179"/>
      <c r="AB23" s="405"/>
      <c r="AC23" s="274"/>
      <c r="AD23" s="274"/>
      <c r="AE23" s="274"/>
      <c r="AF23" s="274"/>
      <c r="AG23" s="274"/>
      <c r="AH23" s="274"/>
      <c r="AI23" s="274"/>
      <c r="AJ23" s="274"/>
      <c r="AK23" s="274"/>
      <c r="AN23" s="1180"/>
      <c r="AO23" s="1180"/>
      <c r="AP23" s="1180"/>
      <c r="AQ23" s="1189"/>
      <c r="AR23" s="1189"/>
    </row>
    <row s="215" customFormat="1" customHeight="1" ht="14.625">
      <c r="A24" s="171"/>
      <c r="B24" s="792"/>
      <c r="C24" s="171"/>
      <c r="D24" s="171"/>
      <c r="E24" s="803">
        <v>15</v>
      </c>
      <c r="F24" s="171"/>
      <c r="Q24" s="920"/>
      <c r="R24" s="739"/>
      <c r="T24" s="171"/>
      <c r="U24" s="171"/>
      <c r="V24" s="171"/>
      <c r="W24" s="171"/>
      <c r="X24" s="171"/>
      <c r="Y24" s="171"/>
      <c r="Z24" s="171"/>
      <c r="AB24" s="1530" t="s">
        <v>995</v>
      </c>
      <c r="AC24" s="1538" t="s">
        <v>225</v>
      </c>
      <c r="AD24" s="1530" t="s">
        <v>441</v>
      </c>
      <c r="AE24" s="169" t="str">
        <f>god-2&amp;" год"</f>
        <v>2024 год</v>
      </c>
      <c r="AF24" s="1358" t="str">
        <f>god-2&amp;" год"</f>
        <v>2024 год</v>
      </c>
      <c r="AG24" s="169" t="str">
        <f>god-2&amp;" год"</f>
        <v>2024 год</v>
      </c>
      <c r="AH24" s="169" t="str">
        <f>god-1&amp;" год"</f>
        <v>2025 год</v>
      </c>
      <c r="AI24" s="1356" t="str">
        <f>god&amp;" год"</f>
        <v>2026 год</v>
      </c>
      <c r="AJ24" s="170" t="str">
        <f>god&amp;" год"</f>
        <v>2026 год</v>
      </c>
      <c r="AK24" s="1475" t="s">
        <v>595</v>
      </c>
      <c r="AN24" s="1184"/>
      <c r="AO24" s="1190"/>
      <c r="AP24" s="1190"/>
      <c r="AQ24" s="1191"/>
      <c r="AR24" s="1191"/>
    </row>
    <row s="215" customFormat="1" customHeight="1" ht="43.875">
      <c r="A25" s="171"/>
      <c r="B25" s="792"/>
      <c r="C25" s="171"/>
      <c r="D25" s="171"/>
      <c r="E25" s="803">
        <v>45</v>
      </c>
      <c r="F25" s="171"/>
      <c r="Q25" s="920"/>
      <c r="R25" s="739"/>
      <c r="T25" s="171"/>
      <c r="U25" s="171"/>
      <c r="V25" s="171"/>
      <c r="W25" s="171"/>
      <c r="X25" s="171"/>
      <c r="Y25" s="171"/>
      <c r="Z25" s="171"/>
      <c r="AB25" s="1537"/>
      <c r="AC25" s="1537"/>
      <c r="AD25" s="1537"/>
      <c r="AE25" s="169" t="s">
        <v>402</v>
      </c>
      <c r="AF25" s="1358" t="s">
        <v>596</v>
      </c>
      <c r="AG25" s="169" t="s">
        <v>597</v>
      </c>
      <c r="AH25" s="169" t="s">
        <v>402</v>
      </c>
      <c r="AI25" s="1357" t="s">
        <v>403</v>
      </c>
      <c r="AJ25" s="413" t="s">
        <v>402</v>
      </c>
      <c r="AK25" s="1537"/>
      <c r="AN25" s="1184"/>
      <c r="AO25" s="1190"/>
      <c r="AP25" s="1190"/>
      <c r="AQ25" s="1191"/>
      <c r="AR25" s="1191"/>
    </row>
    <row s="215" customFormat="1" customHeight="1" ht="45" hidden="1">
      <c r="A26" s="171"/>
      <c r="B26" s="792"/>
      <c r="C26" s="171"/>
      <c r="D26" s="171"/>
      <c r="E26" s="803">
        <v>0</v>
      </c>
      <c r="F26" s="171"/>
      <c r="Q26" s="920"/>
      <c r="R26" s="739"/>
      <c r="T26" s="171"/>
      <c r="U26" s="171"/>
      <c r="V26" s="171"/>
      <c r="W26" s="171"/>
      <c r="X26" s="171"/>
      <c r="Y26" s="171"/>
      <c r="Z26" s="171"/>
      <c r="AB26" s="509"/>
      <c r="AC26" s="507"/>
      <c r="AD26" s="507"/>
      <c r="AE26" s="510"/>
      <c r="AF26" s="510"/>
      <c r="AG26" s="510"/>
      <c r="AH26" s="510"/>
      <c r="AI26" s="171"/>
      <c r="AJ26" s="171"/>
      <c r="AK26" s="507"/>
      <c r="AN26" s="1184"/>
      <c r="AO26" s="1190"/>
      <c r="AP26" s="1190"/>
      <c r="AQ26" s="1191"/>
      <c r="AR26" s="1191"/>
    </row>
    <row s="1462" customFormat="1" customHeight="1" ht="11.115" hidden="1">
      <c r="E27" s="803">
        <v>11.4</v>
      </c>
      <c r="F27" s="922" cm="1" t="str">
        <f t="array" ref="F27:F27">X27</f>
        <v>0</v>
      </c>
      <c r="G27" s="739" t="s">
        <v>48</v>
      </c>
      <c r="T27" s="819">
        <f>F27&gt;0</f>
        <v>0</v>
      </c>
      <c r="V27" s="171" t="s">
        <v>310</v>
      </c>
      <c r="X27" s="171">
        <v>0</v>
      </c>
      <c r="AB27" s="320" cm="1" t="str">
        <f t="array" ref="AB27:AB27">INDEX('Общие сведения'!$AG$169:$AG$202,MATCH($F27,'Общие сведения'!$Z$169:$Z$202,0))</f>
        <v>Тариф 0 (Теплоснабжение) - </v>
      </c>
      <c r="AC27" s="260"/>
      <c r="AD27" s="260"/>
      <c r="AE27" s="380">
        <f>AE28+AE34+AE40+AE46</f>
        <v>0</v>
      </c>
      <c r="AF27" s="380">
        <f>AF28+AF34+AF40+AF46</f>
        <v>0</v>
      </c>
      <c r="AG27" s="380">
        <f>AG28+AG34+AG40+AG46</f>
        <v>0</v>
      </c>
      <c r="AH27" s="380">
        <f>AH28+AH34+AH40+AH46</f>
        <v>0</v>
      </c>
      <c r="AI27" s="380">
        <f>AI28+AI34+AI40+AI46</f>
        <v>0</v>
      </c>
      <c r="AJ27" s="380">
        <f>AJ28+AJ34+AJ40+AJ46</f>
        <v>0</v>
      </c>
      <c r="AK27" s="380"/>
      <c r="AN27" s="1184"/>
      <c r="AO27" s="1190"/>
      <c r="AP27" s="1190"/>
      <c r="AQ27" s="1191"/>
      <c r="AR27" s="1191"/>
    </row>
    <row s="1462" customFormat="1" customHeight="1" ht="18.330000000000002" hidden="1">
      <c r="E28" s="803">
        <v>18.8</v>
      </c>
      <c r="F28" s="922" cm="1" t="str">
        <f t="array" ref="F28:F28">OFFSET(G28,-1,-1)</f>
        <v>0</v>
      </c>
      <c r="G28" s="739" t="s">
        <v>1206</v>
      </c>
      <c r="H28" s="213" t="s">
        <v>1207</v>
      </c>
      <c r="T28" s="819">
        <f>F28&gt;0</f>
        <v>0</v>
      </c>
      <c r="AB28" s="406">
        <v>1</v>
      </c>
      <c r="AC28" s="407" t="s">
        <v>1208</v>
      </c>
      <c r="AD28" s="157" t="s">
        <v>810</v>
      </c>
      <c r="AE28" s="107"/>
      <c r="AF28" s="107"/>
      <c r="AG28" s="107"/>
      <c r="AH28" s="107"/>
      <c r="AI28" s="282">
        <f>_xlfn.SUMIFS(AI29:AI33,$AD29:$AD33,$AD28)</f>
        <v>0</v>
      </c>
      <c r="AJ28" s="282">
        <f>_xlfn.SUMIFS(AJ29:AJ33,$AD29:$AD33,$AD28)</f>
        <v>0</v>
      </c>
      <c r="AK28" s="79"/>
      <c r="AN28" s="1184" t="s">
        <v>1209</v>
      </c>
      <c r="AO28" s="1190"/>
      <c r="AP28" s="1190"/>
      <c r="AQ28" s="1191"/>
      <c r="AR28" s="1191"/>
    </row>
    <row s="1462" customFormat="1" customHeight="1" ht="11.25" hidden="1">
      <c r="E29" s="803">
        <v>0</v>
      </c>
      <c r="F29" s="922" cm="1" t="str">
        <f t="array" ref="F29:F29">OFFSET(G29,-1,-1)</f>
        <v>0</v>
      </c>
      <c r="T29" s="819">
        <f>F29&gt;0</f>
        <v>0</v>
      </c>
      <c r="AB29" s="406"/>
      <c r="AC29" s="407"/>
      <c r="AD29" s="157"/>
      <c r="AE29" s="169"/>
      <c r="AF29" s="169"/>
      <c r="AG29" s="169"/>
      <c r="AH29" s="169"/>
      <c r="AI29" s="284"/>
      <c r="AJ29" s="284"/>
      <c r="AK29" s="842"/>
      <c r="AN29" s="1184" t="s">
        <v>245</v>
      </c>
      <c r="AO29" s="1190"/>
      <c r="AP29" s="1190"/>
      <c r="AQ29" s="1191"/>
      <c r="AR29" s="1191"/>
    </row>
    <row s="1462" customFormat="1" customHeight="1" ht="16.575" hidden="1">
      <c r="E30" s="803">
        <v>17</v>
      </c>
      <c r="F30" s="922" cm="1" t="str">
        <f t="array" ref="F30:F30">OFFSET(G30,-1,-1)</f>
        <v>0</v>
      </c>
      <c r="H30" s="213" t="s">
        <v>1207</v>
      </c>
      <c r="I30" s="213" cm="1" t="str">
        <f t="array" ref="I30:I30">AC30</f>
        <v>0</v>
      </c>
      <c r="T30" s="819">
        <f>AND(F30&gt;0,Y30&gt;0)</f>
        <v>0</v>
      </c>
      <c r="W30" s="159" t="s">
        <v>234</v>
      </c>
      <c r="Y30" s="171">
        <v>0</v>
      </c>
      <c r="AA30" s="1536" t="s">
        <v>218</v>
      </c>
      <c r="AB30" s="406" t="str">
        <f>"1."&amp;Y30</f>
        <v>1.0</v>
      </c>
      <c r="AC30" s="54"/>
      <c r="AD30" s="157" t="s">
        <v>810</v>
      </c>
      <c r="AE30" s="169"/>
      <c r="AF30" s="169"/>
      <c r="AG30" s="169"/>
      <c r="AH30" s="169"/>
      <c r="AI30" s="1665">
        <f>AI31*AI32*12/1000</f>
        <v>0</v>
      </c>
      <c r="AJ30" s="1665">
        <f>AJ31*AJ32*12/1000</f>
        <v>0</v>
      </c>
      <c r="AK30" s="79"/>
      <c r="AN30" s="1184" t="s">
        <v>1210</v>
      </c>
      <c r="AO30" s="1190" t="s">
        <v>1211</v>
      </c>
      <c r="AP30" s="1190" cm="1" t="str">
        <f t="array" ref="AP30:AP30">AC30</f>
        <v>0</v>
      </c>
      <c r="AQ30" s="1191"/>
      <c r="AR30" s="1191" t="b">
        <v>1</v>
      </c>
    </row>
    <row s="1462" customFormat="1" customHeight="1" ht="16.575" hidden="1">
      <c r="E31" s="803">
        <v>17</v>
      </c>
      <c r="F31" s="922" cm="1" t="str">
        <f t="array" ref="F31:F31">OFFSET(G31,-1,-1)</f>
        <v>0</v>
      </c>
      <c r="G31" s="739" t="s">
        <v>1212</v>
      </c>
      <c r="H31" s="213" t="str">
        <f>H30&amp;"_1"</f>
        <v>L1_1</v>
      </c>
      <c r="I31" s="213" cm="1" t="str">
        <f t="array" ref="I31:I31">I30</f>
        <v>0</v>
      </c>
      <c r="T31" s="819" cm="1" t="str">
        <f t="array" ref="T31:T31">T30</f>
        <v>false</v>
      </c>
      <c r="AA31" s="1536"/>
      <c r="AB31" s="406" t="str">
        <f>AB30&amp;".1"</f>
        <v>1.0.1</v>
      </c>
      <c r="AC31" s="294" t="s">
        <v>1213</v>
      </c>
      <c r="AD31" s="157" t="s">
        <v>1214</v>
      </c>
      <c r="AE31" s="169"/>
      <c r="AF31" s="169"/>
      <c r="AG31" s="169"/>
      <c r="AH31" s="169"/>
      <c r="AI31" s="1907"/>
      <c r="AJ31" s="1907"/>
      <c r="AK31" s="79"/>
      <c r="AN31" s="1184" t="s">
        <v>1215</v>
      </c>
      <c r="AO31" s="1190" t="s">
        <v>1211</v>
      </c>
      <c r="AP31" s="1190" cm="1" t="str">
        <f t="array" ref="AP31:AP31">AP30</f>
        <v>0</v>
      </c>
      <c r="AQ31" s="1191"/>
      <c r="AR31" s="1191"/>
    </row>
    <row s="1462" customFormat="1" customHeight="1" ht="16.575" hidden="1">
      <c r="E32" s="803">
        <v>17</v>
      </c>
      <c r="F32" s="922" cm="1" t="str">
        <f t="array" ref="F32:F32">OFFSET(G32,-1,-1)</f>
        <v>0</v>
      </c>
      <c r="H32" s="213" t="str">
        <f>H30&amp;"_2"</f>
        <v>L1_2</v>
      </c>
      <c r="I32" s="213" cm="1" t="str">
        <f t="array" ref="I32:I32">I31</f>
        <v>0</v>
      </c>
      <c r="T32" s="819" cm="1" t="str">
        <f t="array" ref="T32:T32">T31</f>
        <v>false</v>
      </c>
      <c r="AA32" s="1536"/>
      <c r="AB32" s="406" t="str">
        <f>AB30&amp;".2"</f>
        <v>1.0.2</v>
      </c>
      <c r="AC32" s="294" t="s">
        <v>1216</v>
      </c>
      <c r="AD32" s="157" t="s">
        <v>1217</v>
      </c>
      <c r="AE32" s="169"/>
      <c r="AF32" s="169"/>
      <c r="AG32" s="169"/>
      <c r="AH32" s="169"/>
      <c r="AI32" s="1907"/>
      <c r="AJ32" s="1907"/>
      <c r="AK32" s="79"/>
      <c r="AN32" s="1184" t="s">
        <v>1218</v>
      </c>
      <c r="AO32" s="1190" t="s">
        <v>1211</v>
      </c>
      <c r="AP32" s="1190" cm="1" t="str">
        <f t="array" ref="AP32:AP32">AP31</f>
        <v>0</v>
      </c>
      <c r="AQ32" s="1191"/>
      <c r="AR32" s="1191"/>
    </row>
    <row s="1462" customFormat="1" customHeight="1" ht="16.575" hidden="1">
      <c r="E33" s="803">
        <v>17</v>
      </c>
      <c r="F33" s="922" cm="1" t="str">
        <f t="array" ref="F33:F33">OFFSET(G33,-1,-1)</f>
        <v>0</v>
      </c>
      <c r="H33" s="213" t="str">
        <f>F33&amp;"pIns1"</f>
        <v>0pIns1</v>
      </c>
      <c r="T33" s="819">
        <f>F33&gt;0</f>
        <v>0</v>
      </c>
      <c r="W33" s="374" t="s">
        <v>951</v>
      </c>
      <c r="AB33" s="302"/>
      <c r="AC33" s="303" t="s">
        <v>236</v>
      </c>
      <c r="AD33" s="303"/>
      <c r="AE33" s="303"/>
      <c r="AF33" s="303"/>
      <c r="AG33" s="303"/>
      <c r="AH33" s="303"/>
      <c r="AI33" s="303"/>
      <c r="AJ33" s="303"/>
      <c r="AK33" s="1101"/>
      <c r="AN33" s="1184" t="s">
        <v>245</v>
      </c>
      <c r="AO33" s="1190"/>
      <c r="AP33" s="1190"/>
      <c r="AQ33" s="1191" t="s">
        <v>1211</v>
      </c>
      <c r="AR33" s="1191"/>
    </row>
    <row s="1462" customFormat="1" customHeight="1" ht="24.180000000000003" hidden="1">
      <c r="E34" s="803">
        <v>24.8</v>
      </c>
      <c r="F34" s="922" cm="1" t="str">
        <f t="array" ref="F34:F34">OFFSET(G34,-1,-1)</f>
        <v>0</v>
      </c>
      <c r="G34" s="739" t="s">
        <v>1219</v>
      </c>
      <c r="H34" s="213" t="s">
        <v>1196</v>
      </c>
      <c r="T34" s="819">
        <f>F34&gt;0</f>
        <v>0</v>
      </c>
      <c r="AB34" s="406" t="s">
        <v>426</v>
      </c>
      <c r="AC34" s="407" t="s">
        <v>1220</v>
      </c>
      <c r="AD34" s="157" t="s">
        <v>810</v>
      </c>
      <c r="AE34" s="107"/>
      <c r="AF34" s="107"/>
      <c r="AG34" s="107"/>
      <c r="AH34" s="107"/>
      <c r="AI34" s="282">
        <f>_xlfn.SUMIFS(AI35:AI39,$AD35:$AD39,$AD34)</f>
        <v>0</v>
      </c>
      <c r="AJ34" s="282">
        <f>_xlfn.SUMIFS(AJ35:AJ39,$AD35:$AD39,$AD34)</f>
        <v>0</v>
      </c>
      <c r="AK34" s="79"/>
      <c r="AN34" s="1184" t="s">
        <v>1221</v>
      </c>
      <c r="AO34" s="1190"/>
      <c r="AP34" s="1190"/>
      <c r="AQ34" s="1191"/>
      <c r="AR34" s="1191"/>
    </row>
    <row s="1462" customFormat="1" customHeight="1" ht="9" hidden="1">
      <c r="E35" s="803">
        <v>0</v>
      </c>
      <c r="F35" s="922" cm="1" t="str">
        <f t="array" ref="F35:F35">OFFSET(G35,-1,-1)</f>
        <v>0</v>
      </c>
      <c r="T35" s="819">
        <f>F35&gt;0</f>
        <v>0</v>
      </c>
      <c r="AB35" s="406"/>
      <c r="AC35" s="407"/>
      <c r="AD35" s="157"/>
      <c r="AE35" s="169"/>
      <c r="AF35" s="169"/>
      <c r="AG35" s="169"/>
      <c r="AH35" s="169"/>
      <c r="AI35" s="284"/>
      <c r="AJ35" s="284"/>
      <c r="AK35" s="842"/>
      <c r="AN35" s="1184"/>
      <c r="AO35" s="1190"/>
      <c r="AP35" s="1190"/>
      <c r="AQ35" s="1191"/>
      <c r="AR35" s="1191"/>
    </row>
    <row s="1462" customFormat="1" customHeight="1" ht="16.575" hidden="1">
      <c r="E36" s="803">
        <v>17</v>
      </c>
      <c r="F36" s="922" cm="1" t="str">
        <f t="array" ref="F36:F36">OFFSET(G36,-1,-1)</f>
        <v>0</v>
      </c>
      <c r="H36" s="213" t="s">
        <v>1196</v>
      </c>
      <c r="I36" s="213" cm="1" t="str">
        <f t="array" ref="I36:I36">AC36</f>
        <v>0</v>
      </c>
      <c r="T36" s="819">
        <f>AND(F36&gt;0,Y36&gt;0)</f>
        <v>0</v>
      </c>
      <c r="W36" s="159" t="s">
        <v>234</v>
      </c>
      <c r="Y36" s="171">
        <v>0</v>
      </c>
      <c r="AA36" s="1536" t="s">
        <v>218</v>
      </c>
      <c r="AB36" s="406" t="str">
        <f>"2."&amp;Y36</f>
        <v>2.0</v>
      </c>
      <c r="AC36" s="54"/>
      <c r="AD36" s="157" t="s">
        <v>810</v>
      </c>
      <c r="AE36" s="169"/>
      <c r="AF36" s="169"/>
      <c r="AG36" s="169"/>
      <c r="AH36" s="169"/>
      <c r="AI36" s="1665">
        <f>AI37*AI38*12/1000</f>
        <v>0</v>
      </c>
      <c r="AJ36" s="1665">
        <f>AJ37*AJ38*12/1000</f>
        <v>0</v>
      </c>
      <c r="AK36" s="79"/>
      <c r="AN36" s="1184" t="s">
        <v>1222</v>
      </c>
      <c r="AO36" s="1190" t="s">
        <v>1223</v>
      </c>
      <c r="AP36" s="1190" cm="1" t="str">
        <f t="array" ref="AP36:AP36">AC36</f>
        <v>0</v>
      </c>
      <c r="AQ36" s="1191"/>
      <c r="AR36" s="1191" t="b">
        <v>1</v>
      </c>
    </row>
    <row s="1462" customFormat="1" customHeight="1" ht="16.575" hidden="1">
      <c r="E37" s="803">
        <v>17</v>
      </c>
      <c r="F37" s="922" cm="1" t="str">
        <f t="array" ref="F37:F37">OFFSET(G37,-1,-1)</f>
        <v>0</v>
      </c>
      <c r="G37" s="739" t="s">
        <v>1224</v>
      </c>
      <c r="H37" s="213" t="str">
        <f>H36&amp;"_1"</f>
        <v>L5_1</v>
      </c>
      <c r="I37" s="213" cm="1" t="str">
        <f t="array" ref="I37:I37">I36</f>
        <v>0</v>
      </c>
      <c r="T37" s="819" cm="1" t="str">
        <f t="array" ref="T37:T37">T36</f>
        <v>false</v>
      </c>
      <c r="AA37" s="1536"/>
      <c r="AB37" s="406" t="str">
        <f>AB36&amp;".1"</f>
        <v>2.0.1</v>
      </c>
      <c r="AC37" s="294" t="s">
        <v>1213</v>
      </c>
      <c r="AD37" s="157" t="s">
        <v>1214</v>
      </c>
      <c r="AE37" s="169"/>
      <c r="AF37" s="169"/>
      <c r="AG37" s="169"/>
      <c r="AH37" s="169"/>
      <c r="AI37" s="1907"/>
      <c r="AJ37" s="1907"/>
      <c r="AK37" s="79"/>
      <c r="AN37" s="1184" t="s">
        <v>1225</v>
      </c>
      <c r="AO37" s="1190" t="s">
        <v>1223</v>
      </c>
      <c r="AP37" s="1190" cm="1" t="str">
        <f t="array" ref="AP37:AP37">AP36</f>
        <v>0</v>
      </c>
      <c r="AQ37" s="1191"/>
      <c r="AR37" s="1191"/>
    </row>
    <row s="1462" customFormat="1" customHeight="1" ht="16.575" hidden="1">
      <c r="E38" s="803">
        <v>17</v>
      </c>
      <c r="F38" s="922" cm="1" t="str">
        <f t="array" ref="F38:F38">OFFSET(G38,-1,-1)</f>
        <v>0</v>
      </c>
      <c r="H38" s="213" t="str">
        <f>H36&amp;"_2"</f>
        <v>L5_2</v>
      </c>
      <c r="I38" s="213" cm="1" t="str">
        <f t="array" ref="I38:I38">I37</f>
        <v>0</v>
      </c>
      <c r="T38" s="819" cm="1" t="str">
        <f t="array" ref="T38:T38">T37</f>
        <v>false</v>
      </c>
      <c r="AA38" s="1536"/>
      <c r="AB38" s="406" t="str">
        <f>AB36&amp;".2"</f>
        <v>2.0.2</v>
      </c>
      <c r="AC38" s="294" t="s">
        <v>1216</v>
      </c>
      <c r="AD38" s="157" t="s">
        <v>1217</v>
      </c>
      <c r="AE38" s="169"/>
      <c r="AF38" s="169"/>
      <c r="AG38" s="169"/>
      <c r="AH38" s="169"/>
      <c r="AI38" s="1907"/>
      <c r="AJ38" s="1907"/>
      <c r="AK38" s="79"/>
      <c r="AN38" s="1184" t="s">
        <v>1226</v>
      </c>
      <c r="AO38" s="1190" t="s">
        <v>1223</v>
      </c>
      <c r="AP38" s="1190" cm="1" t="str">
        <f t="array" ref="AP38:AP38">AP37</f>
        <v>0</v>
      </c>
      <c r="AQ38" s="1191"/>
      <c r="AR38" s="1191"/>
    </row>
    <row s="1462" customFormat="1" customHeight="1" ht="16.575" hidden="1">
      <c r="E39" s="803">
        <v>17</v>
      </c>
      <c r="F39" s="922" cm="1" t="str">
        <f t="array" ref="F39:F39">OFFSET(G39,-1,-1)</f>
        <v>0</v>
      </c>
      <c r="H39" s="213" t="str">
        <f>F39&amp;"pIns3"</f>
        <v>0pIns3</v>
      </c>
      <c r="T39" s="819">
        <f>F39&gt;0</f>
        <v>0</v>
      </c>
      <c r="W39" s="374" t="s">
        <v>962</v>
      </c>
      <c r="AB39" s="302"/>
      <c r="AC39" s="303" t="s">
        <v>236</v>
      </c>
      <c r="AD39" s="303"/>
      <c r="AE39" s="303"/>
      <c r="AF39" s="303"/>
      <c r="AG39" s="303"/>
      <c r="AH39" s="303"/>
      <c r="AI39" s="303"/>
      <c r="AJ39" s="303"/>
      <c r="AK39" s="1101"/>
      <c r="AN39" s="1184" t="s">
        <v>245</v>
      </c>
      <c r="AO39" s="1190"/>
      <c r="AP39" s="1190"/>
      <c r="AQ39" s="1191" t="s">
        <v>1223</v>
      </c>
      <c r="AR39" s="1191"/>
    </row>
    <row s="1462" customFormat="1" customHeight="1" ht="24.180000000000003" hidden="1">
      <c r="E40" s="803">
        <v>24.8</v>
      </c>
      <c r="F40" s="922" cm="1" t="str">
        <f t="array" ref="F40:F40">OFFSET(G40,-1,-1)</f>
        <v>0</v>
      </c>
      <c r="G40" s="739" t="s">
        <v>1227</v>
      </c>
      <c r="H40" s="213" t="s">
        <v>1196</v>
      </c>
      <c r="T40" s="819">
        <f>F40&gt;0</f>
        <v>0</v>
      </c>
      <c r="AB40" s="406" t="s">
        <v>429</v>
      </c>
      <c r="AC40" s="407" t="s">
        <v>1228</v>
      </c>
      <c r="AD40" s="157" t="s">
        <v>810</v>
      </c>
      <c r="AE40" s="107"/>
      <c r="AF40" s="107"/>
      <c r="AG40" s="107"/>
      <c r="AH40" s="107"/>
      <c r="AI40" s="282">
        <f>_xlfn.SUMIFS(AI41:AI45,$AD41:$AD45,$AD40)</f>
        <v>0</v>
      </c>
      <c r="AJ40" s="282">
        <f>_xlfn.SUMIFS(AJ41:AJ45,$AD41:$AD45,$AD40)</f>
        <v>0</v>
      </c>
      <c r="AK40" s="79"/>
      <c r="AN40" s="1184" t="s">
        <v>1229</v>
      </c>
      <c r="AO40" s="1190"/>
      <c r="AP40" s="1190"/>
      <c r="AQ40" s="1191"/>
      <c r="AR40" s="1191"/>
    </row>
    <row s="1462" customFormat="1" customHeight="1" ht="9" hidden="1">
      <c r="E41" s="803">
        <v>0</v>
      </c>
      <c r="F41" s="922" cm="1" t="str">
        <f t="array" ref="F41:F41">OFFSET(G41,-1,-1)</f>
        <v>0</v>
      </c>
      <c r="T41" s="819">
        <f>F41&gt;0</f>
        <v>0</v>
      </c>
      <c r="AB41" s="406"/>
      <c r="AC41" s="407"/>
      <c r="AD41" s="157"/>
      <c r="AE41" s="169"/>
      <c r="AF41" s="169"/>
      <c r="AG41" s="169"/>
      <c r="AH41" s="169"/>
      <c r="AI41" s="284"/>
      <c r="AJ41" s="284"/>
      <c r="AK41" s="842"/>
      <c r="AN41" s="1184"/>
      <c r="AO41" s="1190"/>
      <c r="AP41" s="1190"/>
      <c r="AQ41" s="1191"/>
      <c r="AR41" s="1191"/>
    </row>
    <row s="1462" customFormat="1" customHeight="1" ht="16.575" hidden="1">
      <c r="E42" s="803">
        <v>17</v>
      </c>
      <c r="F42" s="922" cm="1" t="str">
        <f t="array" ref="F42:F42">OFFSET(G42,-1,-1)</f>
        <v>0</v>
      </c>
      <c r="H42" s="213" t="s">
        <v>1196</v>
      </c>
      <c r="I42" s="213" cm="1" t="str">
        <f t="array" ref="I42:I42">AC42</f>
        <v>0</v>
      </c>
      <c r="T42" s="819">
        <f>AND(F42&gt;0,Y42&gt;0)</f>
        <v>0</v>
      </c>
      <c r="W42" s="159" t="s">
        <v>234</v>
      </c>
      <c r="Y42" s="171">
        <v>0</v>
      </c>
      <c r="AA42" s="1536" t="s">
        <v>218</v>
      </c>
      <c r="AB42" s="406" t="str">
        <f>"3."&amp;Y42</f>
        <v>3.0</v>
      </c>
      <c r="AC42" s="54"/>
      <c r="AD42" s="157" t="s">
        <v>810</v>
      </c>
      <c r="AE42" s="169"/>
      <c r="AF42" s="169"/>
      <c r="AG42" s="169"/>
      <c r="AH42" s="169"/>
      <c r="AI42" s="1665">
        <f>AI43*AI44*12/1000</f>
        <v>0</v>
      </c>
      <c r="AJ42" s="1665">
        <f>AJ43*AJ44*12/1000</f>
        <v>0</v>
      </c>
      <c r="AK42" s="79"/>
      <c r="AN42" s="1184" t="s">
        <v>1230</v>
      </c>
      <c r="AO42" s="1190" t="s">
        <v>1231</v>
      </c>
      <c r="AP42" s="1190" cm="1" t="str">
        <f t="array" ref="AP42:AP42">AC42</f>
        <v>0</v>
      </c>
      <c r="AQ42" s="1191"/>
      <c r="AR42" s="1191" t="b">
        <v>1</v>
      </c>
    </row>
    <row s="1462" customFormat="1" customHeight="1" ht="16.575" hidden="1">
      <c r="E43" s="803">
        <v>17</v>
      </c>
      <c r="F43" s="922" cm="1" t="str">
        <f t="array" ref="F43:F43">OFFSET(G43,-1,-1)</f>
        <v>0</v>
      </c>
      <c r="G43" s="739" t="s">
        <v>1232</v>
      </c>
      <c r="H43" s="213" t="str">
        <f>H42&amp;"_1"</f>
        <v>L5_1</v>
      </c>
      <c r="I43" s="213" cm="1" t="str">
        <f t="array" ref="I43:I43">I42</f>
        <v>0</v>
      </c>
      <c r="T43" s="819" cm="1" t="str">
        <f t="array" ref="T43:T43">T42</f>
        <v>false</v>
      </c>
      <c r="AA43" s="1536"/>
      <c r="AB43" s="406" t="str">
        <f>AB42&amp;".1"</f>
        <v>3.0.1</v>
      </c>
      <c r="AC43" s="294" t="s">
        <v>1213</v>
      </c>
      <c r="AD43" s="157" t="s">
        <v>1214</v>
      </c>
      <c r="AE43" s="169"/>
      <c r="AF43" s="169"/>
      <c r="AG43" s="169"/>
      <c r="AH43" s="169"/>
      <c r="AI43" s="1907"/>
      <c r="AJ43" s="1907"/>
      <c r="AK43" s="79"/>
      <c r="AN43" s="1184" t="s">
        <v>1233</v>
      </c>
      <c r="AO43" s="1190" t="s">
        <v>1231</v>
      </c>
      <c r="AP43" s="1190" cm="1" t="str">
        <f t="array" ref="AP43:AP43">AP42</f>
        <v>0</v>
      </c>
      <c r="AQ43" s="1191"/>
      <c r="AR43" s="1191"/>
    </row>
    <row s="1462" customFormat="1" customHeight="1" ht="16.575" hidden="1">
      <c r="E44" s="803">
        <v>17</v>
      </c>
      <c r="F44" s="922" cm="1" t="str">
        <f t="array" ref="F44:F44">OFFSET(G44,-1,-1)</f>
        <v>0</v>
      </c>
      <c r="H44" s="213" t="str">
        <f>H42&amp;"_2"</f>
        <v>L5_2</v>
      </c>
      <c r="I44" s="213" cm="1" t="str">
        <f t="array" ref="I44:I44">I43</f>
        <v>0</v>
      </c>
      <c r="T44" s="819" cm="1" t="str">
        <f t="array" ref="T44:T44">T43</f>
        <v>false</v>
      </c>
      <c r="AA44" s="1536"/>
      <c r="AB44" s="406" t="str">
        <f>AB42&amp;".2"</f>
        <v>3.0.2</v>
      </c>
      <c r="AC44" s="294" t="s">
        <v>1216</v>
      </c>
      <c r="AD44" s="157" t="s">
        <v>1217</v>
      </c>
      <c r="AE44" s="169"/>
      <c r="AF44" s="169"/>
      <c r="AG44" s="169"/>
      <c r="AH44" s="169"/>
      <c r="AI44" s="1907"/>
      <c r="AJ44" s="1907"/>
      <c r="AK44" s="79"/>
      <c r="AN44" s="1184" t="s">
        <v>1234</v>
      </c>
      <c r="AO44" s="1190" t="s">
        <v>1231</v>
      </c>
      <c r="AP44" s="1190" cm="1" t="str">
        <f t="array" ref="AP44:AP44">AP43</f>
        <v>0</v>
      </c>
      <c r="AQ44" s="1191"/>
      <c r="AR44" s="1191"/>
    </row>
    <row s="1462" customFormat="1" customHeight="1" ht="16.575" hidden="1">
      <c r="E45" s="803">
        <v>17</v>
      </c>
      <c r="F45" s="922" cm="1" t="str">
        <f t="array" ref="F45:F45">OFFSET(G45,-1,-1)</f>
        <v>0</v>
      </c>
      <c r="H45" s="213" t="str">
        <f>F45&amp;"pIns3"</f>
        <v>0pIns3</v>
      </c>
      <c r="T45" s="819">
        <f>F45&gt;0</f>
        <v>0</v>
      </c>
      <c r="W45" s="374" t="s">
        <v>1203</v>
      </c>
      <c r="AB45" s="302"/>
      <c r="AC45" s="303" t="s">
        <v>236</v>
      </c>
      <c r="AD45" s="303"/>
      <c r="AE45" s="303"/>
      <c r="AF45" s="303"/>
      <c r="AG45" s="303"/>
      <c r="AH45" s="303"/>
      <c r="AI45" s="303"/>
      <c r="AJ45" s="303"/>
      <c r="AK45" s="1101"/>
      <c r="AN45" s="1184" t="s">
        <v>245</v>
      </c>
      <c r="AO45" s="1190"/>
      <c r="AP45" s="1190"/>
      <c r="AQ45" s="1191" t="s">
        <v>1231</v>
      </c>
      <c r="AR45" s="1191"/>
    </row>
    <row s="1462" customFormat="1" customHeight="1" ht="24.180000000000003" hidden="1">
      <c r="E46" s="803">
        <v>24.8</v>
      </c>
      <c r="F46" s="922" cm="1" t="str">
        <f t="array" ref="F46:F46">OFFSET(G46,-1,-1)</f>
        <v>0</v>
      </c>
      <c r="G46" s="739" t="s">
        <v>1235</v>
      </c>
      <c r="H46" s="213" t="s">
        <v>1196</v>
      </c>
      <c r="T46" s="819">
        <f>F46&gt;0</f>
        <v>0</v>
      </c>
      <c r="AB46" s="406" t="s">
        <v>432</v>
      </c>
      <c r="AC46" s="407" t="s">
        <v>1236</v>
      </c>
      <c r="AD46" s="157" t="s">
        <v>810</v>
      </c>
      <c r="AE46" s="107"/>
      <c r="AF46" s="107"/>
      <c r="AG46" s="107"/>
      <c r="AH46" s="107"/>
      <c r="AI46" s="282">
        <f>_xlfn.SUMIFS(AI47:AI51,$AD47:$AD51,$AD46)</f>
        <v>0</v>
      </c>
      <c r="AJ46" s="282">
        <f>_xlfn.SUMIFS(AJ47:AJ51,$AD47:$AD51,$AD46)</f>
        <v>0</v>
      </c>
      <c r="AK46" s="79"/>
      <c r="AN46" s="1184" t="s">
        <v>1237</v>
      </c>
      <c r="AO46" s="1190"/>
      <c r="AP46" s="1190"/>
      <c r="AQ46" s="1191"/>
      <c r="AR46" s="1191"/>
    </row>
    <row s="1462" customFormat="1" customHeight="1" ht="9" hidden="1">
      <c r="E47" s="803">
        <v>0</v>
      </c>
      <c r="F47" s="922" cm="1" t="str">
        <f t="array" ref="F47:F47">OFFSET(G47,-1,-1)</f>
        <v>0</v>
      </c>
      <c r="T47" s="819">
        <f>F47&gt;0</f>
        <v>0</v>
      </c>
      <c r="AB47" s="406"/>
      <c r="AC47" s="407"/>
      <c r="AD47" s="157"/>
      <c r="AE47" s="169"/>
      <c r="AF47" s="169"/>
      <c r="AG47" s="169"/>
      <c r="AH47" s="169"/>
      <c r="AI47" s="284"/>
      <c r="AJ47" s="284"/>
      <c r="AK47" s="842"/>
      <c r="AN47" s="1184"/>
      <c r="AO47" s="1190"/>
      <c r="AP47" s="1190"/>
      <c r="AQ47" s="1191"/>
      <c r="AR47" s="1191"/>
    </row>
    <row s="1462" customFormat="1" customHeight="1" ht="16.575" hidden="1">
      <c r="E48" s="803">
        <v>17</v>
      </c>
      <c r="F48" s="922" cm="1" t="str">
        <f t="array" ref="F48:F48">OFFSET(G48,-1,-1)</f>
        <v>0</v>
      </c>
      <c r="H48" s="213" t="s">
        <v>1196</v>
      </c>
      <c r="I48" s="213" cm="1" t="str">
        <f t="array" ref="I48:I48">AC48</f>
        <v>0</v>
      </c>
      <c r="T48" s="819">
        <f>AND(F48&gt;0,Y48&gt;0)</f>
        <v>0</v>
      </c>
      <c r="W48" s="159" t="s">
        <v>234</v>
      </c>
      <c r="Y48" s="171">
        <v>0</v>
      </c>
      <c r="AA48" s="1536" t="s">
        <v>218</v>
      </c>
      <c r="AB48" s="406" t="str">
        <f>"4."&amp;Y48</f>
        <v>4.0</v>
      </c>
      <c r="AC48" s="54"/>
      <c r="AD48" s="157" t="s">
        <v>810</v>
      </c>
      <c r="AE48" s="169"/>
      <c r="AF48" s="169"/>
      <c r="AG48" s="169"/>
      <c r="AH48" s="169"/>
      <c r="AI48" s="1665">
        <f>AI49*AI50*12/1000</f>
        <v>0</v>
      </c>
      <c r="AJ48" s="1665">
        <f>AJ49*AJ50*12/1000</f>
        <v>0</v>
      </c>
      <c r="AK48" s="79"/>
      <c r="AN48" s="1184" t="s">
        <v>1238</v>
      </c>
      <c r="AO48" s="1190" t="s">
        <v>1239</v>
      </c>
      <c r="AP48" s="1190" cm="1" t="str">
        <f t="array" ref="AP48:AP48">AC48</f>
        <v>0</v>
      </c>
      <c r="AQ48" s="1191"/>
      <c r="AR48" s="1191" t="b">
        <v>1</v>
      </c>
    </row>
    <row s="1462" customFormat="1" customHeight="1" ht="16.575" hidden="1">
      <c r="E49" s="803">
        <v>17</v>
      </c>
      <c r="F49" s="922" cm="1" t="str">
        <f t="array" ref="F49:F49">OFFSET(G49,-1,-1)</f>
        <v>0</v>
      </c>
      <c r="G49" s="739" t="s">
        <v>1240</v>
      </c>
      <c r="H49" s="213" t="str">
        <f>H48&amp;"_1"</f>
        <v>L5_1</v>
      </c>
      <c r="I49" s="213" cm="1" t="str">
        <f t="array" ref="I49:I49">I48</f>
        <v>0</v>
      </c>
      <c r="T49" s="819" cm="1" t="str">
        <f t="array" ref="T49:T49">T48</f>
        <v>false</v>
      </c>
      <c r="AA49" s="1536"/>
      <c r="AB49" s="406" t="str">
        <f>AB48&amp;".1"</f>
        <v>4.0.1</v>
      </c>
      <c r="AC49" s="294" t="s">
        <v>1213</v>
      </c>
      <c r="AD49" s="157" t="s">
        <v>1214</v>
      </c>
      <c r="AE49" s="169"/>
      <c r="AF49" s="169"/>
      <c r="AG49" s="169"/>
      <c r="AH49" s="169"/>
      <c r="AI49" s="1907"/>
      <c r="AJ49" s="1907"/>
      <c r="AK49" s="79"/>
      <c r="AN49" s="1184" t="s">
        <v>1241</v>
      </c>
      <c r="AO49" s="1190" t="s">
        <v>1239</v>
      </c>
      <c r="AP49" s="1190" cm="1" t="str">
        <f t="array" ref="AP49:AP49">AP48</f>
        <v>0</v>
      </c>
      <c r="AQ49" s="1191"/>
      <c r="AR49" s="1191"/>
    </row>
    <row s="1462" customFormat="1" customHeight="1" ht="16.575" hidden="1">
      <c r="E50" s="803">
        <v>17</v>
      </c>
      <c r="F50" s="922" cm="1" t="str">
        <f t="array" ref="F50:F50">OFFSET(G50,-1,-1)</f>
        <v>0</v>
      </c>
      <c r="H50" s="213" t="str">
        <f>H48&amp;"_2"</f>
        <v>L5_2</v>
      </c>
      <c r="I50" s="213" cm="1" t="str">
        <f t="array" ref="I50:I50">I49</f>
        <v>0</v>
      </c>
      <c r="T50" s="819" cm="1" t="str">
        <f t="array" ref="T50:T50">T49</f>
        <v>false</v>
      </c>
      <c r="AA50" s="1536"/>
      <c r="AB50" s="406" t="str">
        <f>AB48&amp;".2"</f>
        <v>4.0.2</v>
      </c>
      <c r="AC50" s="294" t="s">
        <v>1216</v>
      </c>
      <c r="AD50" s="157" t="s">
        <v>1217</v>
      </c>
      <c r="AE50" s="169"/>
      <c r="AF50" s="169"/>
      <c r="AG50" s="169"/>
      <c r="AH50" s="169"/>
      <c r="AI50" s="1907"/>
      <c r="AJ50" s="1907"/>
      <c r="AK50" s="79"/>
      <c r="AN50" s="1184" t="s">
        <v>1242</v>
      </c>
      <c r="AO50" s="1190" t="s">
        <v>1239</v>
      </c>
      <c r="AP50" s="1190" cm="1" t="str">
        <f t="array" ref="AP50:AP50">AP49</f>
        <v>0</v>
      </c>
      <c r="AQ50" s="1191"/>
      <c r="AR50" s="1191"/>
    </row>
    <row s="1462" customFormat="1" customHeight="1" ht="16.575" hidden="1">
      <c r="E51" s="803">
        <v>17</v>
      </c>
      <c r="F51" s="922" cm="1" t="str">
        <f t="array" ref="F51:F51">OFFSET(G51,-1,-1)</f>
        <v>0</v>
      </c>
      <c r="H51" s="213" t="str">
        <f>F51&amp;"pIns3"</f>
        <v>0pIns3</v>
      </c>
      <c r="T51" s="819">
        <f>F51&gt;0</f>
        <v>0</v>
      </c>
      <c r="W51" s="374" t="s">
        <v>1243</v>
      </c>
      <c r="AB51" s="302"/>
      <c r="AC51" s="303" t="s">
        <v>236</v>
      </c>
      <c r="AD51" s="303"/>
      <c r="AE51" s="303"/>
      <c r="AF51" s="303"/>
      <c r="AG51" s="303"/>
      <c r="AH51" s="303"/>
      <c r="AI51" s="303"/>
      <c r="AJ51" s="303"/>
      <c r="AK51" s="304"/>
      <c r="AN51" s="1184"/>
      <c r="AO51" s="1190"/>
      <c r="AP51" s="1190"/>
      <c r="AQ51" s="1191" t="s">
        <v>1239</v>
      </c>
      <c r="AR51" s="1191"/>
    </row>
    <row s="792" customFormat="1" customHeight="1" ht="10.5">
      <c r="A52" s="1462"/>
      <c r="B52" s="1462"/>
      <c r="C52" s="1462"/>
      <c r="D52" s="1462"/>
      <c r="E52" s="803">
        <v>11.4</v>
      </c>
      <c r="F52" s="922" cm="1" t="str">
        <f t="array" ref="F52:F52">X52</f>
        <v>1</v>
      </c>
      <c r="G52" s="739" t="s">
        <v>48</v>
      </c>
      <c r="H52" s="1462"/>
      <c r="I52" s="1462"/>
      <c r="J52" s="1462"/>
      <c r="K52" s="1462"/>
      <c r="L52" s="1462"/>
      <c r="M52" s="1462"/>
      <c r="N52" s="1462"/>
      <c r="O52" s="1462"/>
      <c r="P52" s="1462"/>
      <c r="Q52" s="1462"/>
      <c r="R52" s="1462"/>
      <c r="S52" s="1462"/>
      <c r="T52" s="819">
        <f>F52&gt;0</f>
        <v>1</v>
      </c>
      <c r="U52" s="1462"/>
      <c r="V52" s="171" cm="1" t="str">
        <f t="array" ref="V52:V52">'Покупка услуг'!$AB$46</f>
        <v>Тариф 1 (Теплоснабжение) - Тариф на тепловую энергию (мощность), поставляемую потребителям (Не определено)</v>
      </c>
      <c r="W52" s="1462"/>
      <c r="X52" s="171" t="s">
        <v>336</v>
      </c>
      <c r="Y52" s="1462"/>
      <c r="Z52" s="1462"/>
      <c r="AA52" s="1462"/>
      <c r="AB52" s="320"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0"/>
      <c r="AD52" s="260"/>
      <c r="AE52" s="380">
        <f>AE53+AE62+AE68+AE77</f>
        <v>9890.41</v>
      </c>
      <c r="AF52" s="380">
        <f>AF53+AF62+AF68+AF77</f>
        <v>9875.04</v>
      </c>
      <c r="AG52" s="380">
        <f>AG53+AG62+AG68+AG77</f>
        <v>11343.24</v>
      </c>
      <c r="AH52" s="380">
        <f>AH53+AH62+AH68+AH77</f>
        <v>10359.42</v>
      </c>
      <c r="AI52" s="380">
        <f>AI53+AI62+AI68+AI77</f>
        <v>13540.41024</v>
      </c>
      <c r="AJ52" s="380">
        <f>AJ53+AJ62+AJ68+AJ77</f>
        <v>10778.87184</v>
      </c>
      <c r="AK52" s="380"/>
      <c r="AL52" s="1462"/>
      <c r="AM52" s="1462"/>
      <c r="AN52" s="1184"/>
      <c r="AO52" s="1190"/>
      <c r="AP52" s="1190"/>
      <c r="AQ52" s="1191"/>
      <c r="AR52" s="1191"/>
    </row>
    <row s="792" customFormat="1" customHeight="1" ht="18">
      <c r="A53" s="1462"/>
      <c r="B53" s="1462"/>
      <c r="C53" s="1462"/>
      <c r="D53" s="1462"/>
      <c r="E53" s="803">
        <v>18.8</v>
      </c>
      <c r="F53" s="922" cm="1" t="str">
        <f t="array" ref="F53:F53">OFFSET(G53,-1,-1)</f>
        <v>1</v>
      </c>
      <c r="G53" s="739" t="s">
        <v>1206</v>
      </c>
      <c r="H53" s="213" t="s">
        <v>1207</v>
      </c>
      <c r="I53" s="1462"/>
      <c r="J53" s="1462"/>
      <c r="K53" s="1462"/>
      <c r="L53" s="1462"/>
      <c r="M53" s="1462"/>
      <c r="N53" s="1462"/>
      <c r="O53" s="1462"/>
      <c r="P53" s="1462"/>
      <c r="Q53" s="1462"/>
      <c r="R53" s="1462"/>
      <c r="S53" s="1462"/>
      <c r="T53" s="819">
        <f>F53&gt;0</f>
        <v>1</v>
      </c>
      <c r="U53" s="1462"/>
      <c r="V53" s="1462"/>
      <c r="W53" s="1462"/>
      <c r="X53" s="1462"/>
      <c r="Y53" s="1462"/>
      <c r="Z53" s="1462"/>
      <c r="AA53" s="1462"/>
      <c r="AB53" s="406">
        <v>1</v>
      </c>
      <c r="AC53" s="407" t="s">
        <v>1208</v>
      </c>
      <c r="AD53" s="157" t="s">
        <v>810</v>
      </c>
      <c r="AE53" s="1907">
        <v>7370.77</v>
      </c>
      <c r="AF53" s="1907">
        <v>7584.52</v>
      </c>
      <c r="AG53" s="1907">
        <v>8453.48</v>
      </c>
      <c r="AH53" s="1907">
        <v>7720.29</v>
      </c>
      <c r="AI53" s="282">
        <f>_xlfn.SUMIFS(AI54:AI61,$AD54:$AD61,$AD53)</f>
        <v>11198.16</v>
      </c>
      <c r="AJ53" s="282">
        <f>_xlfn.SUMIFS(AJ54:AJ61,$AD54:$AD61,$AD53)</f>
        <v>8032.8876</v>
      </c>
      <c r="AK53" s="1722"/>
      <c r="AL53" s="1462"/>
      <c r="AM53" s="1462"/>
      <c r="AN53" s="1184" t="s">
        <v>1209</v>
      </c>
      <c r="AO53" s="1190"/>
      <c r="AP53" s="1190"/>
      <c r="AQ53" s="1191"/>
      <c r="AR53" s="1191"/>
    </row>
    <row s="792" customFormat="1" customHeight="1" ht="11.25" hidden="1">
      <c r="A54" s="1462"/>
      <c r="B54" s="1462"/>
      <c r="C54" s="1462"/>
      <c r="D54" s="1462"/>
      <c r="E54" s="803">
        <v>0</v>
      </c>
      <c r="F54" s="922" cm="1" t="str">
        <f t="array" ref="F54:F54">OFFSET(G54,-1,-1)</f>
        <v>1</v>
      </c>
      <c r="G54" s="1462"/>
      <c r="H54" s="1462"/>
      <c r="I54" s="1462"/>
      <c r="J54" s="1462"/>
      <c r="K54" s="1462"/>
      <c r="L54" s="1462"/>
      <c r="M54" s="1462"/>
      <c r="N54" s="1462"/>
      <c r="O54" s="1462"/>
      <c r="P54" s="1462"/>
      <c r="Q54" s="1462"/>
      <c r="R54" s="1462"/>
      <c r="S54" s="1462"/>
      <c r="T54" s="819">
        <f>F54&gt;0</f>
        <v>1</v>
      </c>
      <c r="U54" s="1462"/>
      <c r="V54" s="1462"/>
      <c r="W54" s="1462"/>
      <c r="X54" s="1462"/>
      <c r="Y54" s="1462"/>
      <c r="Z54" s="1462"/>
      <c r="AA54" s="1462"/>
      <c r="AB54" s="406"/>
      <c r="AC54" s="407"/>
      <c r="AD54" s="157"/>
      <c r="AE54" s="169"/>
      <c r="AF54" s="169"/>
      <c r="AG54" s="169"/>
      <c r="AH54" s="169"/>
      <c r="AI54" s="284"/>
      <c r="AJ54" s="284"/>
      <c r="AK54" s="842"/>
      <c r="AL54" s="1462"/>
      <c r="AM54" s="1462"/>
      <c r="AN54" s="1184" t="s">
        <v>245</v>
      </c>
      <c r="AO54" s="1190"/>
      <c r="AP54" s="1190"/>
      <c r="AQ54" s="1191"/>
      <c r="AR54" s="1191"/>
    </row>
    <row s="792" customFormat="1" customHeight="1" ht="16.5" hidden="1">
      <c r="E55" s="803">
        <v>17</v>
      </c>
      <c r="F55" s="922" cm="1" t="str">
        <f t="array" ref="F55:F55">OFFSET(G55,-1,-1)</f>
        <v>1</v>
      </c>
      <c r="H55" s="213" t="s">
        <v>1207</v>
      </c>
      <c r="I55" s="213" cm="1" t="str">
        <f t="array" ref="I55:I55">AC55</f>
        <v>0</v>
      </c>
      <c r="T55" s="819">
        <f>AND(F55&gt;0,Y55&gt;0)</f>
        <v>0</v>
      </c>
      <c r="W55" s="159" t="s">
        <v>234</v>
      </c>
      <c r="Y55" s="171">
        <v>0</v>
      </c>
      <c r="AA55" s="1536" t="s">
        <v>218</v>
      </c>
      <c r="AB55" s="406" t="str">
        <f>"1."&amp;Y55</f>
        <v>1.0</v>
      </c>
      <c r="AC55" s="54"/>
      <c r="AD55" s="157" t="s">
        <v>810</v>
      </c>
      <c r="AE55" s="169"/>
      <c r="AF55" s="169"/>
      <c r="AG55" s="169"/>
      <c r="AH55" s="169"/>
      <c r="AI55" s="283">
        <f>AI56*AI57*12/1000</f>
        <v>0</v>
      </c>
      <c r="AJ55" s="283">
        <f>AJ56*AJ57*12/1000</f>
        <v>0</v>
      </c>
      <c r="AK55" s="79"/>
      <c r="AN55" s="1184" t="s">
        <v>1210</v>
      </c>
      <c r="AO55" s="1190" t="s">
        <v>1211</v>
      </c>
      <c r="AP55" s="1190" cm="1" t="str">
        <f t="array" ref="AP55:AP55">AC55</f>
        <v>0</v>
      </c>
      <c r="AQ55" s="1191"/>
      <c r="AR55" s="1191" t="b">
        <v>1</v>
      </c>
    </row>
    <row s="792" customFormat="1" customHeight="1" ht="16.5" hidden="1">
      <c r="E56" s="803">
        <v>17</v>
      </c>
      <c r="F56" s="922" cm="1" t="str">
        <f t="array" ref="F56:F56">OFFSET(G56,-1,-1)</f>
        <v>1</v>
      </c>
      <c r="G56" s="739" t="s">
        <v>1212</v>
      </c>
      <c r="H56" s="213" t="str">
        <f>H55&amp;"_1"</f>
        <v>L1_1</v>
      </c>
      <c r="I56" s="213" cm="1" t="str">
        <f t="array" ref="I56:I56">I55</f>
        <v>0</v>
      </c>
      <c r="T56" s="819" cm="1" t="str">
        <f t="array" ref="T56:T56">T55</f>
        <v>false</v>
      </c>
      <c r="AA56" s="1536"/>
      <c r="AB56" s="406" t="str">
        <f>AB55&amp;".1"</f>
        <v>1.0.1</v>
      </c>
      <c r="AC56" s="294" t="s">
        <v>1213</v>
      </c>
      <c r="AD56" s="157" t="s">
        <v>1214</v>
      </c>
      <c r="AE56" s="169"/>
      <c r="AF56" s="169"/>
      <c r="AG56" s="169"/>
      <c r="AH56" s="169"/>
      <c r="AI56" s="300"/>
      <c r="AJ56" s="300"/>
      <c r="AK56" s="79"/>
      <c r="AN56" s="1184" t="s">
        <v>1215</v>
      </c>
      <c r="AO56" s="1190" t="s">
        <v>1211</v>
      </c>
      <c r="AP56" s="1190" cm="1" t="str">
        <f t="array" ref="AP56:AP56">AP55</f>
        <v>0</v>
      </c>
      <c r="AQ56" s="1191"/>
      <c r="AR56" s="1191"/>
    </row>
    <row s="792" customFormat="1" customHeight="1" ht="16.5" hidden="1">
      <c r="E57" s="803">
        <v>17</v>
      </c>
      <c r="F57" s="922" cm="1" t="str">
        <f t="array" ref="F57:F57">OFFSET(G57,-1,-1)</f>
        <v>1</v>
      </c>
      <c r="H57" s="213" t="str">
        <f>H55&amp;"_2"</f>
        <v>L1_2</v>
      </c>
      <c r="I57" s="213" cm="1" t="str">
        <f t="array" ref="I57:I57">I56</f>
        <v>0</v>
      </c>
      <c r="T57" s="819" cm="1" t="str">
        <f t="array" ref="T57:T57">T56</f>
        <v>false</v>
      </c>
      <c r="AA57" s="1536"/>
      <c r="AB57" s="406" t="str">
        <f>AB55&amp;".2"</f>
        <v>1.0.2</v>
      </c>
      <c r="AC57" s="294" t="s">
        <v>1216</v>
      </c>
      <c r="AD57" s="157" t="s">
        <v>1217</v>
      </c>
      <c r="AE57" s="169"/>
      <c r="AF57" s="169"/>
      <c r="AG57" s="169"/>
      <c r="AH57" s="169"/>
      <c r="AI57" s="300"/>
      <c r="AJ57" s="300"/>
      <c r="AK57" s="79"/>
      <c r="AN57" s="1184" t="s">
        <v>1218</v>
      </c>
      <c r="AO57" s="1190" t="s">
        <v>1211</v>
      </c>
      <c r="AP57" s="1190" cm="1" t="str">
        <f t="array" ref="AP57:AP57">AP56</f>
        <v>0</v>
      </c>
      <c r="AQ57" s="1191"/>
      <c r="AR57" s="1191"/>
    </row>
    <row s="792" customFormat="1" customHeight="1" ht="16.5">
      <c r="A58" s="792"/>
      <c r="B58" s="792"/>
      <c r="C58" s="792"/>
      <c r="D58" s="792"/>
      <c r="E58" s="803">
        <v>17</v>
      </c>
      <c r="F58" s="922" cm="1" t="str">
        <f t="array" ref="F58:F58">OFFSET(G58,-1,-1)</f>
        <v>1</v>
      </c>
      <c r="G58" s="792"/>
      <c r="H58" s="213" t="s">
        <v>1207</v>
      </c>
      <c r="I58" s="213" cm="1" t="str">
        <f t="array" ref="I58:I58">AC58</f>
        <v>Расходы на оплату труда основного производственного персонала</v>
      </c>
      <c r="J58" s="792"/>
      <c r="K58" s="792"/>
      <c r="L58" s="792"/>
      <c r="M58" s="792"/>
      <c r="N58" s="792"/>
      <c r="O58" s="792"/>
      <c r="P58" s="792"/>
      <c r="Q58" s="792"/>
      <c r="R58" s="792"/>
      <c r="S58" s="792"/>
      <c r="T58" s="819">
        <f>AND(F58&gt;0,Y58&gt;0)</f>
        <v>1</v>
      </c>
      <c r="U58" s="792"/>
      <c r="V58" s="792"/>
      <c r="W58" s="159"/>
      <c r="X58" s="792"/>
      <c r="Y58" s="171" t="s">
        <v>336</v>
      </c>
      <c r="Z58" s="792"/>
      <c r="AA58" s="1536" t="s">
        <v>218</v>
      </c>
      <c r="AB58" s="406" t="str">
        <f>"1."&amp;Y58</f>
        <v>1.1</v>
      </c>
      <c r="AC58" s="1640" t="s">
        <v>1208</v>
      </c>
      <c r="AD58" s="157" t="s">
        <v>810</v>
      </c>
      <c r="AE58" s="169"/>
      <c r="AF58" s="169"/>
      <c r="AG58" s="169"/>
      <c r="AH58" s="169"/>
      <c r="AI58" s="283">
        <f>AI59*AI60*12/1000</f>
        <v>11198.16</v>
      </c>
      <c r="AJ58" s="283">
        <f>AJ59*AJ60*12/1000</f>
        <v>8032.8876</v>
      </c>
      <c r="AK58" s="1722"/>
      <c r="AL58" s="792"/>
      <c r="AM58" s="792"/>
      <c r="AN58" s="1184" t="s">
        <v>1210</v>
      </c>
      <c r="AO58" s="1190" t="s">
        <v>1211</v>
      </c>
      <c r="AP58" s="1190" cm="1" t="str">
        <f t="array" ref="AP58:AP58">AC58</f>
        <v>Расходы на оплату труда основного производственного персонала</v>
      </c>
      <c r="AQ58" s="1191"/>
      <c r="AR58" s="1191" t="b">
        <v>1</v>
      </c>
    </row>
    <row s="792" customFormat="1" customHeight="1" ht="16.5">
      <c r="A59" s="792"/>
      <c r="B59" s="792"/>
      <c r="C59" s="792"/>
      <c r="D59" s="792"/>
      <c r="E59" s="803">
        <v>17</v>
      </c>
      <c r="F59" s="922" cm="1" t="str">
        <f t="array" ref="F59:F59">OFFSET(G59,-1,-1)</f>
        <v>1</v>
      </c>
      <c r="G59" s="739" t="s">
        <v>1212</v>
      </c>
      <c r="H59" s="213" t="str">
        <f>H58&amp;"_1"</f>
        <v>L1_1</v>
      </c>
      <c r="I59" s="213" cm="1" t="str">
        <f t="array" ref="I59:I59">I58</f>
        <v>Расходы на оплату труда основного производственного персонала</v>
      </c>
      <c r="J59" s="792"/>
      <c r="K59" s="792"/>
      <c r="L59" s="792"/>
      <c r="M59" s="792"/>
      <c r="N59" s="792"/>
      <c r="O59" s="792"/>
      <c r="P59" s="792"/>
      <c r="Q59" s="792"/>
      <c r="R59" s="792"/>
      <c r="S59" s="792"/>
      <c r="T59" s="819" cm="1" t="str">
        <f t="array" ref="T59:T59">T58</f>
        <v>true</v>
      </c>
      <c r="U59" s="792"/>
      <c r="V59" s="792"/>
      <c r="W59" s="792"/>
      <c r="X59" s="792"/>
      <c r="Y59" s="792"/>
      <c r="Z59" s="792"/>
      <c r="AA59" s="1536"/>
      <c r="AB59" s="406" t="str">
        <f>AB58&amp;".1"</f>
        <v>1.1.1</v>
      </c>
      <c r="AC59" s="294" t="s">
        <v>1213</v>
      </c>
      <c r="AD59" s="157" t="s">
        <v>1214</v>
      </c>
      <c r="AE59" s="169"/>
      <c r="AF59" s="169"/>
      <c r="AG59" s="169"/>
      <c r="AH59" s="169"/>
      <c r="AI59" s="300">
        <v>25</v>
      </c>
      <c r="AJ59" s="300">
        <v>34</v>
      </c>
      <c r="AK59" s="1722"/>
      <c r="AL59" s="792"/>
      <c r="AM59" s="792"/>
      <c r="AN59" s="1184" t="s">
        <v>1215</v>
      </c>
      <c r="AO59" s="1190" t="s">
        <v>1211</v>
      </c>
      <c r="AP59" s="1190" cm="1" t="str">
        <f t="array" ref="AP59:AP59">AP58</f>
        <v>Расходы на оплату труда основного производственного персонала</v>
      </c>
      <c r="AQ59" s="1191"/>
      <c r="AR59" s="1191"/>
    </row>
    <row s="792" customFormat="1" customHeight="1" ht="16.5">
      <c r="A60" s="792"/>
      <c r="B60" s="792"/>
      <c r="C60" s="792"/>
      <c r="D60" s="792"/>
      <c r="E60" s="803">
        <v>17</v>
      </c>
      <c r="F60" s="922" cm="1" t="str">
        <f t="array" ref="F60:F60">OFFSET(G60,-1,-1)</f>
        <v>1</v>
      </c>
      <c r="G60" s="792"/>
      <c r="H60" s="213" t="str">
        <f>H58&amp;"_2"</f>
        <v>L1_2</v>
      </c>
      <c r="I60" s="213" cm="1" t="str">
        <f t="array" ref="I60:I60">I59</f>
        <v>Расходы на оплату труда основного производственного персонала</v>
      </c>
      <c r="J60" s="792"/>
      <c r="K60" s="792"/>
      <c r="L60" s="792"/>
      <c r="M60" s="792"/>
      <c r="N60" s="792"/>
      <c r="O60" s="792"/>
      <c r="P60" s="792"/>
      <c r="Q60" s="792"/>
      <c r="R60" s="792"/>
      <c r="S60" s="792"/>
      <c r="T60" s="819" cm="1" t="str">
        <f t="array" ref="T60:T60">T59</f>
        <v>true</v>
      </c>
      <c r="U60" s="792"/>
      <c r="V60" s="792"/>
      <c r="W60" s="792"/>
      <c r="X60" s="792"/>
      <c r="Y60" s="792"/>
      <c r="Z60" s="792"/>
      <c r="AA60" s="1536"/>
      <c r="AB60" s="406" t="str">
        <f>AB58&amp;".2"</f>
        <v>1.1.2</v>
      </c>
      <c r="AC60" s="294" t="s">
        <v>1216</v>
      </c>
      <c r="AD60" s="157" t="s">
        <v>1217</v>
      </c>
      <c r="AE60" s="169"/>
      <c r="AF60" s="169"/>
      <c r="AG60" s="169"/>
      <c r="AH60" s="169"/>
      <c r="AI60" s="300">
        <v>37327.2</v>
      </c>
      <c r="AJ60" s="300">
        <v>19688.45</v>
      </c>
      <c r="AK60" s="1722"/>
      <c r="AL60" s="792"/>
      <c r="AM60" s="792"/>
      <c r="AN60" s="1184" t="s">
        <v>1218</v>
      </c>
      <c r="AO60" s="1190" t="s">
        <v>1211</v>
      </c>
      <c r="AP60" s="1190" cm="1" t="str">
        <f t="array" ref="AP60:AP60">AP59</f>
        <v>Расходы на оплату труда основного производственного персонала</v>
      </c>
      <c r="AQ60" s="1191"/>
      <c r="AR60" s="1191"/>
    </row>
    <row s="792" customFormat="1" customHeight="1" ht="16.5">
      <c r="A61" s="1462"/>
      <c r="B61" s="1462"/>
      <c r="C61" s="1462"/>
      <c r="D61" s="1462"/>
      <c r="E61" s="803">
        <v>17</v>
      </c>
      <c r="F61" s="922" cm="1" t="str">
        <f t="array" ref="F61:F61">OFFSET(G61,-1,-1)</f>
        <v>1</v>
      </c>
      <c r="G61" s="1462"/>
      <c r="H61" s="213" t="str">
        <f>F61&amp;"pIns1"</f>
        <v>1pIns1</v>
      </c>
      <c r="I61" s="1462"/>
      <c r="J61" s="1462"/>
      <c r="K61" s="1462"/>
      <c r="L61" s="1462"/>
      <c r="M61" s="1462"/>
      <c r="N61" s="1462"/>
      <c r="O61" s="1462"/>
      <c r="P61" s="1462"/>
      <c r="Q61" s="1462"/>
      <c r="R61" s="1462"/>
      <c r="S61" s="1462"/>
      <c r="T61" s="819">
        <f>F61&gt;0</f>
        <v>1</v>
      </c>
      <c r="U61" s="1462"/>
      <c r="V61" s="1462"/>
      <c r="W61" s="374" t="s">
        <v>951</v>
      </c>
      <c r="X61" s="1462"/>
      <c r="Y61" s="1462"/>
      <c r="Z61" s="1462"/>
      <c r="AA61" s="1462"/>
      <c r="AB61" s="302"/>
      <c r="AC61" s="303" t="s">
        <v>236</v>
      </c>
      <c r="AD61" s="303"/>
      <c r="AE61" s="303"/>
      <c r="AF61" s="303"/>
      <c r="AG61" s="303"/>
      <c r="AH61" s="303"/>
      <c r="AI61" s="303"/>
      <c r="AJ61" s="303"/>
      <c r="AK61" s="1101"/>
      <c r="AL61" s="1462"/>
      <c r="AM61" s="1462"/>
      <c r="AN61" s="1184" t="s">
        <v>245</v>
      </c>
      <c r="AO61" s="1190"/>
      <c r="AP61" s="1190"/>
      <c r="AQ61" s="1191" t="s">
        <v>1211</v>
      </c>
      <c r="AR61" s="1191"/>
    </row>
    <row s="792" customFormat="1" customHeight="1" ht="24">
      <c r="A62" s="1462"/>
      <c r="B62" s="1462"/>
      <c r="C62" s="1462"/>
      <c r="D62" s="1462"/>
      <c r="E62" s="803">
        <v>24.8</v>
      </c>
      <c r="F62" s="922" cm="1" t="str">
        <f t="array" ref="F62:F62">OFFSET(G62,-1,-1)</f>
        <v>1</v>
      </c>
      <c r="G62" s="739" t="s">
        <v>1219</v>
      </c>
      <c r="H62" s="213" t="s">
        <v>1196</v>
      </c>
      <c r="I62" s="1462"/>
      <c r="J62" s="1462"/>
      <c r="K62" s="1462"/>
      <c r="L62" s="1462"/>
      <c r="M62" s="1462"/>
      <c r="N62" s="1462"/>
      <c r="O62" s="1462"/>
      <c r="P62" s="1462"/>
      <c r="Q62" s="1462"/>
      <c r="R62" s="1462"/>
      <c r="S62" s="1462"/>
      <c r="T62" s="819">
        <f>F62&gt;0</f>
        <v>1</v>
      </c>
      <c r="U62" s="1462"/>
      <c r="V62" s="1462"/>
      <c r="W62" s="1462"/>
      <c r="X62" s="1462"/>
      <c r="Y62" s="1462"/>
      <c r="Z62" s="1462"/>
      <c r="AA62" s="1462"/>
      <c r="AB62" s="406" t="s">
        <v>426</v>
      </c>
      <c r="AC62" s="407" t="s">
        <v>1220</v>
      </c>
      <c r="AD62" s="157" t="s">
        <v>810</v>
      </c>
      <c r="AE62" s="1907"/>
      <c r="AF62" s="1907"/>
      <c r="AG62" s="1907"/>
      <c r="AH62" s="1907"/>
      <c r="AI62" s="282">
        <f>_xlfn.SUMIFS(AI63:AI67,$AD63:$AD67,$AD62)</f>
        <v>0</v>
      </c>
      <c r="AJ62" s="282">
        <f>_xlfn.SUMIFS(AJ63:AJ67,$AD63:$AD67,$AD62)</f>
        <v>0</v>
      </c>
      <c r="AK62" s="1722"/>
      <c r="AL62" s="1462"/>
      <c r="AM62" s="1462"/>
      <c r="AN62" s="1184" t="s">
        <v>1221</v>
      </c>
      <c r="AO62" s="1190"/>
      <c r="AP62" s="1190"/>
      <c r="AQ62" s="1191"/>
      <c r="AR62" s="1191"/>
    </row>
    <row s="792" customFormat="1" customHeight="1" ht="9" hidden="1">
      <c r="A63" s="1462"/>
      <c r="B63" s="1462"/>
      <c r="C63" s="1462"/>
      <c r="D63" s="1462"/>
      <c r="E63" s="803">
        <v>0</v>
      </c>
      <c r="F63" s="922" cm="1" t="str">
        <f t="array" ref="F63:F63">OFFSET(G63,-1,-1)</f>
        <v>1</v>
      </c>
      <c r="G63" s="1462"/>
      <c r="H63" s="1462"/>
      <c r="I63" s="1462"/>
      <c r="J63" s="1462"/>
      <c r="K63" s="1462"/>
      <c r="L63" s="1462"/>
      <c r="M63" s="1462"/>
      <c r="N63" s="1462"/>
      <c r="O63" s="1462"/>
      <c r="P63" s="1462"/>
      <c r="Q63" s="1462"/>
      <c r="R63" s="1462"/>
      <c r="S63" s="1462"/>
      <c r="T63" s="819">
        <f>F63&gt;0</f>
        <v>1</v>
      </c>
      <c r="U63" s="1462"/>
      <c r="V63" s="1462"/>
      <c r="W63" s="1462"/>
      <c r="X63" s="1462"/>
      <c r="Y63" s="1462"/>
      <c r="Z63" s="1462"/>
      <c r="AA63" s="1462"/>
      <c r="AB63" s="406"/>
      <c r="AC63" s="407"/>
      <c r="AD63" s="157"/>
      <c r="AE63" s="169"/>
      <c r="AF63" s="169"/>
      <c r="AG63" s="169"/>
      <c r="AH63" s="169"/>
      <c r="AI63" s="284"/>
      <c r="AJ63" s="284"/>
      <c r="AK63" s="842"/>
      <c r="AL63" s="1462"/>
      <c r="AM63" s="1462"/>
      <c r="AN63" s="1184"/>
      <c r="AO63" s="1190"/>
      <c r="AP63" s="1190"/>
      <c r="AQ63" s="1191"/>
      <c r="AR63" s="1191"/>
    </row>
    <row s="792" customFormat="1" customHeight="1" ht="16.5" hidden="1">
      <c r="A64" s="1462"/>
      <c r="B64" s="1462"/>
      <c r="C64" s="1462"/>
      <c r="D64" s="1462"/>
      <c r="E64" s="803">
        <v>17</v>
      </c>
      <c r="F64" s="922" cm="1" t="str">
        <f t="array" ref="F64:F64">OFFSET(G64,-1,-1)</f>
        <v>1</v>
      </c>
      <c r="G64" s="1462"/>
      <c r="H64" s="213" t="s">
        <v>1196</v>
      </c>
      <c r="I64" s="213" cm="1" t="str">
        <f t="array" ref="I64:I64">AC64</f>
        <v>0</v>
      </c>
      <c r="J64" s="1462"/>
      <c r="K64" s="1462"/>
      <c r="L64" s="1462"/>
      <c r="M64" s="1462"/>
      <c r="N64" s="1462"/>
      <c r="O64" s="1462"/>
      <c r="P64" s="1462"/>
      <c r="Q64" s="1462"/>
      <c r="R64" s="1462"/>
      <c r="S64" s="1462"/>
      <c r="T64" s="819">
        <f>AND(F64&gt;0,Y64&gt;0)</f>
        <v>0</v>
      </c>
      <c r="U64" s="1462"/>
      <c r="V64" s="1462"/>
      <c r="W64" s="159" t="s">
        <v>234</v>
      </c>
      <c r="X64" s="1462"/>
      <c r="Y64" s="171">
        <v>0</v>
      </c>
      <c r="Z64" s="1462"/>
      <c r="AA64" s="1536" t="s">
        <v>218</v>
      </c>
      <c r="AB64" s="406" t="str">
        <f>"2."&amp;Y64</f>
        <v>2.0</v>
      </c>
      <c r="AC64" s="54"/>
      <c r="AD64" s="157" t="s">
        <v>810</v>
      </c>
      <c r="AE64" s="169"/>
      <c r="AF64" s="169"/>
      <c r="AG64" s="169"/>
      <c r="AH64" s="169"/>
      <c r="AI64" s="1665">
        <f>AI65*AI66*12/1000</f>
        <v>0</v>
      </c>
      <c r="AJ64" s="1665">
        <f>AJ65*AJ66*12/1000</f>
        <v>0</v>
      </c>
      <c r="AK64" s="79"/>
      <c r="AL64" s="1462"/>
      <c r="AM64" s="1462"/>
      <c r="AN64" s="1184" t="s">
        <v>1222</v>
      </c>
      <c r="AO64" s="1190" t="s">
        <v>1223</v>
      </c>
      <c r="AP64" s="1190" cm="1" t="str">
        <f t="array" ref="AP64:AP64">AC64</f>
        <v>0</v>
      </c>
      <c r="AQ64" s="1191"/>
      <c r="AR64" s="1191" t="b">
        <v>1</v>
      </c>
    </row>
    <row s="792" customFormat="1" customHeight="1" ht="16.5" hidden="1">
      <c r="A65" s="1462"/>
      <c r="B65" s="1462"/>
      <c r="C65" s="1462"/>
      <c r="D65" s="1462"/>
      <c r="E65" s="803">
        <v>17</v>
      </c>
      <c r="F65" s="922" cm="1" t="str">
        <f t="array" ref="F65:F65">OFFSET(G65,-1,-1)</f>
        <v>1</v>
      </c>
      <c r="G65" s="739" t="s">
        <v>1224</v>
      </c>
      <c r="H65" s="213" t="str">
        <f>H64&amp;"_1"</f>
        <v>L5_1</v>
      </c>
      <c r="I65" s="213" cm="1" t="str">
        <f t="array" ref="I65:I65">I64</f>
        <v>0</v>
      </c>
      <c r="J65" s="1462"/>
      <c r="K65" s="1462"/>
      <c r="L65" s="1462"/>
      <c r="M65" s="1462"/>
      <c r="N65" s="1462"/>
      <c r="O65" s="1462"/>
      <c r="P65" s="1462"/>
      <c r="Q65" s="1462"/>
      <c r="R65" s="1462"/>
      <c r="S65" s="1462"/>
      <c r="T65" s="819" cm="1" t="str">
        <f t="array" ref="T65:T65">T64</f>
        <v>false</v>
      </c>
      <c r="U65" s="1462"/>
      <c r="V65" s="1462"/>
      <c r="W65" s="1462"/>
      <c r="X65" s="1462"/>
      <c r="Y65" s="1462"/>
      <c r="Z65" s="1462"/>
      <c r="AA65" s="1536"/>
      <c r="AB65" s="406" t="str">
        <f>AB64&amp;".1"</f>
        <v>2.0.1</v>
      </c>
      <c r="AC65" s="294" t="s">
        <v>1213</v>
      </c>
      <c r="AD65" s="157" t="s">
        <v>1214</v>
      </c>
      <c r="AE65" s="169"/>
      <c r="AF65" s="169"/>
      <c r="AG65" s="169"/>
      <c r="AH65" s="169"/>
      <c r="AI65" s="1907"/>
      <c r="AJ65" s="1907"/>
      <c r="AK65" s="79"/>
      <c r="AL65" s="1462"/>
      <c r="AM65" s="1462"/>
      <c r="AN65" s="1184" t="s">
        <v>1225</v>
      </c>
      <c r="AO65" s="1190" t="s">
        <v>1223</v>
      </c>
      <c r="AP65" s="1190" cm="1" t="str">
        <f t="array" ref="AP65:AP65">AP64</f>
        <v>0</v>
      </c>
      <c r="AQ65" s="1191"/>
      <c r="AR65" s="1191"/>
    </row>
    <row s="792" customFormat="1" customHeight="1" ht="16.5" hidden="1">
      <c r="A66" s="1462"/>
      <c r="B66" s="1462"/>
      <c r="C66" s="1462"/>
      <c r="D66" s="1462"/>
      <c r="E66" s="803">
        <v>17</v>
      </c>
      <c r="F66" s="922" cm="1" t="str">
        <f t="array" ref="F66:F66">OFFSET(G66,-1,-1)</f>
        <v>1</v>
      </c>
      <c r="G66" s="1462"/>
      <c r="H66" s="213" t="str">
        <f>H64&amp;"_2"</f>
        <v>L5_2</v>
      </c>
      <c r="I66" s="213" cm="1" t="str">
        <f t="array" ref="I66:I66">I65</f>
        <v>0</v>
      </c>
      <c r="J66" s="1462"/>
      <c r="K66" s="1462"/>
      <c r="L66" s="1462"/>
      <c r="M66" s="1462"/>
      <c r="N66" s="1462"/>
      <c r="O66" s="1462"/>
      <c r="P66" s="1462"/>
      <c r="Q66" s="1462"/>
      <c r="R66" s="1462"/>
      <c r="S66" s="1462"/>
      <c r="T66" s="819" cm="1" t="str">
        <f t="array" ref="T66:T66">T65</f>
        <v>false</v>
      </c>
      <c r="U66" s="1462"/>
      <c r="V66" s="1462"/>
      <c r="W66" s="1462"/>
      <c r="X66" s="1462"/>
      <c r="Y66" s="1462"/>
      <c r="Z66" s="1462"/>
      <c r="AA66" s="1536"/>
      <c r="AB66" s="406" t="str">
        <f>AB64&amp;".2"</f>
        <v>2.0.2</v>
      </c>
      <c r="AC66" s="294" t="s">
        <v>1216</v>
      </c>
      <c r="AD66" s="157" t="s">
        <v>1217</v>
      </c>
      <c r="AE66" s="169"/>
      <c r="AF66" s="169"/>
      <c r="AG66" s="169"/>
      <c r="AH66" s="169"/>
      <c r="AI66" s="1907"/>
      <c r="AJ66" s="1907"/>
      <c r="AK66" s="79"/>
      <c r="AL66" s="1462"/>
      <c r="AM66" s="1462"/>
      <c r="AN66" s="1184" t="s">
        <v>1226</v>
      </c>
      <c r="AO66" s="1190" t="s">
        <v>1223</v>
      </c>
      <c r="AP66" s="1190" cm="1" t="str">
        <f t="array" ref="AP66:AP66">AP65</f>
        <v>0</v>
      </c>
      <c r="AQ66" s="1191"/>
      <c r="AR66" s="1191"/>
    </row>
    <row s="792" customFormat="1" customHeight="1" ht="16.5">
      <c r="A67" s="1462"/>
      <c r="B67" s="1462"/>
      <c r="C67" s="1462"/>
      <c r="D67" s="1462"/>
      <c r="E67" s="803">
        <v>17</v>
      </c>
      <c r="F67" s="922" cm="1" t="str">
        <f t="array" ref="F67:F67">OFFSET(G67,-1,-1)</f>
        <v>1</v>
      </c>
      <c r="G67" s="1462"/>
      <c r="H67" s="213" t="str">
        <f>F67&amp;"pIns3"</f>
        <v>1pIns3</v>
      </c>
      <c r="I67" s="1462"/>
      <c r="J67" s="1462"/>
      <c r="K67" s="1462"/>
      <c r="L67" s="1462"/>
      <c r="M67" s="1462"/>
      <c r="N67" s="1462"/>
      <c r="O67" s="1462"/>
      <c r="P67" s="1462"/>
      <c r="Q67" s="1462"/>
      <c r="R67" s="1462"/>
      <c r="S67" s="1462"/>
      <c r="T67" s="819">
        <f>F67&gt;0</f>
        <v>1</v>
      </c>
      <c r="U67" s="1462"/>
      <c r="V67" s="1462"/>
      <c r="W67" s="374" t="s">
        <v>962</v>
      </c>
      <c r="X67" s="1462"/>
      <c r="Y67" s="1462"/>
      <c r="Z67" s="1462"/>
      <c r="AA67" s="1462"/>
      <c r="AB67" s="302"/>
      <c r="AC67" s="303" t="s">
        <v>236</v>
      </c>
      <c r="AD67" s="303"/>
      <c r="AE67" s="303"/>
      <c r="AF67" s="303"/>
      <c r="AG67" s="303"/>
      <c r="AH67" s="303"/>
      <c r="AI67" s="303"/>
      <c r="AJ67" s="303"/>
      <c r="AK67" s="1101"/>
      <c r="AL67" s="1462"/>
      <c r="AM67" s="1462"/>
      <c r="AN67" s="1184" t="s">
        <v>245</v>
      </c>
      <c r="AO67" s="1190"/>
      <c r="AP67" s="1190"/>
      <c r="AQ67" s="1191" t="s">
        <v>1223</v>
      </c>
      <c r="AR67" s="1191"/>
    </row>
    <row s="792" customFormat="1" customHeight="1" ht="24">
      <c r="A68" s="1462"/>
      <c r="B68" s="1462"/>
      <c r="C68" s="1462"/>
      <c r="D68" s="1462"/>
      <c r="E68" s="803">
        <v>24.8</v>
      </c>
      <c r="F68" s="922" cm="1" t="str">
        <f t="array" ref="F68:F68">OFFSET(G68,-1,-1)</f>
        <v>1</v>
      </c>
      <c r="G68" s="739" t="s">
        <v>1227</v>
      </c>
      <c r="H68" s="213" t="s">
        <v>1196</v>
      </c>
      <c r="I68" s="1462"/>
      <c r="J68" s="1462"/>
      <c r="K68" s="1462"/>
      <c r="L68" s="1462"/>
      <c r="M68" s="1462"/>
      <c r="N68" s="1462"/>
      <c r="O68" s="1462"/>
      <c r="P68" s="1462"/>
      <c r="Q68" s="1462"/>
      <c r="R68" s="1462"/>
      <c r="S68" s="1462"/>
      <c r="T68" s="819">
        <f>F68&gt;0</f>
        <v>1</v>
      </c>
      <c r="U68" s="1462"/>
      <c r="V68" s="1462"/>
      <c r="W68" s="1462"/>
      <c r="X68" s="1462"/>
      <c r="Y68" s="1462"/>
      <c r="Z68" s="1462"/>
      <c r="AA68" s="1462"/>
      <c r="AB68" s="406" t="s">
        <v>429</v>
      </c>
      <c r="AC68" s="407" t="s">
        <v>1228</v>
      </c>
      <c r="AD68" s="157" t="s">
        <v>810</v>
      </c>
      <c r="AE68" s="1907">
        <v>2519.64</v>
      </c>
      <c r="AF68" s="1907">
        <v>2290.52</v>
      </c>
      <c r="AG68" s="1907">
        <v>2889.76</v>
      </c>
      <c r="AH68" s="1907">
        <v>2639.13</v>
      </c>
      <c r="AI68" s="282">
        <f>_xlfn.SUMIFS(AI69:AI76,$AD69:$AD76,$AD68)</f>
        <v>2342.25024</v>
      </c>
      <c r="AJ68" s="282">
        <f>_xlfn.SUMIFS(AJ69:AJ76,$AD69:$AD76,$AD68)</f>
        <v>2745.98424</v>
      </c>
      <c r="AK68" s="1722"/>
      <c r="AL68" s="1462"/>
      <c r="AM68" s="1462"/>
      <c r="AN68" s="1184" t="s">
        <v>1229</v>
      </c>
      <c r="AO68" s="1190"/>
      <c r="AP68" s="1190"/>
      <c r="AQ68" s="1191"/>
      <c r="AR68" s="1191"/>
    </row>
    <row s="792" customFormat="1" customHeight="1" ht="9" hidden="1">
      <c r="A69" s="1462"/>
      <c r="B69" s="1462"/>
      <c r="C69" s="1462"/>
      <c r="D69" s="1462"/>
      <c r="E69" s="803">
        <v>0</v>
      </c>
      <c r="F69" s="922" cm="1" t="str">
        <f t="array" ref="F69:F69">OFFSET(G69,-1,-1)</f>
        <v>1</v>
      </c>
      <c r="G69" s="1462"/>
      <c r="H69" s="1462"/>
      <c r="I69" s="1462"/>
      <c r="J69" s="1462"/>
      <c r="K69" s="1462"/>
      <c r="L69" s="1462"/>
      <c r="M69" s="1462"/>
      <c r="N69" s="1462"/>
      <c r="O69" s="1462"/>
      <c r="P69" s="1462"/>
      <c r="Q69" s="1462"/>
      <c r="R69" s="1462"/>
      <c r="S69" s="1462"/>
      <c r="T69" s="819">
        <f>F69&gt;0</f>
        <v>1</v>
      </c>
      <c r="U69" s="1462"/>
      <c r="V69" s="1462"/>
      <c r="W69" s="1462"/>
      <c r="X69" s="1462"/>
      <c r="Y69" s="1462"/>
      <c r="Z69" s="1462"/>
      <c r="AA69" s="1462"/>
      <c r="AB69" s="406"/>
      <c r="AC69" s="407"/>
      <c r="AD69" s="157"/>
      <c r="AE69" s="169"/>
      <c r="AF69" s="169"/>
      <c r="AG69" s="169"/>
      <c r="AH69" s="169"/>
      <c r="AI69" s="284"/>
      <c r="AJ69" s="284"/>
      <c r="AK69" s="842"/>
      <c r="AL69" s="1462"/>
      <c r="AM69" s="1462"/>
      <c r="AN69" s="1184"/>
      <c r="AO69" s="1190"/>
      <c r="AP69" s="1190"/>
      <c r="AQ69" s="1191"/>
      <c r="AR69" s="1191"/>
    </row>
    <row s="792" customFormat="1" customHeight="1" ht="16.5" hidden="1">
      <c r="E70" s="803">
        <v>17</v>
      </c>
      <c r="F70" s="922" cm="1" t="str">
        <f t="array" ref="F70:F70">OFFSET(G70,-1,-1)</f>
        <v>1</v>
      </c>
      <c r="H70" s="213" t="s">
        <v>1196</v>
      </c>
      <c r="I70" s="213" cm="1" t="str">
        <f t="array" ref="I70:I70">AC70</f>
        <v>0</v>
      </c>
      <c r="T70" s="819">
        <f>AND(F70&gt;0,Y70&gt;0)</f>
        <v>0</v>
      </c>
      <c r="W70" s="159" t="s">
        <v>234</v>
      </c>
      <c r="Y70" s="171">
        <v>0</v>
      </c>
      <c r="AA70" s="1536" t="s">
        <v>218</v>
      </c>
      <c r="AB70" s="406" t="str">
        <f>"3."&amp;Y70</f>
        <v>3.0</v>
      </c>
      <c r="AC70" s="54"/>
      <c r="AD70" s="157" t="s">
        <v>810</v>
      </c>
      <c r="AE70" s="169"/>
      <c r="AF70" s="169"/>
      <c r="AG70" s="169"/>
      <c r="AH70" s="169"/>
      <c r="AI70" s="283">
        <f>AI71*AI72*12/1000</f>
        <v>0</v>
      </c>
      <c r="AJ70" s="283">
        <f>AJ71*AJ72*12/1000</f>
        <v>0</v>
      </c>
      <c r="AK70" s="79"/>
      <c r="AN70" s="1184" t="s">
        <v>1230</v>
      </c>
      <c r="AO70" s="1190" t="s">
        <v>1231</v>
      </c>
      <c r="AP70" s="1190" cm="1" t="str">
        <f t="array" ref="AP70:AP70">AC70</f>
        <v>0</v>
      </c>
      <c r="AQ70" s="1191"/>
      <c r="AR70" s="1191" t="b">
        <v>1</v>
      </c>
    </row>
    <row s="792" customFormat="1" customHeight="1" ht="16.5" hidden="1">
      <c r="E71" s="803">
        <v>17</v>
      </c>
      <c r="F71" s="922" cm="1" t="str">
        <f t="array" ref="F71:F71">OFFSET(G71,-1,-1)</f>
        <v>1</v>
      </c>
      <c r="G71" s="739" t="s">
        <v>1232</v>
      </c>
      <c r="H71" s="213" t="str">
        <f>H70&amp;"_1"</f>
        <v>L5_1</v>
      </c>
      <c r="I71" s="213" cm="1" t="str">
        <f t="array" ref="I71:I71">I70</f>
        <v>0</v>
      </c>
      <c r="T71" s="819" cm="1" t="str">
        <f t="array" ref="T71:T71">T70</f>
        <v>false</v>
      </c>
      <c r="AA71" s="1536"/>
      <c r="AB71" s="406" t="str">
        <f>AB70&amp;".1"</f>
        <v>3.0.1</v>
      </c>
      <c r="AC71" s="294" t="s">
        <v>1213</v>
      </c>
      <c r="AD71" s="157" t="s">
        <v>1214</v>
      </c>
      <c r="AE71" s="169"/>
      <c r="AF71" s="169"/>
      <c r="AG71" s="169"/>
      <c r="AH71" s="169"/>
      <c r="AI71" s="300"/>
      <c r="AJ71" s="300"/>
      <c r="AK71" s="79"/>
      <c r="AN71" s="1184" t="s">
        <v>1233</v>
      </c>
      <c r="AO71" s="1190" t="s">
        <v>1231</v>
      </c>
      <c r="AP71" s="1190" cm="1" t="str">
        <f t="array" ref="AP71:AP71">AP70</f>
        <v>0</v>
      </c>
      <c r="AQ71" s="1191"/>
      <c r="AR71" s="1191"/>
    </row>
    <row s="792" customFormat="1" customHeight="1" ht="16.5" hidden="1">
      <c r="E72" s="803">
        <v>17</v>
      </c>
      <c r="F72" s="922" cm="1" t="str">
        <f t="array" ref="F72:F72">OFFSET(G72,-1,-1)</f>
        <v>1</v>
      </c>
      <c r="H72" s="213" t="str">
        <f>H70&amp;"_2"</f>
        <v>L5_2</v>
      </c>
      <c r="I72" s="213" cm="1" t="str">
        <f t="array" ref="I72:I72">I71</f>
        <v>0</v>
      </c>
      <c r="T72" s="819" cm="1" t="str">
        <f t="array" ref="T72:T72">T71</f>
        <v>false</v>
      </c>
      <c r="AA72" s="1536"/>
      <c r="AB72" s="406" t="str">
        <f>AB70&amp;".2"</f>
        <v>3.0.2</v>
      </c>
      <c r="AC72" s="294" t="s">
        <v>1216</v>
      </c>
      <c r="AD72" s="157" t="s">
        <v>1217</v>
      </c>
      <c r="AE72" s="169"/>
      <c r="AF72" s="169"/>
      <c r="AG72" s="169"/>
      <c r="AH72" s="169"/>
      <c r="AI72" s="300"/>
      <c r="AJ72" s="300"/>
      <c r="AK72" s="79"/>
      <c r="AN72" s="1184" t="s">
        <v>1234</v>
      </c>
      <c r="AO72" s="1190" t="s">
        <v>1231</v>
      </c>
      <c r="AP72" s="1190" cm="1" t="str">
        <f t="array" ref="AP72:AP72">AP71</f>
        <v>0</v>
      </c>
      <c r="AQ72" s="1191"/>
      <c r="AR72" s="1191"/>
    </row>
    <row s="792" customFormat="1" customHeight="1" ht="16.5">
      <c r="A73" s="792"/>
      <c r="B73" s="792"/>
      <c r="C73" s="792"/>
      <c r="D73" s="792"/>
      <c r="E73" s="803">
        <v>17</v>
      </c>
      <c r="F73" s="922" cm="1" t="str">
        <f t="array" ref="F73:F73">OFFSET(G73,-1,-1)</f>
        <v>1</v>
      </c>
      <c r="G73" s="792"/>
      <c r="H73" s="213" t="s">
        <v>1196</v>
      </c>
      <c r="I73" s="213" cm="1" t="str">
        <f t="array" ref="I73:I73">AC73</f>
        <v>Расходы на оплату труда административно-управленческого персонала</v>
      </c>
      <c r="J73" s="792"/>
      <c r="K73" s="792"/>
      <c r="L73" s="792"/>
      <c r="M73" s="792"/>
      <c r="N73" s="792"/>
      <c r="O73" s="792"/>
      <c r="P73" s="792"/>
      <c r="Q73" s="792"/>
      <c r="R73" s="792"/>
      <c r="S73" s="792"/>
      <c r="T73" s="819">
        <f>AND(F73&gt;0,Y73&gt;0)</f>
        <v>1</v>
      </c>
      <c r="U73" s="792"/>
      <c r="V73" s="792"/>
      <c r="W73" s="159"/>
      <c r="X73" s="792"/>
      <c r="Y73" s="171" t="s">
        <v>336</v>
      </c>
      <c r="Z73" s="792"/>
      <c r="AA73" s="1536" t="s">
        <v>218</v>
      </c>
      <c r="AB73" s="406" t="str">
        <f>"3."&amp;Y73</f>
        <v>3.1</v>
      </c>
      <c r="AC73" s="1640" t="s">
        <v>1228</v>
      </c>
      <c r="AD73" s="157" t="s">
        <v>810</v>
      </c>
      <c r="AE73" s="169"/>
      <c r="AF73" s="169"/>
      <c r="AG73" s="169"/>
      <c r="AH73" s="169"/>
      <c r="AI73" s="283">
        <f>AI74*AI75*12/1000</f>
        <v>2342.25024</v>
      </c>
      <c r="AJ73" s="283">
        <f>AJ74*AJ75*12/1000</f>
        <v>2745.98424</v>
      </c>
      <c r="AK73" s="1722"/>
      <c r="AL73" s="792"/>
      <c r="AM73" s="792"/>
      <c r="AN73" s="1184" t="s">
        <v>1230</v>
      </c>
      <c r="AO73" s="1190" t="s">
        <v>1231</v>
      </c>
      <c r="AP73" s="1190" cm="1" t="str">
        <f t="array" ref="AP73:AP73">AC73</f>
        <v>Расходы на оплату труда административно-управленческого персонала</v>
      </c>
      <c r="AQ73" s="1191"/>
      <c r="AR73" s="1191" t="b">
        <v>1</v>
      </c>
    </row>
    <row s="792" customFormat="1" customHeight="1" ht="16.5">
      <c r="A74" s="792"/>
      <c r="B74" s="792"/>
      <c r="C74" s="792"/>
      <c r="D74" s="792"/>
      <c r="E74" s="803">
        <v>17</v>
      </c>
      <c r="F74" s="922" cm="1" t="str">
        <f t="array" ref="F74:F74">OFFSET(G74,-1,-1)</f>
        <v>1</v>
      </c>
      <c r="G74" s="739" t="s">
        <v>1232</v>
      </c>
      <c r="H74" s="213" t="str">
        <f>H73&amp;"_1"</f>
        <v>L5_1</v>
      </c>
      <c r="I74" s="213" cm="1" t="str">
        <f t="array" ref="I74:I74">I73</f>
        <v>Расходы на оплату труда административно-управленческого персонала</v>
      </c>
      <c r="J74" s="792"/>
      <c r="K74" s="792"/>
      <c r="L74" s="792"/>
      <c r="M74" s="792"/>
      <c r="N74" s="792"/>
      <c r="O74" s="792"/>
      <c r="P74" s="792"/>
      <c r="Q74" s="792"/>
      <c r="R74" s="792"/>
      <c r="S74" s="792"/>
      <c r="T74" s="819" cm="1" t="str">
        <f t="array" ref="T74:T74">T73</f>
        <v>true</v>
      </c>
      <c r="U74" s="792"/>
      <c r="V74" s="792"/>
      <c r="W74" s="792"/>
      <c r="X74" s="792"/>
      <c r="Y74" s="792"/>
      <c r="Z74" s="792"/>
      <c r="AA74" s="1536"/>
      <c r="AB74" s="406" t="str">
        <f>AB73&amp;".1"</f>
        <v>3.1.1</v>
      </c>
      <c r="AC74" s="294" t="s">
        <v>1213</v>
      </c>
      <c r="AD74" s="157" t="s">
        <v>1214</v>
      </c>
      <c r="AE74" s="169"/>
      <c r="AF74" s="169"/>
      <c r="AG74" s="169"/>
      <c r="AH74" s="169"/>
      <c r="AI74" s="300">
        <v>4</v>
      </c>
      <c r="AJ74" s="300">
        <v>6</v>
      </c>
      <c r="AK74" s="1722"/>
      <c r="AL74" s="792"/>
      <c r="AM74" s="792"/>
      <c r="AN74" s="1184" t="s">
        <v>1233</v>
      </c>
      <c r="AO74" s="1190" t="s">
        <v>1231</v>
      </c>
      <c r="AP74" s="1190" cm="1" t="str">
        <f t="array" ref="AP74:AP74">AP73</f>
        <v>Расходы на оплату труда административно-управленческого персонала</v>
      </c>
      <c r="AQ74" s="1191"/>
      <c r="AR74" s="1191"/>
    </row>
    <row s="792" customFormat="1" customHeight="1" ht="16.5">
      <c r="A75" s="792"/>
      <c r="B75" s="792"/>
      <c r="C75" s="792"/>
      <c r="D75" s="792"/>
      <c r="E75" s="803">
        <v>17</v>
      </c>
      <c r="F75" s="922" cm="1" t="str">
        <f t="array" ref="F75:F75">OFFSET(G75,-1,-1)</f>
        <v>1</v>
      </c>
      <c r="G75" s="792"/>
      <c r="H75" s="213" t="str">
        <f>H73&amp;"_2"</f>
        <v>L5_2</v>
      </c>
      <c r="I75" s="213" cm="1" t="str">
        <f t="array" ref="I75:I75">I74</f>
        <v>Расходы на оплату труда административно-управленческого персонала</v>
      </c>
      <c r="J75" s="792"/>
      <c r="K75" s="792"/>
      <c r="L75" s="792"/>
      <c r="M75" s="792"/>
      <c r="N75" s="792"/>
      <c r="O75" s="792"/>
      <c r="P75" s="792"/>
      <c r="Q75" s="792"/>
      <c r="R75" s="792"/>
      <c r="S75" s="792"/>
      <c r="T75" s="819" cm="1" t="str">
        <f t="array" ref="T75:T75">T74</f>
        <v>true</v>
      </c>
      <c r="U75" s="792"/>
      <c r="V75" s="792"/>
      <c r="W75" s="792"/>
      <c r="X75" s="792"/>
      <c r="Y75" s="792"/>
      <c r="Z75" s="792"/>
      <c r="AA75" s="1536"/>
      <c r="AB75" s="406" t="str">
        <f>AB73&amp;".2"</f>
        <v>3.1.2</v>
      </c>
      <c r="AC75" s="294" t="s">
        <v>1216</v>
      </c>
      <c r="AD75" s="157" t="s">
        <v>1217</v>
      </c>
      <c r="AE75" s="169"/>
      <c r="AF75" s="169"/>
      <c r="AG75" s="169"/>
      <c r="AH75" s="169"/>
      <c r="AI75" s="300">
        <v>48796.88</v>
      </c>
      <c r="AJ75" s="300">
        <v>38138.67</v>
      </c>
      <c r="AK75" s="1722"/>
      <c r="AL75" s="792"/>
      <c r="AM75" s="792"/>
      <c r="AN75" s="1184" t="s">
        <v>1234</v>
      </c>
      <c r="AO75" s="1190" t="s">
        <v>1231</v>
      </c>
      <c r="AP75" s="1190" cm="1" t="str">
        <f t="array" ref="AP75:AP75">AP74</f>
        <v>Расходы на оплату труда административно-управленческого персонала</v>
      </c>
      <c r="AQ75" s="1191"/>
      <c r="AR75" s="1191"/>
    </row>
    <row s="792" customFormat="1" customHeight="1" ht="16.5">
      <c r="A76" s="1462"/>
      <c r="B76" s="1462"/>
      <c r="C76" s="1462"/>
      <c r="D76" s="1462"/>
      <c r="E76" s="803">
        <v>17</v>
      </c>
      <c r="F76" s="922" cm="1" t="str">
        <f t="array" ref="F76:F76">OFFSET(G76,-1,-1)</f>
        <v>1</v>
      </c>
      <c r="G76" s="1462"/>
      <c r="H76" s="213" t="str">
        <f>F76&amp;"pIns3"</f>
        <v>1pIns3</v>
      </c>
      <c r="I76" s="1462"/>
      <c r="J76" s="1462"/>
      <c r="K76" s="1462"/>
      <c r="L76" s="1462"/>
      <c r="M76" s="1462"/>
      <c r="N76" s="1462"/>
      <c r="O76" s="1462"/>
      <c r="P76" s="1462"/>
      <c r="Q76" s="1462"/>
      <c r="R76" s="1462"/>
      <c r="S76" s="1462"/>
      <c r="T76" s="819">
        <f>F76&gt;0</f>
        <v>1</v>
      </c>
      <c r="U76" s="1462"/>
      <c r="V76" s="1462"/>
      <c r="W76" s="374" t="s">
        <v>1203</v>
      </c>
      <c r="X76" s="1462"/>
      <c r="Y76" s="1462"/>
      <c r="Z76" s="1462"/>
      <c r="AA76" s="1462"/>
      <c r="AB76" s="302"/>
      <c r="AC76" s="303" t="s">
        <v>236</v>
      </c>
      <c r="AD76" s="303"/>
      <c r="AE76" s="303"/>
      <c r="AF76" s="303"/>
      <c r="AG76" s="303"/>
      <c r="AH76" s="303"/>
      <c r="AI76" s="303"/>
      <c r="AJ76" s="303"/>
      <c r="AK76" s="1101"/>
      <c r="AL76" s="1462"/>
      <c r="AM76" s="1462"/>
      <c r="AN76" s="1184" t="s">
        <v>245</v>
      </c>
      <c r="AO76" s="1190"/>
      <c r="AP76" s="1190"/>
      <c r="AQ76" s="1191" t="s">
        <v>1231</v>
      </c>
      <c r="AR76" s="1191"/>
    </row>
    <row s="792" customFormat="1" customHeight="1" ht="24">
      <c r="A77" s="1462"/>
      <c r="B77" s="1462"/>
      <c r="C77" s="1462"/>
      <c r="D77" s="1462"/>
      <c r="E77" s="803">
        <v>24.8</v>
      </c>
      <c r="F77" s="922" cm="1" t="str">
        <f t="array" ref="F77:F77">OFFSET(G77,-1,-1)</f>
        <v>1</v>
      </c>
      <c r="G77" s="739" t="s">
        <v>1235</v>
      </c>
      <c r="H77" s="213" t="s">
        <v>1196</v>
      </c>
      <c r="I77" s="1462"/>
      <c r="J77" s="1462"/>
      <c r="K77" s="1462"/>
      <c r="L77" s="1462"/>
      <c r="M77" s="1462"/>
      <c r="N77" s="1462"/>
      <c r="O77" s="1462"/>
      <c r="P77" s="1462"/>
      <c r="Q77" s="1462"/>
      <c r="R77" s="1462"/>
      <c r="S77" s="1462"/>
      <c r="T77" s="819">
        <f>F77&gt;0</f>
        <v>1</v>
      </c>
      <c r="U77" s="1462"/>
      <c r="V77" s="1462"/>
      <c r="W77" s="1462"/>
      <c r="X77" s="1462"/>
      <c r="Y77" s="1462"/>
      <c r="Z77" s="1462"/>
      <c r="AA77" s="1462"/>
      <c r="AB77" s="406" t="s">
        <v>432</v>
      </c>
      <c r="AC77" s="407" t="s">
        <v>1236</v>
      </c>
      <c r="AD77" s="157" t="s">
        <v>810</v>
      </c>
      <c r="AE77" s="1907"/>
      <c r="AF77" s="1907"/>
      <c r="AG77" s="1907"/>
      <c r="AH77" s="1907"/>
      <c r="AI77" s="282">
        <f>_xlfn.SUMIFS(AI78:AI82,$AD78:$AD82,$AD77)</f>
        <v>0</v>
      </c>
      <c r="AJ77" s="282">
        <f>_xlfn.SUMIFS(AJ78:AJ82,$AD78:$AD82,$AD77)</f>
        <v>0</v>
      </c>
      <c r="AK77" s="1722"/>
      <c r="AL77" s="1462"/>
      <c r="AM77" s="1462"/>
      <c r="AN77" s="1184" t="s">
        <v>1237</v>
      </c>
      <c r="AO77" s="1190"/>
      <c r="AP77" s="1190"/>
      <c r="AQ77" s="1191"/>
      <c r="AR77" s="1191"/>
    </row>
    <row s="792" customFormat="1" customHeight="1" ht="9" hidden="1">
      <c r="A78" s="1462"/>
      <c r="B78" s="1462"/>
      <c r="C78" s="1462"/>
      <c r="D78" s="1462"/>
      <c r="E78" s="803">
        <v>0</v>
      </c>
      <c r="F78" s="922" cm="1" t="str">
        <f t="array" ref="F78:F78">OFFSET(G78,-1,-1)</f>
        <v>1</v>
      </c>
      <c r="G78" s="1462"/>
      <c r="H78" s="1462"/>
      <c r="I78" s="1462"/>
      <c r="J78" s="1462"/>
      <c r="K78" s="1462"/>
      <c r="L78" s="1462"/>
      <c r="M78" s="1462"/>
      <c r="N78" s="1462"/>
      <c r="O78" s="1462"/>
      <c r="P78" s="1462"/>
      <c r="Q78" s="1462"/>
      <c r="R78" s="1462"/>
      <c r="S78" s="1462"/>
      <c r="T78" s="819">
        <f>F78&gt;0</f>
        <v>1</v>
      </c>
      <c r="U78" s="1462"/>
      <c r="V78" s="1462"/>
      <c r="W78" s="1462"/>
      <c r="X78" s="1462"/>
      <c r="Y78" s="1462"/>
      <c r="Z78" s="1462"/>
      <c r="AA78" s="1462"/>
      <c r="AB78" s="406"/>
      <c r="AC78" s="407"/>
      <c r="AD78" s="157"/>
      <c r="AE78" s="169"/>
      <c r="AF78" s="169"/>
      <c r="AG78" s="169"/>
      <c r="AH78" s="169"/>
      <c r="AI78" s="284"/>
      <c r="AJ78" s="284"/>
      <c r="AK78" s="842"/>
      <c r="AL78" s="1462"/>
      <c r="AM78" s="1462"/>
      <c r="AN78" s="1184"/>
      <c r="AO78" s="1190"/>
      <c r="AP78" s="1190"/>
      <c r="AQ78" s="1191"/>
      <c r="AR78" s="1191"/>
    </row>
    <row s="792" customFormat="1" customHeight="1" ht="16.5" hidden="1">
      <c r="A79" s="1462"/>
      <c r="B79" s="1462"/>
      <c r="C79" s="1462"/>
      <c r="D79" s="1462"/>
      <c r="E79" s="803">
        <v>17</v>
      </c>
      <c r="F79" s="922" cm="1" t="str">
        <f t="array" ref="F79:F79">OFFSET(G79,-1,-1)</f>
        <v>1</v>
      </c>
      <c r="G79" s="1462"/>
      <c r="H79" s="213" t="s">
        <v>1196</v>
      </c>
      <c r="I79" s="213" cm="1" t="str">
        <f t="array" ref="I79:I79">AC79</f>
        <v>0</v>
      </c>
      <c r="J79" s="1462"/>
      <c r="K79" s="1462"/>
      <c r="L79" s="1462"/>
      <c r="M79" s="1462"/>
      <c r="N79" s="1462"/>
      <c r="O79" s="1462"/>
      <c r="P79" s="1462"/>
      <c r="Q79" s="1462"/>
      <c r="R79" s="1462"/>
      <c r="S79" s="1462"/>
      <c r="T79" s="819">
        <f>AND(F79&gt;0,Y79&gt;0)</f>
        <v>0</v>
      </c>
      <c r="U79" s="1462"/>
      <c r="V79" s="1462"/>
      <c r="W79" s="159" t="s">
        <v>234</v>
      </c>
      <c r="X79" s="1462"/>
      <c r="Y79" s="171">
        <v>0</v>
      </c>
      <c r="Z79" s="1462"/>
      <c r="AA79" s="1536" t="s">
        <v>218</v>
      </c>
      <c r="AB79" s="406" t="str">
        <f>"4."&amp;Y79</f>
        <v>4.0</v>
      </c>
      <c r="AC79" s="54"/>
      <c r="AD79" s="157" t="s">
        <v>810</v>
      </c>
      <c r="AE79" s="169"/>
      <c r="AF79" s="169"/>
      <c r="AG79" s="169"/>
      <c r="AH79" s="169"/>
      <c r="AI79" s="1665">
        <f>AI80*AI81*12/1000</f>
        <v>0</v>
      </c>
      <c r="AJ79" s="1665">
        <f>AJ80*AJ81*12/1000</f>
        <v>0</v>
      </c>
      <c r="AK79" s="79"/>
      <c r="AL79" s="1462"/>
      <c r="AM79" s="1462"/>
      <c r="AN79" s="1184" t="s">
        <v>1238</v>
      </c>
      <c r="AO79" s="1190" t="s">
        <v>1239</v>
      </c>
      <c r="AP79" s="1190" cm="1" t="str">
        <f t="array" ref="AP79:AP79">AC79</f>
        <v>0</v>
      </c>
      <c r="AQ79" s="1191"/>
      <c r="AR79" s="1191" t="b">
        <v>1</v>
      </c>
    </row>
    <row s="792" customFormat="1" customHeight="1" ht="16.5" hidden="1">
      <c r="A80" s="1462"/>
      <c r="B80" s="1462"/>
      <c r="C80" s="1462"/>
      <c r="D80" s="1462"/>
      <c r="E80" s="803">
        <v>17</v>
      </c>
      <c r="F80" s="922" cm="1" t="str">
        <f t="array" ref="F80:F80">OFFSET(G80,-1,-1)</f>
        <v>1</v>
      </c>
      <c r="G80" s="739" t="s">
        <v>1240</v>
      </c>
      <c r="H80" s="213" t="str">
        <f>H79&amp;"_1"</f>
        <v>L5_1</v>
      </c>
      <c r="I80" s="213" cm="1" t="str">
        <f t="array" ref="I80:I80">I79</f>
        <v>0</v>
      </c>
      <c r="J80" s="1462"/>
      <c r="K80" s="1462"/>
      <c r="L80" s="1462"/>
      <c r="M80" s="1462"/>
      <c r="N80" s="1462"/>
      <c r="O80" s="1462"/>
      <c r="P80" s="1462"/>
      <c r="Q80" s="1462"/>
      <c r="R80" s="1462"/>
      <c r="S80" s="1462"/>
      <c r="T80" s="819" cm="1" t="str">
        <f t="array" ref="T80:T80">T79</f>
        <v>false</v>
      </c>
      <c r="U80" s="1462"/>
      <c r="V80" s="1462"/>
      <c r="W80" s="1462"/>
      <c r="X80" s="1462"/>
      <c r="Y80" s="1462"/>
      <c r="Z80" s="1462"/>
      <c r="AA80" s="1536"/>
      <c r="AB80" s="406" t="str">
        <f>AB79&amp;".1"</f>
        <v>4.0.1</v>
      </c>
      <c r="AC80" s="294" t="s">
        <v>1213</v>
      </c>
      <c r="AD80" s="157" t="s">
        <v>1214</v>
      </c>
      <c r="AE80" s="169"/>
      <c r="AF80" s="169"/>
      <c r="AG80" s="169"/>
      <c r="AH80" s="169"/>
      <c r="AI80" s="1907"/>
      <c r="AJ80" s="1907"/>
      <c r="AK80" s="79"/>
      <c r="AL80" s="1462"/>
      <c r="AM80" s="1462"/>
      <c r="AN80" s="1184" t="s">
        <v>1241</v>
      </c>
      <c r="AO80" s="1190" t="s">
        <v>1239</v>
      </c>
      <c r="AP80" s="1190" cm="1" t="str">
        <f t="array" ref="AP80:AP80">AP79</f>
        <v>0</v>
      </c>
      <c r="AQ80" s="1191"/>
      <c r="AR80" s="1191"/>
    </row>
    <row s="792" customFormat="1" customHeight="1" ht="16.5" hidden="1">
      <c r="A81" s="1462"/>
      <c r="B81" s="1462"/>
      <c r="C81" s="1462"/>
      <c r="D81" s="1462"/>
      <c r="E81" s="803">
        <v>17</v>
      </c>
      <c r="F81" s="922" cm="1" t="str">
        <f t="array" ref="F81:F81">OFFSET(G81,-1,-1)</f>
        <v>1</v>
      </c>
      <c r="G81" s="1462"/>
      <c r="H81" s="213" t="str">
        <f>H79&amp;"_2"</f>
        <v>L5_2</v>
      </c>
      <c r="I81" s="213" cm="1" t="str">
        <f t="array" ref="I81:I81">I80</f>
        <v>0</v>
      </c>
      <c r="J81" s="1462"/>
      <c r="K81" s="1462"/>
      <c r="L81" s="1462"/>
      <c r="M81" s="1462"/>
      <c r="N81" s="1462"/>
      <c r="O81" s="1462"/>
      <c r="P81" s="1462"/>
      <c r="Q81" s="1462"/>
      <c r="R81" s="1462"/>
      <c r="S81" s="1462"/>
      <c r="T81" s="819" cm="1" t="str">
        <f t="array" ref="T81:T81">T80</f>
        <v>false</v>
      </c>
      <c r="U81" s="1462"/>
      <c r="V81" s="1462"/>
      <c r="W81" s="1462"/>
      <c r="X81" s="1462"/>
      <c r="Y81" s="1462"/>
      <c r="Z81" s="1462"/>
      <c r="AA81" s="1536"/>
      <c r="AB81" s="406" t="str">
        <f>AB79&amp;".2"</f>
        <v>4.0.2</v>
      </c>
      <c r="AC81" s="294" t="s">
        <v>1216</v>
      </c>
      <c r="AD81" s="157" t="s">
        <v>1217</v>
      </c>
      <c r="AE81" s="169"/>
      <c r="AF81" s="169"/>
      <c r="AG81" s="169"/>
      <c r="AH81" s="169"/>
      <c r="AI81" s="1907"/>
      <c r="AJ81" s="1907"/>
      <c r="AK81" s="79"/>
      <c r="AL81" s="1462"/>
      <c r="AM81" s="1462"/>
      <c r="AN81" s="1184" t="s">
        <v>1242</v>
      </c>
      <c r="AO81" s="1190" t="s">
        <v>1239</v>
      </c>
      <c r="AP81" s="1190" cm="1" t="str">
        <f t="array" ref="AP81:AP81">AP80</f>
        <v>0</v>
      </c>
      <c r="AQ81" s="1191"/>
      <c r="AR81" s="1191"/>
    </row>
    <row s="792" customFormat="1" customHeight="1" ht="16.5">
      <c r="A82" s="1462"/>
      <c r="B82" s="1462"/>
      <c r="C82" s="1462"/>
      <c r="D82" s="1462"/>
      <c r="E82" s="803">
        <v>17</v>
      </c>
      <c r="F82" s="922" cm="1" t="str">
        <f t="array" ref="F82:F82">OFFSET(G82,-1,-1)</f>
        <v>1</v>
      </c>
      <c r="G82" s="1462"/>
      <c r="H82" s="213" t="str">
        <f>F82&amp;"pIns3"</f>
        <v>1pIns3</v>
      </c>
      <c r="I82" s="1462"/>
      <c r="J82" s="1462"/>
      <c r="K82" s="1462"/>
      <c r="L82" s="1462"/>
      <c r="M82" s="1462"/>
      <c r="N82" s="1462"/>
      <c r="O82" s="1462"/>
      <c r="P82" s="1462"/>
      <c r="Q82" s="1462"/>
      <c r="R82" s="1462"/>
      <c r="S82" s="1462"/>
      <c r="T82" s="819">
        <f>F82&gt;0</f>
        <v>1</v>
      </c>
      <c r="U82" s="1462"/>
      <c r="V82" s="1462"/>
      <c r="W82" s="374" t="s">
        <v>1243</v>
      </c>
      <c r="X82" s="1462"/>
      <c r="Y82" s="1462"/>
      <c r="Z82" s="1462"/>
      <c r="AA82" s="1462"/>
      <c r="AB82" s="302"/>
      <c r="AC82" s="303" t="s">
        <v>236</v>
      </c>
      <c r="AD82" s="303"/>
      <c r="AE82" s="303"/>
      <c r="AF82" s="303"/>
      <c r="AG82" s="303"/>
      <c r="AH82" s="303"/>
      <c r="AI82" s="303"/>
      <c r="AJ82" s="303"/>
      <c r="AK82" s="304"/>
      <c r="AL82" s="1462"/>
      <c r="AM82" s="1462"/>
      <c r="AN82" s="1184"/>
      <c r="AO82" s="1190"/>
      <c r="AP82" s="1190"/>
      <c r="AQ82" s="1191" t="s">
        <v>1239</v>
      </c>
      <c r="AR82" s="1191"/>
    </row>
    <row customHeight="1" ht="11.115">
      <c r="E83" s="797">
        <v>11.4</v>
      </c>
      <c r="U83" s="179" t="s">
        <v>236</v>
      </c>
      <c r="V83" s="171" t="s">
        <v>1244</v>
      </c>
      <c r="AI83" s="500"/>
      <c r="AJ83" s="500"/>
    </row>
    <row customHeight="1" ht="11.25" hidden="1">
      <c r="E84" s="797">
        <v>0</v>
      </c>
      <c r="AI84" s="500"/>
      <c r="AJ84" s="500"/>
    </row>
    <row customHeight="1" ht="14.625">
      <c r="E85" s="797">
        <v>15</v>
      </c>
      <c r="AB85" s="1530" t="s">
        <v>705</v>
      </c>
      <c r="AC85" s="1530"/>
      <c r="AD85" s="1530"/>
      <c r="AE85" s="1530"/>
      <c r="AF85" s="1530"/>
      <c r="AG85" s="1530"/>
      <c r="AH85" s="1530"/>
      <c r="AI85" s="1531"/>
      <c r="AJ85" s="1531"/>
      <c r="AK85" s="1531"/>
    </row>
    <row customHeight="1" ht="14.625">
      <c r="E86" s="797">
        <v>15</v>
      </c>
      <c r="AA86" s="921"/>
      <c r="AB86" s="1532"/>
      <c r="AC86" s="1532"/>
      <c r="AD86" s="1532"/>
      <c r="AE86" s="1532"/>
      <c r="AF86" s="1532"/>
      <c r="AG86" s="1532"/>
      <c r="AH86" s="1532"/>
      <c r="AI86" s="1533"/>
      <c r="AJ86" s="1533"/>
      <c r="AK86" s="1533"/>
    </row>
    <row customHeight="1" ht="14.625" hidden="1">
      <c r="A87" s="1582"/>
      <c r="B87" s="927"/>
      <c r="C87" s="1582"/>
      <c r="D87" s="1582"/>
      <c r="E87" s="797">
        <v>15</v>
      </c>
      <c r="F87" s="1582"/>
      <c r="G87" s="500"/>
      <c r="H87" s="500"/>
      <c r="I87" s="500"/>
      <c r="J87" s="500"/>
      <c r="K87" s="500"/>
      <c r="L87" s="500"/>
      <c r="M87" s="500"/>
      <c r="N87" s="500"/>
      <c r="O87" s="500"/>
      <c r="P87" s="500"/>
      <c r="Q87" s="928"/>
      <c r="R87" s="928"/>
      <c r="S87" s="500"/>
      <c r="T87" s="808">
        <f>ROW(W87)&gt;ROW(W$87)</f>
        <v>0</v>
      </c>
      <c r="U87" s="1582"/>
      <c r="V87" s="179"/>
      <c r="W87" s="175" t="s">
        <v>234</v>
      </c>
      <c r="X87" s="1582"/>
      <c r="Y87" s="1582"/>
      <c r="Z87" s="1582"/>
      <c r="AA87" s="917" t="s">
        <v>218</v>
      </c>
      <c r="AB87" s="1884"/>
      <c r="AC87" s="1884"/>
      <c r="AD87" s="1884"/>
      <c r="AE87" s="1884"/>
      <c r="AF87" s="1884"/>
      <c r="AG87" s="1884"/>
      <c r="AH87" s="1884"/>
      <c r="AI87" s="1533"/>
      <c r="AJ87" s="1533"/>
      <c r="AK87" s="1883"/>
      <c r="AL87" s="500"/>
      <c r="AM87" s="500"/>
      <c r="AN87" s="1219"/>
      <c r="AO87" s="1219"/>
      <c r="AP87" s="1219"/>
      <c r="AQ87" s="1230"/>
      <c r="AR87" s="1230"/>
    </row>
    <row customHeight="1" ht="14.625">
      <c r="E88" s="797">
        <v>15</v>
      </c>
      <c r="W88" s="171" t="s">
        <v>994</v>
      </c>
      <c r="AB88" s="1478" t="s">
        <v>706</v>
      </c>
      <c r="AC88" s="1479"/>
      <c r="AD88" s="383"/>
      <c r="AE88" s="383"/>
      <c r="AF88" s="384"/>
      <c r="AG88" s="384"/>
      <c r="AH88" s="384"/>
      <c r="AI88" s="384"/>
      <c r="AJ88" s="384"/>
      <c r="AK88" s="385"/>
    </row>
    <row customHeight="1" ht="11.25">
      <c r="AI89" s="500"/>
      <c r="AJ89" s="500"/>
      <c r="AL89" s="213"/>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3B088-B948-1615-64A8-158B304B1A16}"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G47" sqref="AG47"/>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500" width="6.1328125" customWidth="1"/>
    <col min="29" max="29" style="220" width="43.753906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9.140625" hidden="1"/>
    <col min="58" max="60" style="1219" width="9.140625" hidden="1"/>
    <col min="61" max="62" style="1230" width="9.140625" hidden="1"/>
  </cols>
  <sheetData>
    <row s="1582" customFormat="1" customHeight="1" ht="12" hidden="1">
      <c r="B1" s="927"/>
      <c r="E1" s="927"/>
      <c r="F1" s="819" t="s">
        <v>83</v>
      </c>
      <c r="G1" s="500"/>
      <c r="H1" s="500"/>
      <c r="I1" s="500"/>
      <c r="J1" s="500"/>
      <c r="K1" s="500"/>
      <c r="L1" s="500"/>
      <c r="M1" s="500"/>
      <c r="N1" s="500"/>
      <c r="O1" s="500"/>
      <c r="P1" s="500"/>
      <c r="Q1" s="928"/>
      <c r="R1" s="928"/>
      <c r="S1" s="500"/>
      <c r="T1" s="808" t="s">
        <v>86</v>
      </c>
      <c r="U1" s="808" t="s">
        <v>91</v>
      </c>
      <c r="V1" s="808" t="s">
        <v>87</v>
      </c>
      <c r="W1" s="808" t="s">
        <v>88</v>
      </c>
      <c r="X1" s="808" t="s">
        <v>89</v>
      </c>
      <c r="Y1" s="819" t="s">
        <v>372</v>
      </c>
      <c r="Z1" s="808" t="s">
        <v>93</v>
      </c>
      <c r="AA1" s="819" t="s">
        <v>90</v>
      </c>
      <c r="AB1" s="819" t="s">
        <v>92</v>
      </c>
      <c r="AC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219" t="s">
        <v>373</v>
      </c>
      <c r="BG1" s="1219" t="s">
        <v>374</v>
      </c>
      <c r="BH1" s="1219" t="s">
        <v>375</v>
      </c>
      <c r="BI1" s="1230" t="s">
        <v>378</v>
      </c>
      <c r="BJ1" s="1230" t="s">
        <v>379</v>
      </c>
    </row>
    <row s="927" customFormat="1" customHeight="1" ht="12" hidden="1">
      <c r="B2" s="929" t="s">
        <v>15</v>
      </c>
      <c r="G2" s="969"/>
      <c r="H2" s="969"/>
      <c r="I2" s="969"/>
      <c r="J2" s="969"/>
      <c r="K2" s="969"/>
      <c r="L2" s="969"/>
      <c r="M2" s="969"/>
      <c r="N2" s="969"/>
      <c r="O2" s="969"/>
      <c r="P2" s="969"/>
      <c r="Q2" s="969"/>
      <c r="R2" s="969"/>
      <c r="S2" s="969"/>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222"/>
      <c r="BG2" s="1222"/>
      <c r="BH2" s="1222"/>
      <c r="BI2" s="1231"/>
      <c r="BJ2" s="1231"/>
    </row>
    <row s="1582" customFormat="1" customHeight="1" ht="12" hidden="1">
      <c r="B3" s="927"/>
      <c r="E3" s="927"/>
      <c r="G3" s="500"/>
      <c r="H3" s="500"/>
      <c r="I3" s="500"/>
      <c r="J3" s="500"/>
      <c r="K3" s="500"/>
      <c r="L3" s="500"/>
      <c r="M3" s="500"/>
      <c r="N3" s="500"/>
      <c r="O3" s="500"/>
      <c r="P3" s="500"/>
      <c r="Q3" s="928"/>
      <c r="R3" s="928"/>
      <c r="S3" s="500"/>
      <c r="AI3" s="1582"/>
      <c r="AJ3" s="1582"/>
      <c r="AK3" s="1582"/>
      <c r="AL3" s="1582"/>
      <c r="AM3" s="1582"/>
      <c r="AN3" s="1582"/>
      <c r="AO3" s="1582"/>
      <c r="AP3" s="1582"/>
      <c r="AQ3" s="1582"/>
      <c r="AR3" s="1582"/>
      <c r="AS3" s="1582"/>
      <c r="AT3" s="1582"/>
      <c r="AU3" s="1582"/>
      <c r="AV3" s="1582"/>
      <c r="AW3" s="1582"/>
      <c r="AX3" s="1582"/>
      <c r="AY3" s="1582"/>
      <c r="AZ3" s="1582"/>
      <c r="BA3" s="1582"/>
      <c r="BB3" s="1582"/>
      <c r="BF3" s="1219"/>
      <c r="BG3" s="1219"/>
      <c r="BH3" s="1219"/>
      <c r="BI3" s="1230"/>
      <c r="BJ3" s="1230"/>
    </row>
    <row s="1582" customFormat="1" customHeight="1" ht="12" hidden="1">
      <c r="B4" s="927"/>
      <c r="E4" s="927"/>
      <c r="G4" s="500"/>
      <c r="H4" s="500"/>
      <c r="I4" s="500"/>
      <c r="J4" s="500"/>
      <c r="K4" s="500"/>
      <c r="L4" s="500"/>
      <c r="M4" s="500"/>
      <c r="N4" s="500"/>
      <c r="O4" s="500"/>
      <c r="P4" s="500"/>
      <c r="Q4" s="928"/>
      <c r="R4" s="928"/>
      <c r="S4" s="500"/>
      <c r="AI4" s="1582"/>
      <c r="AJ4" s="1582"/>
      <c r="AK4" s="1582"/>
      <c r="AL4" s="1582"/>
      <c r="AM4" s="1582"/>
      <c r="AN4" s="1582"/>
      <c r="AO4" s="1582"/>
      <c r="AP4" s="1582"/>
      <c r="AQ4" s="1582"/>
      <c r="AR4" s="1582"/>
      <c r="AS4" s="1582"/>
      <c r="AT4" s="1582"/>
      <c r="AU4" s="1582"/>
      <c r="AV4" s="1582"/>
      <c r="AW4" s="1582"/>
      <c r="AX4" s="1582"/>
      <c r="AY4" s="1582"/>
      <c r="AZ4" s="1582"/>
      <c r="BA4" s="1582"/>
      <c r="BB4" s="1582"/>
      <c r="BF4" s="1219"/>
      <c r="BG4" s="1219"/>
      <c r="BH4" s="1219"/>
      <c r="BI4" s="1230"/>
      <c r="BJ4" s="1230"/>
    </row>
    <row s="925" customFormat="1" customHeight="1" ht="12" hidden="1">
      <c r="A5" s="927"/>
      <c r="B5" s="927"/>
      <c r="C5" s="927"/>
      <c r="D5" s="927"/>
      <c r="E5" s="925" t="s">
        <v>16</v>
      </c>
      <c r="G5" s="970"/>
      <c r="H5" s="970"/>
      <c r="I5" s="970"/>
      <c r="J5" s="970"/>
      <c r="K5" s="970"/>
      <c r="L5" s="970"/>
      <c r="M5" s="970"/>
      <c r="N5" s="970"/>
      <c r="O5" s="970"/>
      <c r="P5" s="970"/>
      <c r="Q5" s="970"/>
      <c r="R5" s="970"/>
      <c r="S5" s="970"/>
      <c r="AA5" s="925">
        <v>3</v>
      </c>
      <c r="AB5" s="925">
        <v>6.13</v>
      </c>
      <c r="AC5" s="925">
        <v>43.75</v>
      </c>
      <c r="AD5" s="925">
        <v>12.13</v>
      </c>
      <c r="AE5" s="925">
        <v>12.63</v>
      </c>
      <c r="AF5" s="925">
        <v>12.63</v>
      </c>
      <c r="AG5" s="925">
        <v>12.63</v>
      </c>
      <c r="AH5" s="925">
        <v>12.63</v>
      </c>
      <c r="AI5" s="925">
        <v>12.63</v>
      </c>
      <c r="AJ5" s="925">
        <v>12.63</v>
      </c>
      <c r="AK5" s="925">
        <v>12.63</v>
      </c>
      <c r="AL5" s="925">
        <v>12.63</v>
      </c>
      <c r="AM5" s="925">
        <v>12.63</v>
      </c>
      <c r="AN5" s="925">
        <v>12.63</v>
      </c>
      <c r="AO5" s="925">
        <v>12.63</v>
      </c>
      <c r="AP5" s="925">
        <v>12.63</v>
      </c>
      <c r="AQ5" s="925">
        <v>12.63</v>
      </c>
      <c r="AR5" s="925">
        <v>12.63</v>
      </c>
      <c r="AS5" s="925">
        <v>12.63</v>
      </c>
      <c r="AT5" s="925">
        <v>12.63</v>
      </c>
      <c r="AU5" s="925">
        <v>12.63</v>
      </c>
      <c r="AV5" s="925">
        <v>12.63</v>
      </c>
      <c r="AW5" s="925">
        <v>12.63</v>
      </c>
      <c r="AX5" s="925">
        <v>12.63</v>
      </c>
      <c r="AY5" s="925">
        <v>12.63</v>
      </c>
      <c r="AZ5" s="925">
        <v>12.63</v>
      </c>
      <c r="BA5" s="925">
        <v>12.63</v>
      </c>
      <c r="BB5" s="925">
        <v>12.63</v>
      </c>
      <c r="BC5" s="925">
        <v>20.13</v>
      </c>
      <c r="BD5" s="925">
        <v>3</v>
      </c>
      <c r="BF5" s="1222"/>
      <c r="BG5" s="1222"/>
      <c r="BH5" s="1222"/>
      <c r="BI5" s="1231"/>
      <c r="BJ5" s="1231"/>
    </row>
    <row s="1582" customFormat="1" customHeight="1" ht="12" hidden="1">
      <c r="B6" s="927"/>
      <c r="E6" s="925"/>
      <c r="G6" s="500"/>
      <c r="H6" s="500"/>
      <c r="I6" s="500"/>
      <c r="J6" s="500"/>
      <c r="K6" s="500"/>
      <c r="L6" s="500"/>
      <c r="M6" s="500"/>
      <c r="N6" s="500"/>
      <c r="O6" s="500"/>
      <c r="P6" s="500"/>
      <c r="Q6" s="928"/>
      <c r="R6" s="928"/>
      <c r="S6" s="500"/>
      <c r="AE6" s="963">
        <f>god-2</f>
        <v>2024</v>
      </c>
      <c r="AF6" s="963">
        <f>god-2</f>
        <v>2024</v>
      </c>
      <c r="AG6" s="963">
        <f>god-2</f>
        <v>2024</v>
      </c>
      <c r="AH6" s="963">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219"/>
      <c r="BG6" s="1219"/>
      <c r="BH6" s="1219"/>
      <c r="BI6" s="1230"/>
      <c r="BJ6" s="1230"/>
    </row>
    <row s="500" customFormat="1" customHeight="1" ht="12" hidden="1">
      <c r="A7" s="963"/>
      <c r="B7" s="927"/>
      <c r="C7" s="963"/>
      <c r="D7" s="963"/>
      <c r="E7" s="925"/>
      <c r="Q7" s="928"/>
      <c r="R7" s="928"/>
      <c r="AE7" s="500" cm="1" t="str">
        <f t="array" ref="AE7:AE7">AE25</f>
        <v>Принято органом регулирования</v>
      </c>
      <c r="AF7" s="500" cm="1" t="str">
        <f t="array" ref="AF7:AF7">AF25</f>
        <v>Факт по данным организации</v>
      </c>
      <c r="AG7" s="500" cm="1" t="str">
        <f t="array" ref="AG7:AG7">AG25</f>
        <v>Факт, принятый органом регулирования</v>
      </c>
      <c r="AH7" s="500" cm="1" t="str">
        <f t="array" ref="AH7:AH7">AH25</f>
        <v>Принято органом регулирования</v>
      </c>
      <c r="AI7" s="500" cm="1" t="str">
        <f t="array" ref="AI7:AI7">AI25</f>
        <v>Предложение организации</v>
      </c>
      <c r="AJ7" s="500" cm="1" t="str">
        <f t="array" ref="AJ7:AJ7">AJ25</f>
        <v>Предложение организации</v>
      </c>
      <c r="AK7" s="500" cm="1" t="str">
        <f t="array" ref="AK7:AK7">AK25</f>
        <v>Предложение организации</v>
      </c>
      <c r="AL7" s="500" cm="1" t="str">
        <f t="array" ref="AL7:AL7">AL25</f>
        <v>Предложение организации</v>
      </c>
      <c r="AM7" s="500" cm="1" t="str">
        <f t="array" ref="AM7:AM7">AM25</f>
        <v>Предложение организации</v>
      </c>
      <c r="AN7" s="500" cm="1" t="str">
        <f t="array" ref="AN7:AN7">AN25</f>
        <v>Предложение организации</v>
      </c>
      <c r="AO7" s="500" cm="1" t="str">
        <f t="array" ref="AO7:AO7">AO25</f>
        <v>Предложение организации</v>
      </c>
      <c r="AP7" s="500" cm="1" t="str">
        <f t="array" ref="AP7:AP7">AP25</f>
        <v>Предложение организации</v>
      </c>
      <c r="AQ7" s="500" cm="1" t="str">
        <f t="array" ref="AQ7:AQ7">AQ25</f>
        <v>Предложение организации</v>
      </c>
      <c r="AR7" s="500" cm="1" t="str">
        <f t="array" ref="AR7:AR7">AR25</f>
        <v>Предложение организации</v>
      </c>
      <c r="AS7" s="500" cm="1" t="str">
        <f t="array" ref="AS7:AS7">AS25</f>
        <v>Принято органом регулирования</v>
      </c>
      <c r="AT7" s="500" cm="1" t="str">
        <f t="array" ref="AT7:AT7">AT25</f>
        <v>Принято органом регулирования</v>
      </c>
      <c r="AU7" s="500" cm="1" t="str">
        <f t="array" ref="AU7:AU7">AU25</f>
        <v>Принято органом регулирования</v>
      </c>
      <c r="AV7" s="500" cm="1" t="str">
        <f t="array" ref="AV7:AV7">AV25</f>
        <v>Принято органом регулирования</v>
      </c>
      <c r="AW7" s="500" cm="1" t="str">
        <f t="array" ref="AW7:AW7">AW25</f>
        <v>Принято органом регулирования</v>
      </c>
      <c r="AX7" s="500" cm="1" t="str">
        <f t="array" ref="AX7:AX7">AX25</f>
        <v>Принято органом регулирования</v>
      </c>
      <c r="AY7" s="500" cm="1" t="str">
        <f t="array" ref="AY7:AY7">AY25</f>
        <v>Принято органом регулирования</v>
      </c>
      <c r="AZ7" s="500" cm="1" t="str">
        <f t="array" ref="AZ7:AZ7">AZ25</f>
        <v>Принято органом регулирования</v>
      </c>
      <c r="BA7" s="500" cm="1" t="str">
        <f t="array" ref="BA7:BA7">BA25</f>
        <v>Принято органом регулирования</v>
      </c>
      <c r="BB7" s="500" cm="1" t="str">
        <f t="array" ref="BB7:BB7">BB25</f>
        <v>Принято органом регулирования</v>
      </c>
      <c r="BF7" s="1219"/>
      <c r="BG7" s="1219"/>
      <c r="BH7" s="1219"/>
      <c r="BI7" s="1230"/>
      <c r="BJ7" s="1230"/>
    </row>
    <row s="500" customFormat="1" customHeight="1" ht="12" hidden="1">
      <c r="A8" s="963"/>
      <c r="B8" s="927"/>
      <c r="C8" s="963"/>
      <c r="D8" s="963"/>
      <c r="E8" s="925"/>
      <c r="Q8" s="928"/>
      <c r="R8" s="928"/>
      <c r="AI8" s="500"/>
      <c r="AJ8" s="500"/>
      <c r="AK8" s="500"/>
      <c r="AL8" s="500"/>
      <c r="AM8" s="500"/>
      <c r="AN8" s="500"/>
      <c r="AO8" s="500"/>
      <c r="AP8" s="500"/>
      <c r="AQ8" s="500"/>
      <c r="AR8" s="500"/>
      <c r="AS8" s="500"/>
      <c r="AT8" s="500"/>
      <c r="AU8" s="500"/>
      <c r="AV8" s="500"/>
      <c r="AW8" s="500"/>
      <c r="AX8" s="500"/>
      <c r="AY8" s="500"/>
      <c r="AZ8" s="500"/>
      <c r="BA8" s="500"/>
      <c r="BB8" s="500"/>
      <c r="BF8" s="1219"/>
      <c r="BG8" s="1219"/>
      <c r="BH8" s="1219"/>
      <c r="BI8" s="1230"/>
      <c r="BJ8" s="1230"/>
    </row>
    <row s="1217" customFormat="1" customHeight="1" ht="12" hidden="1">
      <c r="A9" s="1215" t="s">
        <v>437</v>
      </c>
      <c r="B9" s="1216"/>
      <c r="E9" s="1216"/>
      <c r="Q9" s="1218"/>
      <c r="R9" s="121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19"/>
      <c r="BG9" s="1219"/>
      <c r="BH9" s="1219"/>
      <c r="BI9" s="1230"/>
      <c r="BJ9" s="1230"/>
    </row>
    <row s="1217" customFormat="1" customHeight="1" ht="12" hidden="1">
      <c r="A10" s="1215" t="s">
        <v>438</v>
      </c>
      <c r="B10" s="1216"/>
      <c r="E10" s="1216"/>
      <c r="Q10" s="1218"/>
      <c r="R10" s="121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19"/>
      <c r="BG10" s="1219"/>
      <c r="BH10" s="1219"/>
      <c r="BI10" s="1230"/>
      <c r="BJ10" s="1230"/>
    </row>
    <row s="1217" customFormat="1" customHeight="1" ht="12" hidden="1">
      <c r="A11" s="1215" t="s">
        <v>439</v>
      </c>
      <c r="B11" s="1216"/>
      <c r="E11" s="1216"/>
      <c r="G11" s="1220"/>
      <c r="H11" s="1220"/>
      <c r="I11" s="1220"/>
      <c r="J11" s="1220"/>
      <c r="K11" s="1220"/>
      <c r="L11" s="1220"/>
      <c r="M11" s="1220"/>
      <c r="N11" s="1220"/>
      <c r="O11" s="1220"/>
      <c r="P11" s="1220"/>
      <c r="Q11" s="1221"/>
      <c r="R11" s="1221"/>
      <c r="S11" s="122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19"/>
      <c r="BG11" s="1219"/>
      <c r="BH11" s="1219"/>
      <c r="BI11" s="1230"/>
      <c r="BJ11" s="1230"/>
    </row>
    <row s="1217" customFormat="1" customHeight="1" ht="12" hidden="1">
      <c r="A12" s="1215" t="s">
        <v>384</v>
      </c>
      <c r="B12" s="1216"/>
      <c r="E12" s="1216"/>
      <c r="G12" s="1220"/>
      <c r="H12" s="1220"/>
      <c r="I12" s="1220"/>
      <c r="J12" s="1220"/>
      <c r="K12" s="1220"/>
      <c r="L12" s="1220"/>
      <c r="M12" s="1220"/>
      <c r="N12" s="1220"/>
      <c r="O12" s="1220"/>
      <c r="P12" s="1220"/>
      <c r="Q12" s="1221"/>
      <c r="R12" s="1221"/>
      <c r="S12" s="1220"/>
      <c r="AC12" s="1217" t="s">
        <v>375</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19"/>
      <c r="BG12" s="1219"/>
      <c r="BH12" s="1219"/>
      <c r="BI12" s="1230"/>
      <c r="BJ12" s="1230"/>
    </row>
    <row s="1582" customFormat="1" customHeight="1" ht="12" hidden="1">
      <c r="B13" s="927"/>
      <c r="E13" s="925"/>
      <c r="G13" s="500"/>
      <c r="H13" s="500"/>
      <c r="I13" s="500"/>
      <c r="J13" s="500"/>
      <c r="K13" s="500"/>
      <c r="L13" s="500"/>
      <c r="M13" s="500"/>
      <c r="N13" s="500"/>
      <c r="O13" s="500"/>
      <c r="P13" s="500"/>
      <c r="Q13" s="928"/>
      <c r="R13" s="928"/>
      <c r="S13" s="500"/>
      <c r="AI13" s="175"/>
      <c r="AJ13" s="175"/>
      <c r="AK13" s="175"/>
      <c r="AL13" s="175"/>
      <c r="AM13" s="175"/>
      <c r="AN13" s="175"/>
      <c r="AO13" s="175"/>
      <c r="AP13" s="175"/>
      <c r="AQ13" s="175"/>
      <c r="AR13" s="175"/>
      <c r="AS13" s="175"/>
      <c r="AT13" s="175"/>
      <c r="AU13" s="175"/>
      <c r="AV13" s="175"/>
      <c r="AW13" s="175"/>
      <c r="AX13" s="175"/>
      <c r="AY13" s="175"/>
      <c r="AZ13" s="175"/>
      <c r="BA13" s="175"/>
      <c r="BB13" s="175"/>
      <c r="BF13" s="1219"/>
      <c r="BG13" s="1219"/>
      <c r="BH13" s="1219"/>
      <c r="BI13" s="1230"/>
      <c r="BJ13" s="1230"/>
    </row>
    <row s="1582" customFormat="1" customHeight="1" ht="12" hidden="1">
      <c r="B14" s="927"/>
      <c r="E14" s="925"/>
      <c r="G14" s="500"/>
      <c r="H14" s="500"/>
      <c r="I14" s="500"/>
      <c r="J14" s="500"/>
      <c r="K14" s="500"/>
      <c r="L14" s="500"/>
      <c r="M14" s="500"/>
      <c r="N14" s="500"/>
      <c r="O14" s="500"/>
      <c r="P14" s="500"/>
      <c r="Q14" s="928"/>
      <c r="R14" s="928"/>
      <c r="S14" s="500"/>
      <c r="AI14" s="175"/>
      <c r="AJ14" s="175"/>
      <c r="AK14" s="175"/>
      <c r="AL14" s="175"/>
      <c r="AM14" s="175"/>
      <c r="AN14" s="175"/>
      <c r="AO14" s="175"/>
      <c r="AP14" s="175"/>
      <c r="AQ14" s="175"/>
      <c r="AR14" s="175"/>
      <c r="AS14" s="175"/>
      <c r="AT14" s="175"/>
      <c r="AU14" s="175"/>
      <c r="AV14" s="175"/>
      <c r="AW14" s="175"/>
      <c r="AX14" s="175"/>
      <c r="AY14" s="175"/>
      <c r="AZ14" s="175"/>
      <c r="BA14" s="175"/>
      <c r="BB14" s="175"/>
      <c r="BF14" s="1219"/>
      <c r="BG14" s="1219"/>
      <c r="BH14" s="1219"/>
      <c r="BI14" s="1230"/>
      <c r="BJ14" s="1230"/>
    </row>
    <row s="1582" customFormat="1" customHeight="1" ht="12" hidden="1">
      <c r="B15" s="927"/>
      <c r="E15" s="925"/>
      <c r="G15" s="500"/>
      <c r="H15" s="500"/>
      <c r="I15" s="500"/>
      <c r="J15" s="500"/>
      <c r="K15" s="500"/>
      <c r="L15" s="500"/>
      <c r="M15" s="500"/>
      <c r="N15" s="500"/>
      <c r="O15" s="500"/>
      <c r="P15" s="500"/>
      <c r="Q15" s="928"/>
      <c r="R15" s="928"/>
      <c r="S15" s="500"/>
      <c r="AI15" s="175"/>
      <c r="AJ15" s="175"/>
      <c r="AK15" s="175"/>
      <c r="AL15" s="175"/>
      <c r="AM15" s="175"/>
      <c r="AN15" s="175"/>
      <c r="AO15" s="175"/>
      <c r="AP15" s="175"/>
      <c r="AQ15" s="175"/>
      <c r="AR15" s="175"/>
      <c r="AS15" s="175"/>
      <c r="AT15" s="175"/>
      <c r="AU15" s="175"/>
      <c r="AV15" s="175"/>
      <c r="AW15" s="175"/>
      <c r="AX15" s="175"/>
      <c r="AY15" s="175"/>
      <c r="AZ15" s="175"/>
      <c r="BA15" s="175"/>
      <c r="BB15" s="175"/>
      <c r="BF15" s="1219"/>
      <c r="BG15" s="1219"/>
      <c r="BH15" s="1219"/>
      <c r="BI15" s="1230"/>
      <c r="BJ15" s="1230"/>
    </row>
    <row s="1582" customFormat="1" customHeight="1" ht="12" hidden="1">
      <c r="B16" s="927"/>
      <c r="E16" s="925"/>
      <c r="G16" s="500"/>
      <c r="H16" s="500"/>
      <c r="I16" s="500"/>
      <c r="J16" s="500"/>
      <c r="K16" s="500"/>
      <c r="L16" s="500"/>
      <c r="M16" s="500"/>
      <c r="N16" s="500"/>
      <c r="O16" s="500"/>
      <c r="P16" s="500"/>
      <c r="Q16" s="928"/>
      <c r="R16" s="928"/>
      <c r="S16" s="500"/>
      <c r="AI16" s="175"/>
      <c r="AJ16" s="175"/>
      <c r="AK16" s="175"/>
      <c r="AL16" s="175"/>
      <c r="AM16" s="175"/>
      <c r="AN16" s="175"/>
      <c r="AO16" s="175"/>
      <c r="AP16" s="175"/>
      <c r="AQ16" s="175"/>
      <c r="AR16" s="175"/>
      <c r="AS16" s="175"/>
      <c r="AT16" s="175"/>
      <c r="AU16" s="175"/>
      <c r="AV16" s="175"/>
      <c r="AW16" s="175"/>
      <c r="AX16" s="175"/>
      <c r="AY16" s="175"/>
      <c r="AZ16" s="175"/>
      <c r="BA16" s="175"/>
      <c r="BB16" s="175"/>
      <c r="BF16" s="1219"/>
      <c r="BG16" s="1219"/>
      <c r="BH16" s="1219"/>
      <c r="BI16" s="1230"/>
      <c r="BJ16" s="1230"/>
    </row>
    <row s="1582" customFormat="1" customHeight="1" ht="12" hidden="1">
      <c r="B17" s="927"/>
      <c r="E17" s="925"/>
      <c r="G17" s="500"/>
      <c r="H17" s="500"/>
      <c r="I17" s="500"/>
      <c r="J17" s="500"/>
      <c r="K17" s="500"/>
      <c r="L17" s="500"/>
      <c r="M17" s="500"/>
      <c r="N17" s="500"/>
      <c r="O17" s="500"/>
      <c r="P17" s="500"/>
      <c r="Q17" s="928"/>
      <c r="R17" s="928"/>
      <c r="S17" s="500"/>
      <c r="AI17" s="1582"/>
      <c r="AJ17" s="1582"/>
      <c r="AK17" s="1582"/>
      <c r="AL17" s="1582"/>
      <c r="AM17" s="1582"/>
      <c r="AN17" s="1582"/>
      <c r="AO17" s="1582"/>
      <c r="AP17" s="1582"/>
      <c r="AQ17" s="1582"/>
      <c r="AR17" s="1582"/>
      <c r="AS17" s="1582"/>
      <c r="AT17" s="1582"/>
      <c r="AU17" s="1582"/>
      <c r="AV17" s="1582"/>
      <c r="AW17" s="1582"/>
      <c r="AX17" s="175"/>
      <c r="AY17" s="175"/>
      <c r="AZ17" s="175"/>
      <c r="BA17" s="175"/>
      <c r="BB17" s="175"/>
      <c r="BF17" s="1219"/>
      <c r="BG17" s="1219"/>
      <c r="BH17" s="1219"/>
      <c r="BI17" s="1230"/>
      <c r="BJ17" s="1230"/>
    </row>
    <row s="1582" customFormat="1" customHeight="1" ht="12" hidden="1">
      <c r="A18" s="963" t="s">
        <v>495</v>
      </c>
      <c r="B18" s="927"/>
      <c r="E18" s="925"/>
      <c r="G18" s="500"/>
      <c r="H18" s="500"/>
      <c r="I18" s="500"/>
      <c r="J18" s="500"/>
      <c r="K18" s="500"/>
      <c r="L18" s="500"/>
      <c r="M18" s="500"/>
      <c r="N18" s="500"/>
      <c r="O18" s="500"/>
      <c r="P18" s="500"/>
      <c r="Q18" s="928"/>
      <c r="R18" s="928"/>
      <c r="S18" s="500"/>
      <c r="AC18" s="963" t="s">
        <v>440</v>
      </c>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219"/>
      <c r="BG18" s="1219"/>
      <c r="BH18" s="1219"/>
      <c r="BI18" s="1230"/>
      <c r="BJ18" s="1230"/>
    </row>
    <row s="1582" customFormat="1" customHeight="1" ht="12" hidden="1">
      <c r="B19" s="927"/>
      <c r="E19" s="925"/>
      <c r="G19" s="500"/>
      <c r="H19" s="500"/>
      <c r="I19" s="500"/>
      <c r="J19" s="500"/>
      <c r="K19" s="500"/>
      <c r="L19" s="500"/>
      <c r="M19" s="500"/>
      <c r="N19" s="500"/>
      <c r="O19" s="500"/>
      <c r="P19" s="500"/>
      <c r="Q19" s="928"/>
      <c r="R19" s="928"/>
      <c r="S19" s="500"/>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219"/>
      <c r="BG19" s="1219"/>
      <c r="BH19" s="1219"/>
      <c r="BI19" s="1230"/>
      <c r="BJ19" s="1230"/>
    </row>
    <row s="1582" customFormat="1" customHeight="1" ht="12" hidden="1">
      <c r="B20" s="927"/>
      <c r="E20" s="925"/>
      <c r="G20" s="500"/>
      <c r="H20" s="500"/>
      <c r="I20" s="500"/>
      <c r="J20" s="500"/>
      <c r="K20" s="500"/>
      <c r="L20" s="500"/>
      <c r="M20" s="500"/>
      <c r="N20" s="500"/>
      <c r="O20" s="500"/>
      <c r="P20" s="500"/>
      <c r="Q20" s="928"/>
      <c r="R20" s="928"/>
      <c r="S20" s="500"/>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219"/>
      <c r="BG20" s="1219"/>
      <c r="BH20" s="1219"/>
      <c r="BI20" s="1230"/>
      <c r="BJ20" s="1230"/>
    </row>
    <row customHeight="1" ht="14.625">
      <c r="E21" s="925">
        <v>15</v>
      </c>
      <c r="AA21" s="820"/>
      <c r="AC21" s="942" cm="1" t="str">
        <f t="array" ref="AC21:AC21">tpl_title</f>
        <v>Кемеровская область / 2026 / ООО "ВЕЛЕС" (ИНН:4212036655, КПП:421201001) / ДПР: 2016-2025</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925">
        <v>20.1</v>
      </c>
      <c r="AB22" s="501" t="s">
        <v>51</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1"/>
    </row>
    <row customHeight="1" ht="11.115">
      <c r="E23" s="925">
        <v>11.4</v>
      </c>
      <c r="AI23" s="220"/>
      <c r="AJ23" s="220"/>
      <c r="AK23" s="220"/>
      <c r="AL23" s="220"/>
      <c r="AM23" s="220"/>
      <c r="AN23" s="220"/>
      <c r="AO23" s="220"/>
      <c r="AP23" s="220"/>
      <c r="AQ23" s="220"/>
      <c r="AR23" s="220"/>
      <c r="AS23" s="220"/>
      <c r="AT23" s="220"/>
      <c r="AU23" s="220"/>
      <c r="AV23" s="220"/>
      <c r="AW23" s="220"/>
      <c r="AX23" s="220"/>
      <c r="AY23" s="220"/>
      <c r="AZ23" s="220"/>
      <c r="BA23" s="220"/>
      <c r="BB23" s="220"/>
    </row>
    <row s="220" customFormat="1" customHeight="1" ht="14.625">
      <c r="A24" s="175"/>
      <c r="B24" s="788"/>
      <c r="C24" s="175"/>
      <c r="D24" s="175"/>
      <c r="E24" s="797">
        <v>15</v>
      </c>
      <c r="F24" s="175"/>
      <c r="G24" s="213"/>
      <c r="H24" s="213"/>
      <c r="I24" s="213"/>
      <c r="J24" s="213"/>
      <c r="K24" s="213"/>
      <c r="L24" s="213"/>
      <c r="M24" s="213"/>
      <c r="N24" s="213"/>
      <c r="O24" s="213"/>
      <c r="P24" s="213"/>
      <c r="Q24" s="739"/>
      <c r="R24" s="739"/>
      <c r="S24" s="213"/>
      <c r="T24" s="175"/>
      <c r="U24" s="175"/>
      <c r="V24" s="175"/>
      <c r="W24" s="175"/>
      <c r="X24" s="175"/>
      <c r="Y24" s="175"/>
      <c r="Z24" s="175"/>
      <c r="AB24" s="1530" t="s">
        <v>386</v>
      </c>
      <c r="AC24" s="1530" t="s">
        <v>440</v>
      </c>
      <c r="AD24" s="1530" t="s">
        <v>1150</v>
      </c>
      <c r="AE24" s="412" t="str">
        <f>god-2&amp;" год"</f>
        <v>2024 год</v>
      </c>
      <c r="AF24" s="1361" t="str">
        <f>god-2&amp;" год"</f>
        <v>2024 год</v>
      </c>
      <c r="AG24" s="412" t="str">
        <f>god-2&amp;" год"</f>
        <v>2024 год</v>
      </c>
      <c r="AH24" s="174" t="str">
        <f>god-1&amp;" год"</f>
        <v>2025 год</v>
      </c>
      <c r="AI24" s="1356" t="str">
        <f>god&amp;" год"</f>
        <v>2026 год</v>
      </c>
      <c r="AJ24" s="1356" t="str">
        <f>god+1&amp;" год"</f>
        <v>2027 год</v>
      </c>
      <c r="AK24" s="1356" t="str">
        <f>god+2&amp;" год"</f>
        <v>2028 год</v>
      </c>
      <c r="AL24" s="1356" t="str">
        <f>god+3&amp;" год"</f>
        <v>2029 год</v>
      </c>
      <c r="AM24" s="1356" t="str">
        <f>god+4&amp;" год"</f>
        <v>2030 год</v>
      </c>
      <c r="AN24" s="1356" t="str">
        <f>god+5&amp;" год"</f>
        <v>2031 год</v>
      </c>
      <c r="AO24" s="1356" t="str">
        <f>god+6&amp;" год"</f>
        <v>2032 год</v>
      </c>
      <c r="AP24" s="1356" t="str">
        <f>god+7&amp;" год"</f>
        <v>2033 год</v>
      </c>
      <c r="AQ24" s="1356" t="str">
        <f>god+8&amp;" год"</f>
        <v>2034 год</v>
      </c>
      <c r="AR24" s="1356"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542" t="s">
        <v>595</v>
      </c>
      <c r="BF24" s="1184"/>
      <c r="BG24" s="1184"/>
      <c r="BH24" s="1184"/>
      <c r="BI24" s="1187"/>
      <c r="BJ24" s="1187"/>
    </row>
    <row s="220" customFormat="1" customHeight="1" ht="48.847500000000004">
      <c r="A25" s="175"/>
      <c r="B25" s="788"/>
      <c r="C25" s="175"/>
      <c r="D25" s="175"/>
      <c r="E25" s="797">
        <v>50.1</v>
      </c>
      <c r="F25" s="175"/>
      <c r="G25" s="213"/>
      <c r="H25" s="213"/>
      <c r="I25" s="213"/>
      <c r="J25" s="213"/>
      <c r="K25" s="213"/>
      <c r="L25" s="213"/>
      <c r="M25" s="213"/>
      <c r="N25" s="213"/>
      <c r="O25" s="213"/>
      <c r="P25" s="213"/>
      <c r="Q25" s="739"/>
      <c r="R25" s="739"/>
      <c r="S25" s="213"/>
      <c r="T25" s="175"/>
      <c r="U25" s="175"/>
      <c r="V25" s="175"/>
      <c r="W25" s="175"/>
      <c r="X25" s="175"/>
      <c r="Y25" s="175"/>
      <c r="Z25" s="175"/>
      <c r="AB25" s="1530"/>
      <c r="AC25" s="1530"/>
      <c r="AD25" s="1530"/>
      <c r="AE25" s="170" t="s">
        <v>402</v>
      </c>
      <c r="AF25" s="1356" t="s">
        <v>596</v>
      </c>
      <c r="AG25" s="170" t="s">
        <v>597</v>
      </c>
      <c r="AH25" s="170" t="s">
        <v>402</v>
      </c>
      <c r="AI25" s="1357" t="s">
        <v>403</v>
      </c>
      <c r="AJ25" s="1357" t="s">
        <v>403</v>
      </c>
      <c r="AK25" s="1357" t="s">
        <v>403</v>
      </c>
      <c r="AL25" s="1357" t="s">
        <v>403</v>
      </c>
      <c r="AM25" s="1357" t="s">
        <v>403</v>
      </c>
      <c r="AN25" s="1357" t="s">
        <v>403</v>
      </c>
      <c r="AO25" s="1357" t="s">
        <v>403</v>
      </c>
      <c r="AP25" s="1357" t="s">
        <v>403</v>
      </c>
      <c r="AQ25" s="1357" t="s">
        <v>403</v>
      </c>
      <c r="AR25" s="1357" t="s">
        <v>403</v>
      </c>
      <c r="AS25" s="413" t="s">
        <v>402</v>
      </c>
      <c r="AT25" s="413" t="s">
        <v>402</v>
      </c>
      <c r="AU25" s="413" t="s">
        <v>402</v>
      </c>
      <c r="AV25" s="413" t="s">
        <v>402</v>
      </c>
      <c r="AW25" s="413" t="s">
        <v>402</v>
      </c>
      <c r="AX25" s="413" t="s">
        <v>402</v>
      </c>
      <c r="AY25" s="413" t="s">
        <v>402</v>
      </c>
      <c r="AZ25" s="413" t="s">
        <v>402</v>
      </c>
      <c r="BA25" s="413" t="s">
        <v>402</v>
      </c>
      <c r="BB25" s="413" t="s">
        <v>402</v>
      </c>
      <c r="BC25" s="1542"/>
      <c r="BF25" s="1184"/>
      <c r="BG25" s="1184"/>
      <c r="BH25" s="1184"/>
      <c r="BI25" s="1187"/>
      <c r="BJ25" s="1187"/>
    </row>
    <row s="220" customFormat="1" customHeight="1" ht="50.25" hidden="1">
      <c r="A26" s="175"/>
      <c r="B26" s="788"/>
      <c r="C26" s="175"/>
      <c r="D26" s="175"/>
      <c r="E26" s="797">
        <v>0</v>
      </c>
      <c r="F26" s="175"/>
      <c r="G26" s="213"/>
      <c r="H26" s="213"/>
      <c r="I26" s="213"/>
      <c r="J26" s="213"/>
      <c r="K26" s="213"/>
      <c r="L26" s="213"/>
      <c r="M26" s="213"/>
      <c r="N26" s="213"/>
      <c r="O26" s="213"/>
      <c r="P26" s="213"/>
      <c r="Q26" s="739"/>
      <c r="R26" s="739"/>
      <c r="S26" s="213"/>
      <c r="T26" s="175"/>
      <c r="U26" s="175"/>
      <c r="V26" s="175"/>
      <c r="W26" s="175"/>
      <c r="X26" s="175"/>
      <c r="Y26" s="175"/>
      <c r="Z26" s="175"/>
      <c r="AB26" s="511"/>
      <c r="AC26" s="512"/>
      <c r="AD26" s="512"/>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513"/>
      <c r="BF26" s="1184"/>
      <c r="BG26" s="1184"/>
      <c r="BH26" s="1184"/>
      <c r="BI26" s="1187"/>
      <c r="BJ26" s="1187"/>
    </row>
    <row s="220" customFormat="1" customHeight="1" ht="11.115" hidden="1">
      <c r="E27" s="797">
        <v>11.4</v>
      </c>
      <c r="F27" s="922" cm="1" t="str">
        <f t="array" ref="F27:F27">X27</f>
        <v>0</v>
      </c>
      <c r="T27" s="819">
        <f>X27&gt;0</f>
        <v>0</v>
      </c>
      <c r="V27" s="175" t="s">
        <v>310</v>
      </c>
      <c r="X27" s="175">
        <v>0</v>
      </c>
      <c r="AB27" s="290" cm="1" t="str">
        <f t="array" ref="AB27:AB27">INDEX('Общие сведения'!$AG$169:$AG$202,MATCH($F27,'Общие сведения'!$Z$169:$Z$202,0))</f>
        <v>Тариф 0 (Теплоснабжение) - </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F27" s="1184"/>
      <c r="BG27" s="1184"/>
      <c r="BH27" s="1184"/>
      <c r="BI27" s="1187"/>
      <c r="BJ27" s="1187"/>
    </row>
    <row s="220" customFormat="1" customHeight="1" ht="29.25" hidden="1">
      <c r="E28" s="797">
        <v>30</v>
      </c>
      <c r="F28" s="922" cm="1" t="str">
        <f t="array" ref="F28:F28">OFFSET(G28,-1,-1)</f>
        <v>0</v>
      </c>
      <c r="T28" s="808" cm="1" t="str">
        <f t="array" ref="T28:T28">T27</f>
        <v>false</v>
      </c>
      <c r="AB28" s="305">
        <v>1</v>
      </c>
      <c r="AC28" s="287" t="s">
        <v>1245</v>
      </c>
      <c r="AD28" s="280" t="s">
        <v>810</v>
      </c>
      <c r="AE28" s="298">
        <f>SUM(AE29:AE37)</f>
        <v>0</v>
      </c>
      <c r="AF28" s="298">
        <f>SUM(AF29:AF37)</f>
        <v>0</v>
      </c>
      <c r="AG28" s="298">
        <f>SUM(AG29:AG37)</f>
        <v>0</v>
      </c>
      <c r="AH28" s="298">
        <f>SUM(AH29:AH37)</f>
        <v>0</v>
      </c>
      <c r="AI28" s="298">
        <f>SUM(AI29:AI37)</f>
        <v>0</v>
      </c>
      <c r="AJ28" s="298">
        <f>SUM(AJ29:AJ37)</f>
        <v>0</v>
      </c>
      <c r="AK28" s="298">
        <f>SUM(AK29:AK37)</f>
        <v>0</v>
      </c>
      <c r="AL28" s="298">
        <f>SUM(AL29:AL37)</f>
        <v>0</v>
      </c>
      <c r="AM28" s="298">
        <f>SUM(AM29:AM37)</f>
        <v>0</v>
      </c>
      <c r="AN28" s="298">
        <f>SUM(AN29:AN37)</f>
        <v>0</v>
      </c>
      <c r="AO28" s="298">
        <f>SUM(AO29:AO37)</f>
        <v>0</v>
      </c>
      <c r="AP28" s="298">
        <f>SUM(AP29:AP37)</f>
        <v>0</v>
      </c>
      <c r="AQ28" s="298">
        <f>SUM(AQ29:AQ37)</f>
        <v>0</v>
      </c>
      <c r="AR28" s="298">
        <f>SUM(AR29:AR37)</f>
        <v>0</v>
      </c>
      <c r="AS28" s="298">
        <f>SUM(AS29:AS37)</f>
        <v>0</v>
      </c>
      <c r="AT28" s="298">
        <f>SUM(AT29:AT37)</f>
        <v>0</v>
      </c>
      <c r="AU28" s="298">
        <f>SUM(AU29:AU37)</f>
        <v>0</v>
      </c>
      <c r="AV28" s="298">
        <f>SUM(AV29:AV37)</f>
        <v>0</v>
      </c>
      <c r="AW28" s="298">
        <f>SUM(AW29:AW37)</f>
        <v>0</v>
      </c>
      <c r="AX28" s="298">
        <f>SUM(AX29:AX37)</f>
        <v>0</v>
      </c>
      <c r="AY28" s="298">
        <f>SUM(AY29:AY37)</f>
        <v>0</v>
      </c>
      <c r="AZ28" s="298">
        <f>SUM(AZ29:AZ37)</f>
        <v>0</v>
      </c>
      <c r="BA28" s="298">
        <f>SUM(BA29:BA37)</f>
        <v>0</v>
      </c>
      <c r="BB28" s="298">
        <f>SUM(BB29:BB37)</f>
        <v>0</v>
      </c>
      <c r="BC28" s="73"/>
      <c r="BF28" s="1184" t="s">
        <v>1246</v>
      </c>
      <c r="BG28" s="1184"/>
      <c r="BH28" s="1184"/>
      <c r="BI28" s="1187"/>
      <c r="BJ28" s="1187"/>
    </row>
    <row s="220" customFormat="1" customHeight="1" ht="58.5" hidden="1">
      <c r="E29" s="797">
        <v>60</v>
      </c>
      <c r="F29" s="922" cm="1" t="str">
        <f t="array" ref="F29:F29">OFFSET(G29,-1,-1)</f>
        <v>0</v>
      </c>
      <c r="G29" s="739" t="s">
        <v>1247</v>
      </c>
      <c r="T29" s="808" cm="1" t="str">
        <f t="array" ref="T29:T29">T28</f>
        <v>false</v>
      </c>
      <c r="AB29" s="288" t="s">
        <v>449</v>
      </c>
      <c r="AC29" s="504" t="s">
        <v>1248</v>
      </c>
      <c r="AD29" s="154" t="s">
        <v>810</v>
      </c>
      <c r="AE29" s="74"/>
      <c r="AF29" s="107"/>
      <c r="AG29" s="107"/>
      <c r="AH29" s="107"/>
      <c r="AI29" s="1907"/>
      <c r="AJ29" s="107"/>
      <c r="AK29" s="107"/>
      <c r="AL29" s="107"/>
      <c r="AM29" s="107"/>
      <c r="AN29" s="107"/>
      <c r="AO29" s="107"/>
      <c r="AP29" s="107"/>
      <c r="AQ29" s="107"/>
      <c r="AR29" s="107"/>
      <c r="AS29" s="1907"/>
      <c r="AT29" s="107"/>
      <c r="AU29" s="107"/>
      <c r="AV29" s="107"/>
      <c r="AW29" s="107"/>
      <c r="AX29" s="107"/>
      <c r="AY29" s="107"/>
      <c r="AZ29" s="107"/>
      <c r="BA29" s="107"/>
      <c r="BB29" s="107"/>
      <c r="BC29" s="73"/>
      <c r="BF29" s="1184" t="s">
        <v>1249</v>
      </c>
      <c r="BG29" s="1184"/>
      <c r="BH29" s="1184"/>
      <c r="BI29" s="1187"/>
      <c r="BJ29" s="1187"/>
    </row>
    <row s="220" customFormat="1" customHeight="1" ht="16.672500000000003" hidden="1">
      <c r="E30" s="797">
        <v>17.1</v>
      </c>
      <c r="F30" s="922" cm="1" t="str">
        <f t="array" ref="F30:F30">OFFSET(G30,-1,-1)</f>
        <v>0</v>
      </c>
      <c r="G30" s="739" t="s">
        <v>1250</v>
      </c>
      <c r="H30" s="213" t="s">
        <v>1251</v>
      </c>
      <c r="T30" s="808" cm="1" t="str">
        <f t="array" ref="T30:T30">T29</f>
        <v>false</v>
      </c>
      <c r="AB30" s="288" t="s">
        <v>935</v>
      </c>
      <c r="AC30" s="504" t="s">
        <v>1252</v>
      </c>
      <c r="AD30" s="154" t="s">
        <v>810</v>
      </c>
      <c r="AE30" s="74"/>
      <c r="AF30" s="107"/>
      <c r="AG30" s="107"/>
      <c r="AH30" s="107"/>
      <c r="AI30" s="1907"/>
      <c r="AJ30" s="107"/>
      <c r="AK30" s="107"/>
      <c r="AL30" s="107"/>
      <c r="AM30" s="107"/>
      <c r="AN30" s="107"/>
      <c r="AO30" s="107"/>
      <c r="AP30" s="107"/>
      <c r="AQ30" s="107"/>
      <c r="AR30" s="107"/>
      <c r="AS30" s="1907"/>
      <c r="AT30" s="107"/>
      <c r="AU30" s="107"/>
      <c r="AV30" s="107"/>
      <c r="AW30" s="107"/>
      <c r="AX30" s="107"/>
      <c r="AY30" s="107"/>
      <c r="AZ30" s="107"/>
      <c r="BA30" s="107"/>
      <c r="BB30" s="107"/>
      <c r="BC30" s="73"/>
      <c r="BF30" s="1184" t="s">
        <v>1253</v>
      </c>
      <c r="BG30" s="1184"/>
      <c r="BH30" s="1184"/>
      <c r="BI30" s="1187"/>
      <c r="BJ30" s="1187"/>
    </row>
    <row s="220" customFormat="1" customHeight="1" ht="16.672500000000003" hidden="1">
      <c r="E31" s="797">
        <v>17.1</v>
      </c>
      <c r="F31" s="922" cm="1" t="str">
        <f t="array" ref="F31:F31">OFFSET(G31,-1,-1)</f>
        <v>0</v>
      </c>
      <c r="G31" s="739" t="s">
        <v>1254</v>
      </c>
      <c r="T31" s="808" cm="1" t="str">
        <f t="array" ref="T31:T31">T30</f>
        <v>false</v>
      </c>
      <c r="AB31" s="288" t="s">
        <v>937</v>
      </c>
      <c r="AC31" s="504" t="s">
        <v>1255</v>
      </c>
      <c r="AD31" s="154" t="s">
        <v>810</v>
      </c>
      <c r="AE31" s="74"/>
      <c r="AF31" s="107"/>
      <c r="AG31" s="107"/>
      <c r="AH31" s="107"/>
      <c r="AI31" s="1907"/>
      <c r="AJ31" s="107"/>
      <c r="AK31" s="107"/>
      <c r="AL31" s="107"/>
      <c r="AM31" s="107"/>
      <c r="AN31" s="107"/>
      <c r="AO31" s="107"/>
      <c r="AP31" s="107"/>
      <c r="AQ31" s="107"/>
      <c r="AR31" s="107"/>
      <c r="AS31" s="1907"/>
      <c r="AT31" s="107"/>
      <c r="AU31" s="107"/>
      <c r="AV31" s="107"/>
      <c r="AW31" s="107"/>
      <c r="AX31" s="107"/>
      <c r="AY31" s="107"/>
      <c r="AZ31" s="107"/>
      <c r="BA31" s="107"/>
      <c r="BB31" s="107"/>
      <c r="BC31" s="73"/>
      <c r="BF31" s="1184" t="s">
        <v>1256</v>
      </c>
      <c r="BG31" s="1184"/>
      <c r="BH31" s="1184"/>
      <c r="BI31" s="1187"/>
      <c r="BJ31" s="1187"/>
    </row>
    <row customHeight="1" ht="16.672500000000003" hidden="1">
      <c r="E32" s="797">
        <v>17.1</v>
      </c>
      <c r="F32" s="922" cm="1" t="str">
        <f t="array" ref="F32:F32">OFFSET(G32,-1,-1)</f>
        <v>0</v>
      </c>
      <c r="G32" s="739" t="s">
        <v>1250</v>
      </c>
      <c r="H32" s="213" t="s">
        <v>1250</v>
      </c>
      <c r="T32" s="808" cm="1" t="str">
        <f t="array" ref="T32:T32">T31</f>
        <v>false</v>
      </c>
      <c r="AB32" s="288" t="s">
        <v>941</v>
      </c>
      <c r="AC32" s="504" t="s">
        <v>1257</v>
      </c>
      <c r="AD32" s="154" t="s">
        <v>810</v>
      </c>
      <c r="AE32" s="108"/>
      <c r="AF32" s="108"/>
      <c r="AG32" s="108"/>
      <c r="AH32" s="108"/>
      <c r="AI32" s="1910"/>
      <c r="AJ32" s="108"/>
      <c r="AK32" s="108"/>
      <c r="AL32" s="108"/>
      <c r="AM32" s="108"/>
      <c r="AN32" s="108"/>
      <c r="AO32" s="108"/>
      <c r="AP32" s="108"/>
      <c r="AQ32" s="108"/>
      <c r="AR32" s="108"/>
      <c r="AS32" s="1910"/>
      <c r="AT32" s="108"/>
      <c r="AU32" s="108"/>
      <c r="AV32" s="108"/>
      <c r="AW32" s="108"/>
      <c r="AX32" s="108"/>
      <c r="AY32" s="108"/>
      <c r="AZ32" s="108"/>
      <c r="BA32" s="108"/>
      <c r="BB32" s="108"/>
      <c r="BC32" s="73"/>
      <c r="BF32" s="1184" t="s">
        <v>575</v>
      </c>
    </row>
    <row s="220" customFormat="1" customHeight="1" ht="16.672500000000003" hidden="1">
      <c r="E33" s="797">
        <v>17.1</v>
      </c>
      <c r="F33" s="922" cm="1" t="str">
        <f t="array" ref="F33:F33">OFFSET(G33,-1,-1)</f>
        <v>0</v>
      </c>
      <c r="G33" s="739" t="s">
        <v>1250</v>
      </c>
      <c r="H33" s="213" t="s">
        <v>1258</v>
      </c>
      <c r="T33" s="808" cm="1" t="str">
        <f t="array" ref="T33:T33">T32</f>
        <v>false</v>
      </c>
      <c r="AB33" s="288" t="s">
        <v>1046</v>
      </c>
      <c r="AC33" s="504" t="s">
        <v>1259</v>
      </c>
      <c r="AD33" s="154" t="s">
        <v>810</v>
      </c>
      <c r="AE33" s="74"/>
      <c r="AF33" s="74"/>
      <c r="AG33" s="74"/>
      <c r="AH33" s="74"/>
      <c r="AI33" s="1713"/>
      <c r="AJ33" s="74"/>
      <c r="AK33" s="74"/>
      <c r="AL33" s="74"/>
      <c r="AM33" s="74"/>
      <c r="AN33" s="74"/>
      <c r="AO33" s="74"/>
      <c r="AP33" s="74"/>
      <c r="AQ33" s="74"/>
      <c r="AR33" s="74"/>
      <c r="AS33" s="1713"/>
      <c r="AT33" s="74"/>
      <c r="AU33" s="74"/>
      <c r="AV33" s="74"/>
      <c r="AW33" s="74"/>
      <c r="AX33" s="74"/>
      <c r="AY33" s="74"/>
      <c r="AZ33" s="74"/>
      <c r="BA33" s="74"/>
      <c r="BB33" s="74"/>
      <c r="BC33" s="73"/>
      <c r="BF33" s="1184" t="s">
        <v>571</v>
      </c>
      <c r="BG33" s="1184"/>
      <c r="BH33" s="1184"/>
      <c r="BI33" s="1187"/>
      <c r="BJ33" s="1187"/>
    </row>
    <row s="220" customFormat="1" customHeight="1" ht="16.672500000000003" hidden="1">
      <c r="E34" s="797">
        <v>17.1</v>
      </c>
      <c r="F34" s="922" cm="1" t="str">
        <f t="array" ref="F34:F34">OFFSET(G34,-1,-1)</f>
        <v>0</v>
      </c>
      <c r="G34" s="739" t="s">
        <v>1250</v>
      </c>
      <c r="H34" s="213" t="s">
        <v>1260</v>
      </c>
      <c r="T34" s="808" cm="1" t="str">
        <f t="array" ref="T34:T34">T33</f>
        <v>false</v>
      </c>
      <c r="AB34" s="288" t="s">
        <v>1049</v>
      </c>
      <c r="AC34" s="504" t="s">
        <v>1261</v>
      </c>
      <c r="AD34" s="154" t="s">
        <v>810</v>
      </c>
      <c r="AE34" s="74"/>
      <c r="AF34" s="74"/>
      <c r="AG34" s="74"/>
      <c r="AH34" s="74"/>
      <c r="AI34" s="1713"/>
      <c r="AJ34" s="74"/>
      <c r="AK34" s="74"/>
      <c r="AL34" s="74"/>
      <c r="AM34" s="74"/>
      <c r="AN34" s="74"/>
      <c r="AO34" s="74"/>
      <c r="AP34" s="74"/>
      <c r="AQ34" s="74"/>
      <c r="AR34" s="74"/>
      <c r="AS34" s="1713"/>
      <c r="AT34" s="74"/>
      <c r="AU34" s="74"/>
      <c r="AV34" s="74"/>
      <c r="AW34" s="74"/>
      <c r="AX34" s="74"/>
      <c r="AY34" s="74"/>
      <c r="AZ34" s="74"/>
      <c r="BA34" s="74"/>
      <c r="BB34" s="74"/>
      <c r="BC34" s="73"/>
      <c r="BF34" s="1184" t="s">
        <v>1262</v>
      </c>
      <c r="BG34" s="1184"/>
      <c r="BH34" s="1184"/>
      <c r="BI34" s="1187"/>
      <c r="BJ34" s="1187"/>
    </row>
    <row s="220" customFormat="1" customHeight="1" ht="16.672500000000003" hidden="1">
      <c r="E35" s="797">
        <v>17.1</v>
      </c>
      <c r="F35" s="922" cm="1" t="str">
        <f t="array" ref="F35:F35">OFFSET(G35,-1,-1)</f>
        <v>0</v>
      </c>
      <c r="G35" s="739" t="s">
        <v>1263</v>
      </c>
      <c r="T35" s="808" cm="1" t="str">
        <f t="array" ref="T35:T35">T34</f>
        <v>false</v>
      </c>
      <c r="AB35" s="288" t="s">
        <v>1052</v>
      </c>
      <c r="AC35" s="504" t="s">
        <v>1264</v>
      </c>
      <c r="AD35" s="154" t="s">
        <v>810</v>
      </c>
      <c r="AE35" s="74"/>
      <c r="AF35" s="74"/>
      <c r="AG35" s="74"/>
      <c r="AH35" s="74"/>
      <c r="AI35" s="1713"/>
      <c r="AJ35" s="74"/>
      <c r="AK35" s="74"/>
      <c r="AL35" s="74"/>
      <c r="AM35" s="74"/>
      <c r="AN35" s="74"/>
      <c r="AO35" s="74"/>
      <c r="AP35" s="74"/>
      <c r="AQ35" s="74"/>
      <c r="AR35" s="74"/>
      <c r="AS35" s="1713"/>
      <c r="AT35" s="74"/>
      <c r="AU35" s="74"/>
      <c r="AV35" s="74"/>
      <c r="AW35" s="74"/>
      <c r="AX35" s="74"/>
      <c r="AY35" s="74"/>
      <c r="AZ35" s="74"/>
      <c r="BA35" s="74"/>
      <c r="BB35" s="74"/>
      <c r="BC35" s="73"/>
      <c r="BF35" s="1184" t="s">
        <v>579</v>
      </c>
      <c r="BG35" s="1184"/>
      <c r="BH35" s="1184"/>
      <c r="BI35" s="1187"/>
      <c r="BJ35" s="1187"/>
    </row>
    <row s="220" customFormat="1" customHeight="1" ht="16.672500000000003" hidden="1">
      <c r="E36" s="797">
        <v>17.1</v>
      </c>
      <c r="F36" s="922" cm="1" t="str">
        <f t="array" ref="F36:F36">OFFSET(G36,-1,-1)</f>
        <v>0</v>
      </c>
      <c r="G36" s="739" t="s">
        <v>1250</v>
      </c>
      <c r="H36" s="213" t="s">
        <v>1265</v>
      </c>
      <c r="T36" s="808" cm="1" t="str">
        <f t="array" ref="T36:T36">T35</f>
        <v>false</v>
      </c>
      <c r="AB36" s="288" t="s">
        <v>1055</v>
      </c>
      <c r="AC36" s="504" t="s">
        <v>1266</v>
      </c>
      <c r="AD36" s="154" t="s">
        <v>810</v>
      </c>
      <c r="AE36" s="74"/>
      <c r="AF36" s="74"/>
      <c r="AG36" s="74"/>
      <c r="AH36" s="74"/>
      <c r="AI36" s="1713"/>
      <c r="AJ36" s="74"/>
      <c r="AK36" s="74"/>
      <c r="AL36" s="74"/>
      <c r="AM36" s="74"/>
      <c r="AN36" s="74"/>
      <c r="AO36" s="74"/>
      <c r="AP36" s="74"/>
      <c r="AQ36" s="74"/>
      <c r="AR36" s="74"/>
      <c r="AS36" s="1713"/>
      <c r="AT36" s="74"/>
      <c r="AU36" s="74"/>
      <c r="AV36" s="74"/>
      <c r="AW36" s="74"/>
      <c r="AX36" s="74"/>
      <c r="AY36" s="74"/>
      <c r="AZ36" s="74"/>
      <c r="BA36" s="74"/>
      <c r="BB36" s="74"/>
      <c r="BC36" s="73"/>
      <c r="BF36" s="1184" t="s">
        <v>1267</v>
      </c>
      <c r="BG36" s="1184"/>
      <c r="BH36" s="1184"/>
      <c r="BI36" s="1187"/>
      <c r="BJ36" s="1187"/>
    </row>
    <row s="220" customFormat="1" customHeight="1" ht="16.672500000000003" hidden="1">
      <c r="E37" s="797">
        <v>17.1</v>
      </c>
      <c r="F37" s="922" cm="1" t="str">
        <f t="array" ref="F37:F37">OFFSET(G37,-1,-1)</f>
        <v>0</v>
      </c>
      <c r="G37" s="739" t="s">
        <v>1250</v>
      </c>
      <c r="H37" s="213" t="s">
        <v>1250</v>
      </c>
      <c r="T37" s="808" cm="1" t="str">
        <f t="array" ref="T37:T37">T36</f>
        <v>false</v>
      </c>
      <c r="AB37" s="288" t="s">
        <v>1268</v>
      </c>
      <c r="AC37" s="504" t="s">
        <v>1269</v>
      </c>
      <c r="AD37" s="154" t="s">
        <v>810</v>
      </c>
      <c r="AE37" s="367">
        <f>SUM(AE38:AE40)</f>
        <v>0</v>
      </c>
      <c r="AF37" s="367">
        <f>SUM(AF38:AF40)</f>
        <v>0</v>
      </c>
      <c r="AG37" s="367">
        <f>SUM(AG38:AG40)</f>
        <v>0</v>
      </c>
      <c r="AH37" s="367">
        <f>SUM(AH38:AH40)</f>
        <v>0</v>
      </c>
      <c r="AI37" s="367">
        <f>SUM(AI38:AI40)</f>
        <v>0</v>
      </c>
      <c r="AJ37" s="367">
        <f>SUM(AJ38:AJ40)</f>
        <v>0</v>
      </c>
      <c r="AK37" s="367">
        <f>SUM(AK38:AK40)</f>
        <v>0</v>
      </c>
      <c r="AL37" s="367">
        <f>SUM(AL38:AL40)</f>
        <v>0</v>
      </c>
      <c r="AM37" s="367">
        <f>SUM(AM38:AM40)</f>
        <v>0</v>
      </c>
      <c r="AN37" s="367">
        <f>SUM(AN38:AN40)</f>
        <v>0</v>
      </c>
      <c r="AO37" s="367">
        <f>SUM(AO38:AO40)</f>
        <v>0</v>
      </c>
      <c r="AP37" s="367">
        <f>SUM(AP38:AP40)</f>
        <v>0</v>
      </c>
      <c r="AQ37" s="367">
        <f>SUM(AQ38:AQ40)</f>
        <v>0</v>
      </c>
      <c r="AR37" s="367">
        <f>SUM(AR38:AR40)</f>
        <v>0</v>
      </c>
      <c r="AS37" s="367">
        <f>SUM(AS38:AS40)</f>
        <v>0</v>
      </c>
      <c r="AT37" s="367">
        <f>SUM(AT38:AT40)</f>
        <v>0</v>
      </c>
      <c r="AU37" s="367">
        <f>SUM(AU38:AU40)</f>
        <v>0</v>
      </c>
      <c r="AV37" s="367">
        <f>SUM(AV38:AV40)</f>
        <v>0</v>
      </c>
      <c r="AW37" s="367">
        <f>SUM(AW38:AW40)</f>
        <v>0</v>
      </c>
      <c r="AX37" s="367">
        <f>SUM(AX38:AX40)</f>
        <v>0</v>
      </c>
      <c r="AY37" s="367">
        <f>SUM(AY38:AY40)</f>
        <v>0</v>
      </c>
      <c r="AZ37" s="367">
        <f>SUM(AZ38:AZ40)</f>
        <v>0</v>
      </c>
      <c r="BA37" s="367">
        <f>SUM(BA38:BA40)</f>
        <v>0</v>
      </c>
      <c r="BB37" s="367">
        <f>SUM(BB38:BB40)</f>
        <v>0</v>
      </c>
      <c r="BC37" s="73"/>
      <c r="BF37" s="1184" t="s">
        <v>1198</v>
      </c>
      <c r="BG37" s="1184"/>
      <c r="BH37" s="1184"/>
      <c r="BI37" s="1187"/>
      <c r="BJ37" s="1187"/>
    </row>
    <row customHeight="1" ht="17.25" hidden="1">
      <c r="E38" s="797">
        <v>0</v>
      </c>
      <c r="F38" s="922" cm="1" t="str">
        <f t="array" ref="F38:F38">OFFSET(G38,-1,-1)</f>
        <v>0</v>
      </c>
      <c r="T38" s="808" cm="1" t="str">
        <f t="array" ref="T38:T38">T37</f>
        <v>false</v>
      </c>
      <c r="AB38" s="312"/>
      <c r="AC38" s="289"/>
      <c r="AD38" s="154"/>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154"/>
      <c r="BF38" s="1184" t="str">
        <f>IF(AND(ISNUMBER(VALUE(TRIM(SUBSTITUTE(AB38,".","")))),TRIM(SUBSTITUTE(AB38,".",""))&lt;&gt;""),"P"&amp;SUBSTITUTE(AB38,".",""),"")</f>
        <v/>
      </c>
    </row>
    <row s="220" customFormat="1" customHeight="1" ht="16.672500000000003" hidden="1">
      <c r="E39" s="797">
        <v>17.1</v>
      </c>
      <c r="F39" s="922" cm="1" t="str">
        <f t="array" ref="F39:F39">OFFSET(G39,-1,-1)</f>
        <v>0</v>
      </c>
      <c r="H39" s="213" cm="1" t="str">
        <f t="array" ref="H39:H39">AC39</f>
        <v>0</v>
      </c>
      <c r="T39" s="808">
        <f>AND(OFFSET(U39,1,-1),Y39&gt;0)</f>
        <v>0</v>
      </c>
      <c r="W39" s="175" t="s">
        <v>234</v>
      </c>
      <c r="Y39" s="175">
        <v>0</v>
      </c>
      <c r="AA39" s="917" t="s">
        <v>218</v>
      </c>
      <c r="AB39" s="154" t="str">
        <f>"1.9."&amp;Y39</f>
        <v>1.9.0</v>
      </c>
      <c r="AC39" s="109"/>
      <c r="AD39" s="154" t="s">
        <v>810</v>
      </c>
      <c r="AE39" s="74"/>
      <c r="AF39" s="107"/>
      <c r="AG39" s="107"/>
      <c r="AH39" s="107"/>
      <c r="AI39" s="1907"/>
      <c r="AJ39" s="107"/>
      <c r="AK39" s="107"/>
      <c r="AL39" s="107"/>
      <c r="AM39" s="107"/>
      <c r="AN39" s="107"/>
      <c r="AO39" s="107"/>
      <c r="AP39" s="107"/>
      <c r="AQ39" s="107"/>
      <c r="AR39" s="107"/>
      <c r="AS39" s="1907"/>
      <c r="AT39" s="107"/>
      <c r="AU39" s="107"/>
      <c r="AV39" s="107"/>
      <c r="AW39" s="107"/>
      <c r="AX39" s="107"/>
      <c r="AY39" s="107"/>
      <c r="AZ39" s="107"/>
      <c r="BA39" s="107"/>
      <c r="BB39" s="107"/>
      <c r="BC39" s="73"/>
      <c r="BF39" s="1184" t="s">
        <v>1270</v>
      </c>
      <c r="BG39" s="1184" t="s">
        <v>1271</v>
      </c>
      <c r="BH39" s="1232" cm="1" t="str">
        <f t="array" ref="BH39:BH39">AC39</f>
        <v>0</v>
      </c>
      <c r="BI39" s="1187"/>
      <c r="BJ39" s="1187" t="b">
        <v>1</v>
      </c>
    </row>
    <row s="220" customFormat="1" customHeight="1" ht="11.115" hidden="1">
      <c r="E40" s="797">
        <v>11.4</v>
      </c>
      <c r="F40" s="922" cm="1" t="str">
        <f t="array" ref="F40:F40">OFFSET(G40,-1,-1)</f>
        <v>0</v>
      </c>
      <c r="T40" s="808" cm="1" t="str">
        <f t="array" ref="T40:T40">T37</f>
        <v>false</v>
      </c>
      <c r="W40" s="374" t="s">
        <v>951</v>
      </c>
      <c r="AB40" s="503"/>
      <c r="AC40" s="303" t="s">
        <v>236</v>
      </c>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4"/>
      <c r="BF40" s="1184"/>
      <c r="BG40" s="1184"/>
      <c r="BH40" s="1184"/>
      <c r="BI40" s="1187" t="s">
        <v>1271</v>
      </c>
      <c r="BJ40" s="1187"/>
    </row>
    <row s="1911" customFormat="1" customHeight="1" ht="10.5">
      <c r="A41" s="220"/>
      <c r="B41" s="220"/>
      <c r="C41" s="220"/>
      <c r="D41" s="220"/>
      <c r="E41" s="797">
        <v>11.4</v>
      </c>
      <c r="F41" s="922" cm="1" t="str">
        <f t="array" ref="F41:F41">X41</f>
        <v>1</v>
      </c>
      <c r="G41" s="220"/>
      <c r="H41" s="220"/>
      <c r="I41" s="220"/>
      <c r="J41" s="220"/>
      <c r="K41" s="220"/>
      <c r="L41" s="220"/>
      <c r="M41" s="220"/>
      <c r="N41" s="220"/>
      <c r="O41" s="220"/>
      <c r="P41" s="220"/>
      <c r="Q41" s="220"/>
      <c r="R41" s="220"/>
      <c r="S41" s="220"/>
      <c r="T41" s="819">
        <f>X41&gt;0</f>
        <v>1</v>
      </c>
      <c r="U41" s="220"/>
      <c r="V41" s="175" cm="1" t="str">
        <f t="array" ref="V41:V41">ФОТ!$AB$52</f>
        <v>Тариф 1 (Теплоснабжение) - Тариф на тепловую энергию (мощность), поставляемую потребителям (Не определено)</v>
      </c>
      <c r="W41" s="220"/>
      <c r="X41" s="175" t="s">
        <v>336</v>
      </c>
      <c r="Y41" s="220"/>
      <c r="Z41" s="220"/>
      <c r="AA41" s="220"/>
      <c r="AB41" s="290" cm="1" t="str">
        <f t="array" ref="AB41:AB41">IF(ISBLANK(ФОТ!$AB$52),"",ФОТ!$AB$52)</f>
        <v>Тариф 1 (Теплоснабжение) - Тариф на тепловую энергию (мощность), поставляемую потребителям (Не определено)</v>
      </c>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20"/>
      <c r="BE41" s="220"/>
      <c r="BF41" s="1184"/>
      <c r="BG41" s="1184"/>
      <c r="BH41" s="1184"/>
      <c r="BI41" s="1187"/>
      <c r="BJ41" s="1187"/>
    </row>
    <row s="1912" customFormat="1" customHeight="1" ht="29.25">
      <c r="A42" s="220"/>
      <c r="B42" s="220"/>
      <c r="C42" s="220"/>
      <c r="D42" s="220"/>
      <c r="E42" s="797">
        <v>30</v>
      </c>
      <c r="F42" s="922" cm="1" t="str">
        <f t="array" ref="F42:F42">OFFSET(G42,-1,-1)</f>
        <v>1</v>
      </c>
      <c r="G42" s="220"/>
      <c r="H42" s="220"/>
      <c r="I42" s="220"/>
      <c r="J42" s="220"/>
      <c r="K42" s="220"/>
      <c r="L42" s="220"/>
      <c r="M42" s="220"/>
      <c r="N42" s="220"/>
      <c r="O42" s="220"/>
      <c r="P42" s="220"/>
      <c r="Q42" s="220"/>
      <c r="R42" s="220"/>
      <c r="S42" s="220"/>
      <c r="T42" s="808" cm="1" t="str">
        <f t="array" ref="T42:T42">T41</f>
        <v>true</v>
      </c>
      <c r="U42" s="220"/>
      <c r="V42" s="220"/>
      <c r="W42" s="220"/>
      <c r="X42" s="220"/>
      <c r="Y42" s="220"/>
      <c r="Z42" s="220"/>
      <c r="AA42" s="220"/>
      <c r="AB42" s="305">
        <v>1</v>
      </c>
      <c r="AC42" s="287" t="s">
        <v>1245</v>
      </c>
      <c r="AD42" s="280" t="s">
        <v>810</v>
      </c>
      <c r="AE42" s="298">
        <f>SUM(AE43:AE51)</f>
        <v>930</v>
      </c>
      <c r="AF42" s="298">
        <f>SUM(AF43:AF51)</f>
        <v>945</v>
      </c>
      <c r="AG42" s="298">
        <f>SUM(AG43:AG51)</f>
        <v>930</v>
      </c>
      <c r="AH42" s="298">
        <f>SUM(AH43:AH51)</f>
        <v>980.87</v>
      </c>
      <c r="AI42" s="298">
        <f>SUM(AI43:AI51)</f>
        <v>2450.43</v>
      </c>
      <c r="AJ42" s="298">
        <f>SUM(AJ43:AJ51)</f>
        <v>1103.3</v>
      </c>
      <c r="AK42" s="298">
        <f>SUM(AK43:AK51)</f>
        <v>0</v>
      </c>
      <c r="AL42" s="298">
        <f>SUM(AL43:AL51)</f>
        <v>0</v>
      </c>
      <c r="AM42" s="298">
        <f>SUM(AM43:AM51)</f>
        <v>0</v>
      </c>
      <c r="AN42" s="298">
        <f>SUM(AN43:AN51)</f>
        <v>0</v>
      </c>
      <c r="AO42" s="298">
        <f>SUM(AO43:AO51)</f>
        <v>0</v>
      </c>
      <c r="AP42" s="298">
        <f>SUM(AP43:AP51)</f>
        <v>0</v>
      </c>
      <c r="AQ42" s="298">
        <f>SUM(AQ43:AQ51)</f>
        <v>0</v>
      </c>
      <c r="AR42" s="298">
        <f>SUM(AR43:AR51)</f>
        <v>0</v>
      </c>
      <c r="AS42" s="298">
        <f>SUM(AS43:AS51)</f>
        <v>934.37</v>
      </c>
      <c r="AT42" s="298">
        <f>SUM(AT43:AT51)</f>
        <v>0</v>
      </c>
      <c r="AU42" s="298">
        <f>SUM(AU43:AU51)</f>
        <v>0</v>
      </c>
      <c r="AV42" s="298">
        <f>SUM(AV43:AV51)</f>
        <v>0</v>
      </c>
      <c r="AW42" s="298">
        <f>SUM(AW43:AW51)</f>
        <v>0</v>
      </c>
      <c r="AX42" s="298">
        <f>SUM(AX43:AX51)</f>
        <v>0</v>
      </c>
      <c r="AY42" s="298">
        <f>SUM(AY43:AY51)</f>
        <v>0</v>
      </c>
      <c r="AZ42" s="298">
        <f>SUM(AZ43:AZ51)</f>
        <v>0</v>
      </c>
      <c r="BA42" s="298">
        <f>SUM(BA43:BA51)</f>
        <v>0</v>
      </c>
      <c r="BB42" s="298">
        <f>SUM(BB43:BB51)</f>
        <v>0</v>
      </c>
      <c r="BC42" s="1719"/>
      <c r="BD42" s="220"/>
      <c r="BE42" s="220"/>
      <c r="BF42" s="1184" t="s">
        <v>1246</v>
      </c>
      <c r="BG42" s="1184"/>
      <c r="BH42" s="1184"/>
      <c r="BI42" s="1187"/>
      <c r="BJ42" s="1187"/>
    </row>
    <row s="1913" customFormat="1" customHeight="1" ht="58.5">
      <c r="A43" s="220"/>
      <c r="B43" s="220"/>
      <c r="C43" s="220"/>
      <c r="D43" s="220"/>
      <c r="E43" s="797">
        <v>60</v>
      </c>
      <c r="F43" s="922" cm="1" t="str">
        <f t="array" ref="F43:F43">OFFSET(G43,-1,-1)</f>
        <v>1</v>
      </c>
      <c r="G43" s="739" t="s">
        <v>1247</v>
      </c>
      <c r="H43" s="220"/>
      <c r="I43" s="220"/>
      <c r="J43" s="220"/>
      <c r="K43" s="220"/>
      <c r="L43" s="220"/>
      <c r="M43" s="220"/>
      <c r="N43" s="220"/>
      <c r="O43" s="220"/>
      <c r="P43" s="220"/>
      <c r="Q43" s="220"/>
      <c r="R43" s="220"/>
      <c r="S43" s="220"/>
      <c r="T43" s="808" cm="1" t="str">
        <f t="array" ref="T43:T43">T42</f>
        <v>true</v>
      </c>
      <c r="U43" s="220"/>
      <c r="V43" s="220"/>
      <c r="W43" s="220"/>
      <c r="X43" s="220"/>
      <c r="Y43" s="220"/>
      <c r="Z43" s="220"/>
      <c r="AA43" s="220"/>
      <c r="AB43" s="288" t="s">
        <v>449</v>
      </c>
      <c r="AC43" s="504" t="s">
        <v>1248</v>
      </c>
      <c r="AD43" s="154" t="s">
        <v>810</v>
      </c>
      <c r="AE43" s="1713"/>
      <c r="AF43" s="1907">
        <v>15</v>
      </c>
      <c r="AG43" s="1907">
        <v>0</v>
      </c>
      <c r="AH43" s="1907">
        <v>2.28</v>
      </c>
      <c r="AI43" s="1907"/>
      <c r="AJ43" s="1907"/>
      <c r="AK43" s="1907"/>
      <c r="AL43" s="1907"/>
      <c r="AM43" s="1907"/>
      <c r="AN43" s="1907"/>
      <c r="AO43" s="1907"/>
      <c r="AP43" s="1907"/>
      <c r="AQ43" s="1907"/>
      <c r="AR43" s="1907"/>
      <c r="AS43" s="1907"/>
      <c r="AT43" s="1907"/>
      <c r="AU43" s="1907"/>
      <c r="AV43" s="1907"/>
      <c r="AW43" s="1907"/>
      <c r="AX43" s="1907"/>
      <c r="AY43" s="1907"/>
      <c r="AZ43" s="1907"/>
      <c r="BA43" s="1907"/>
      <c r="BB43" s="1907"/>
      <c r="BC43" s="1719"/>
      <c r="BD43" s="220"/>
      <c r="BE43" s="220"/>
      <c r="BF43" s="1184" t="s">
        <v>1249</v>
      </c>
      <c r="BG43" s="1184"/>
      <c r="BH43" s="1184"/>
      <c r="BI43" s="1187"/>
      <c r="BJ43" s="1187"/>
    </row>
    <row s="1914" customFormat="1" customHeight="1" ht="16.5">
      <c r="A44" s="220"/>
      <c r="B44" s="220"/>
      <c r="C44" s="220"/>
      <c r="D44" s="220"/>
      <c r="E44" s="797">
        <v>17.1</v>
      </c>
      <c r="F44" s="922" cm="1" t="str">
        <f t="array" ref="F44:F44">OFFSET(G44,-1,-1)</f>
        <v>1</v>
      </c>
      <c r="G44" s="739" t="s">
        <v>1250</v>
      </c>
      <c r="H44" s="213" t="s">
        <v>1251</v>
      </c>
      <c r="I44" s="220"/>
      <c r="J44" s="220"/>
      <c r="K44" s="220"/>
      <c r="L44" s="220"/>
      <c r="M44" s="220"/>
      <c r="N44" s="220"/>
      <c r="O44" s="220"/>
      <c r="P44" s="220"/>
      <c r="Q44" s="220"/>
      <c r="R44" s="220"/>
      <c r="S44" s="220"/>
      <c r="T44" s="808" cm="1" t="str">
        <f t="array" ref="T44:T44">T43</f>
        <v>true</v>
      </c>
      <c r="U44" s="220"/>
      <c r="V44" s="220"/>
      <c r="W44" s="220"/>
      <c r="X44" s="220"/>
      <c r="Y44" s="220"/>
      <c r="Z44" s="220"/>
      <c r="AA44" s="220"/>
      <c r="AB44" s="288" t="s">
        <v>935</v>
      </c>
      <c r="AC44" s="504" t="s">
        <v>1252</v>
      </c>
      <c r="AD44" s="154" t="s">
        <v>810</v>
      </c>
      <c r="AE44" s="1713"/>
      <c r="AF44" s="1907"/>
      <c r="AG44" s="1907"/>
      <c r="AH44" s="1907"/>
      <c r="AI44" s="1907"/>
      <c r="AJ44" s="1907"/>
      <c r="AK44" s="1907"/>
      <c r="AL44" s="1907"/>
      <c r="AM44" s="1907"/>
      <c r="AN44" s="1907"/>
      <c r="AO44" s="1907"/>
      <c r="AP44" s="1907"/>
      <c r="AQ44" s="1907"/>
      <c r="AR44" s="1907"/>
      <c r="AS44" s="1907"/>
      <c r="AT44" s="1907"/>
      <c r="AU44" s="1907"/>
      <c r="AV44" s="1907"/>
      <c r="AW44" s="1907"/>
      <c r="AX44" s="1907"/>
      <c r="AY44" s="1907"/>
      <c r="AZ44" s="1907"/>
      <c r="BA44" s="1907"/>
      <c r="BB44" s="1907"/>
      <c r="BC44" s="1719"/>
      <c r="BD44" s="220"/>
      <c r="BE44" s="220"/>
      <c r="BF44" s="1184" t="s">
        <v>1253</v>
      </c>
      <c r="BG44" s="1184"/>
      <c r="BH44" s="1184"/>
      <c r="BI44" s="1187"/>
      <c r="BJ44" s="1187"/>
    </row>
    <row s="1915" customFormat="1" customHeight="1" ht="16.5">
      <c r="A45" s="220"/>
      <c r="B45" s="220"/>
      <c r="C45" s="220"/>
      <c r="D45" s="220"/>
      <c r="E45" s="797">
        <v>17.1</v>
      </c>
      <c r="F45" s="922" cm="1" t="str">
        <f t="array" ref="F45:F45">OFFSET(G45,-1,-1)</f>
        <v>1</v>
      </c>
      <c r="G45" s="739" t="s">
        <v>1254</v>
      </c>
      <c r="H45" s="220"/>
      <c r="I45" s="220"/>
      <c r="J45" s="220"/>
      <c r="K45" s="220"/>
      <c r="L45" s="220"/>
      <c r="M45" s="220"/>
      <c r="N45" s="220"/>
      <c r="O45" s="220"/>
      <c r="P45" s="220"/>
      <c r="Q45" s="220"/>
      <c r="R45" s="220"/>
      <c r="S45" s="220"/>
      <c r="T45" s="808" cm="1" t="str">
        <f t="array" ref="T45:T45">T44</f>
        <v>true</v>
      </c>
      <c r="U45" s="220"/>
      <c r="V45" s="220"/>
      <c r="W45" s="220"/>
      <c r="X45" s="220"/>
      <c r="Y45" s="220"/>
      <c r="Z45" s="220"/>
      <c r="AA45" s="220"/>
      <c r="AB45" s="288" t="s">
        <v>937</v>
      </c>
      <c r="AC45" s="504" t="s">
        <v>1255</v>
      </c>
      <c r="AD45" s="154" t="s">
        <v>810</v>
      </c>
      <c r="AE45" s="1713"/>
      <c r="AF45" s="1907"/>
      <c r="AG45" s="1907"/>
      <c r="AH45" s="1907"/>
      <c r="AI45" s="1907"/>
      <c r="AJ45" s="1907"/>
      <c r="AK45" s="1907"/>
      <c r="AL45" s="1907"/>
      <c r="AM45" s="1907"/>
      <c r="AN45" s="1907"/>
      <c r="AO45" s="1907"/>
      <c r="AP45" s="1907"/>
      <c r="AQ45" s="1907"/>
      <c r="AR45" s="1907"/>
      <c r="AS45" s="1907"/>
      <c r="AT45" s="1907"/>
      <c r="AU45" s="1907"/>
      <c r="AV45" s="1907"/>
      <c r="AW45" s="1907"/>
      <c r="AX45" s="1907"/>
      <c r="AY45" s="1907"/>
      <c r="AZ45" s="1907"/>
      <c r="BA45" s="1907"/>
      <c r="BB45" s="1907"/>
      <c r="BC45" s="1719"/>
      <c r="BD45" s="220"/>
      <c r="BE45" s="220"/>
      <c r="BF45" s="1184" t="s">
        <v>1256</v>
      </c>
      <c r="BG45" s="1184"/>
      <c r="BH45" s="1184"/>
      <c r="BI45" s="1187"/>
      <c r="BJ45" s="1187"/>
    </row>
    <row s="1632" customFormat="1" customHeight="1" ht="16.5">
      <c r="A46" s="1582"/>
      <c r="B46" s="927"/>
      <c r="C46" s="1582"/>
      <c r="D46" s="1582"/>
      <c r="E46" s="797">
        <v>17.1</v>
      </c>
      <c r="F46" s="922" cm="1" t="str">
        <f t="array" ref="F46:F46">OFFSET(G46,-1,-1)</f>
        <v>1</v>
      </c>
      <c r="G46" s="739" t="s">
        <v>1250</v>
      </c>
      <c r="H46" s="213" t="s">
        <v>1250</v>
      </c>
      <c r="I46" s="500"/>
      <c r="J46" s="500"/>
      <c r="K46" s="500"/>
      <c r="L46" s="500"/>
      <c r="M46" s="500"/>
      <c r="N46" s="500"/>
      <c r="O46" s="500"/>
      <c r="P46" s="500"/>
      <c r="Q46" s="928"/>
      <c r="R46" s="928"/>
      <c r="S46" s="500"/>
      <c r="T46" s="808" cm="1" t="str">
        <f t="array" ref="T46:T46">T45</f>
        <v>true</v>
      </c>
      <c r="U46" s="1582"/>
      <c r="V46" s="1582"/>
      <c r="W46" s="1582"/>
      <c r="X46" s="1582"/>
      <c r="Y46" s="1582"/>
      <c r="Z46" s="1582"/>
      <c r="AA46" s="220"/>
      <c r="AB46" s="288" t="s">
        <v>941</v>
      </c>
      <c r="AC46" s="504" t="s">
        <v>1257</v>
      </c>
      <c r="AD46" s="154" t="s">
        <v>810</v>
      </c>
      <c r="AE46" s="1910">
        <v>930</v>
      </c>
      <c r="AF46" s="1910">
        <v>930</v>
      </c>
      <c r="AG46" s="1910">
        <v>930</v>
      </c>
      <c r="AH46" s="1910">
        <v>978.59</v>
      </c>
      <c r="AI46" s="1910">
        <v>2446.96</v>
      </c>
      <c r="AJ46" s="1910"/>
      <c r="AK46" s="1910"/>
      <c r="AL46" s="1910"/>
      <c r="AM46" s="1910"/>
      <c r="AN46" s="1910"/>
      <c r="AO46" s="1910"/>
      <c r="AP46" s="1910"/>
      <c r="AQ46" s="1910"/>
      <c r="AR46" s="1910"/>
      <c r="AS46" s="1910">
        <v>934.37</v>
      </c>
      <c r="AT46" s="1910"/>
      <c r="AU46" s="1910"/>
      <c r="AV46" s="1910"/>
      <c r="AW46" s="1910"/>
      <c r="AX46" s="1910"/>
      <c r="AY46" s="1910"/>
      <c r="AZ46" s="1910"/>
      <c r="BA46" s="1910"/>
      <c r="BB46" s="1910"/>
      <c r="BC46" s="1719"/>
      <c r="BD46" s="220"/>
      <c r="BE46" s="220"/>
      <c r="BF46" s="1184" t="s">
        <v>575</v>
      </c>
      <c r="BG46" s="1219"/>
      <c r="BH46" s="1219"/>
      <c r="BI46" s="1230"/>
      <c r="BJ46" s="1230"/>
    </row>
    <row s="1916" customFormat="1" customHeight="1" ht="16.5">
      <c r="A47" s="220"/>
      <c r="B47" s="220"/>
      <c r="C47" s="220"/>
      <c r="D47" s="220"/>
      <c r="E47" s="797">
        <v>17.1</v>
      </c>
      <c r="F47" s="922" cm="1" t="str">
        <f t="array" ref="F47:F47">OFFSET(G47,-1,-1)</f>
        <v>1</v>
      </c>
      <c r="G47" s="739" t="s">
        <v>1250</v>
      </c>
      <c r="H47" s="213" t="s">
        <v>1258</v>
      </c>
      <c r="I47" s="220"/>
      <c r="J47" s="220"/>
      <c r="K47" s="220"/>
      <c r="L47" s="220"/>
      <c r="M47" s="220"/>
      <c r="N47" s="220"/>
      <c r="O47" s="220"/>
      <c r="P47" s="220"/>
      <c r="Q47" s="220"/>
      <c r="R47" s="220"/>
      <c r="S47" s="220"/>
      <c r="T47" s="808" cm="1" t="str">
        <f t="array" ref="T47:T47">T46</f>
        <v>true</v>
      </c>
      <c r="U47" s="220"/>
      <c r="V47" s="220"/>
      <c r="W47" s="220"/>
      <c r="X47" s="220"/>
      <c r="Y47" s="220"/>
      <c r="Z47" s="220"/>
      <c r="AA47" s="220"/>
      <c r="AB47" s="288" t="s">
        <v>1046</v>
      </c>
      <c r="AC47" s="504" t="s">
        <v>1259</v>
      </c>
      <c r="AD47" s="154" t="s">
        <v>810</v>
      </c>
      <c r="AE47" s="1713"/>
      <c r="AF47" s="1713"/>
      <c r="AG47" s="1713"/>
      <c r="AH47" s="1713"/>
      <c r="AI47" s="1713">
        <v>3.47</v>
      </c>
      <c r="AJ47" s="1713">
        <v>1103.3</v>
      </c>
      <c r="AK47" s="1713"/>
      <c r="AL47" s="1713"/>
      <c r="AM47" s="1713"/>
      <c r="AN47" s="1713"/>
      <c r="AO47" s="1713"/>
      <c r="AP47" s="1713"/>
      <c r="AQ47" s="1713"/>
      <c r="AR47" s="1713"/>
      <c r="AS47" s="1713"/>
      <c r="AT47" s="1713"/>
      <c r="AU47" s="1713"/>
      <c r="AV47" s="1713"/>
      <c r="AW47" s="1713"/>
      <c r="AX47" s="1713"/>
      <c r="AY47" s="1713"/>
      <c r="AZ47" s="1713"/>
      <c r="BA47" s="1713"/>
      <c r="BB47" s="1713"/>
      <c r="BC47" s="1719"/>
      <c r="BD47" s="220"/>
      <c r="BE47" s="220"/>
      <c r="BF47" s="1184" t="s">
        <v>571</v>
      </c>
      <c r="BG47" s="1184"/>
      <c r="BH47" s="1184"/>
      <c r="BI47" s="1187"/>
      <c r="BJ47" s="1187"/>
    </row>
    <row s="1917" customFormat="1" customHeight="1" ht="16.5">
      <c r="A48" s="220"/>
      <c r="B48" s="220"/>
      <c r="C48" s="220"/>
      <c r="D48" s="220"/>
      <c r="E48" s="797">
        <v>17.1</v>
      </c>
      <c r="F48" s="922" cm="1" t="str">
        <f t="array" ref="F48:F48">OFFSET(G48,-1,-1)</f>
        <v>1</v>
      </c>
      <c r="G48" s="739" t="s">
        <v>1250</v>
      </c>
      <c r="H48" s="213" t="s">
        <v>1260</v>
      </c>
      <c r="I48" s="220"/>
      <c r="J48" s="220"/>
      <c r="K48" s="220"/>
      <c r="L48" s="220"/>
      <c r="M48" s="220"/>
      <c r="N48" s="220"/>
      <c r="O48" s="220"/>
      <c r="P48" s="220"/>
      <c r="Q48" s="220"/>
      <c r="R48" s="220"/>
      <c r="S48" s="220"/>
      <c r="T48" s="808" cm="1" t="str">
        <f t="array" ref="T48:T48">T47</f>
        <v>true</v>
      </c>
      <c r="U48" s="220"/>
      <c r="V48" s="220"/>
      <c r="W48" s="220"/>
      <c r="X48" s="220"/>
      <c r="Y48" s="220"/>
      <c r="Z48" s="220"/>
      <c r="AA48" s="220"/>
      <c r="AB48" s="288" t="s">
        <v>1049</v>
      </c>
      <c r="AC48" s="504" t="s">
        <v>1261</v>
      </c>
      <c r="AD48" s="154" t="s">
        <v>810</v>
      </c>
      <c r="AE48" s="1713"/>
      <c r="AF48" s="1713"/>
      <c r="AG48" s="1713"/>
      <c r="AH48" s="1713"/>
      <c r="AI48" s="1713"/>
      <c r="AJ48" s="1713"/>
      <c r="AK48" s="1713"/>
      <c r="AL48" s="1713"/>
      <c r="AM48" s="1713"/>
      <c r="AN48" s="1713"/>
      <c r="AO48" s="1713"/>
      <c r="AP48" s="1713"/>
      <c r="AQ48" s="1713"/>
      <c r="AR48" s="1713"/>
      <c r="AS48" s="1713"/>
      <c r="AT48" s="1713"/>
      <c r="AU48" s="1713"/>
      <c r="AV48" s="1713"/>
      <c r="AW48" s="1713"/>
      <c r="AX48" s="1713"/>
      <c r="AY48" s="1713"/>
      <c r="AZ48" s="1713"/>
      <c r="BA48" s="1713"/>
      <c r="BB48" s="1713"/>
      <c r="BC48" s="1719"/>
      <c r="BD48" s="220"/>
      <c r="BE48" s="220"/>
      <c r="BF48" s="1184" t="s">
        <v>1262</v>
      </c>
      <c r="BG48" s="1184"/>
      <c r="BH48" s="1184"/>
      <c r="BI48" s="1187"/>
      <c r="BJ48" s="1187"/>
    </row>
    <row s="1918" customFormat="1" customHeight="1" ht="16.5">
      <c r="A49" s="220"/>
      <c r="B49" s="220"/>
      <c r="C49" s="220"/>
      <c r="D49" s="220"/>
      <c r="E49" s="797">
        <v>17.1</v>
      </c>
      <c r="F49" s="922" cm="1" t="str">
        <f t="array" ref="F49:F49">OFFSET(G49,-1,-1)</f>
        <v>1</v>
      </c>
      <c r="G49" s="739" t="s">
        <v>1263</v>
      </c>
      <c r="H49" s="220"/>
      <c r="I49" s="220"/>
      <c r="J49" s="220"/>
      <c r="K49" s="220"/>
      <c r="L49" s="220"/>
      <c r="M49" s="220"/>
      <c r="N49" s="220"/>
      <c r="O49" s="220"/>
      <c r="P49" s="220"/>
      <c r="Q49" s="220"/>
      <c r="R49" s="220"/>
      <c r="S49" s="220"/>
      <c r="T49" s="808" cm="1" t="str">
        <f t="array" ref="T49:T49">T48</f>
        <v>true</v>
      </c>
      <c r="U49" s="220"/>
      <c r="V49" s="220"/>
      <c r="W49" s="220"/>
      <c r="X49" s="220"/>
      <c r="Y49" s="220"/>
      <c r="Z49" s="220"/>
      <c r="AA49" s="220"/>
      <c r="AB49" s="288" t="s">
        <v>1052</v>
      </c>
      <c r="AC49" s="504" t="s">
        <v>1264</v>
      </c>
      <c r="AD49" s="154" t="s">
        <v>810</v>
      </c>
      <c r="AE49" s="1713"/>
      <c r="AF49" s="1713"/>
      <c r="AG49" s="1713"/>
      <c r="AH49" s="1713"/>
      <c r="AI49" s="1713"/>
      <c r="AJ49" s="1713"/>
      <c r="AK49" s="1713"/>
      <c r="AL49" s="1713"/>
      <c r="AM49" s="1713"/>
      <c r="AN49" s="1713"/>
      <c r="AO49" s="1713"/>
      <c r="AP49" s="1713"/>
      <c r="AQ49" s="1713"/>
      <c r="AR49" s="1713"/>
      <c r="AS49" s="1713"/>
      <c r="AT49" s="1713"/>
      <c r="AU49" s="1713"/>
      <c r="AV49" s="1713"/>
      <c r="AW49" s="1713"/>
      <c r="AX49" s="1713"/>
      <c r="AY49" s="1713"/>
      <c r="AZ49" s="1713"/>
      <c r="BA49" s="1713"/>
      <c r="BB49" s="1713"/>
      <c r="BC49" s="1719"/>
      <c r="BD49" s="220"/>
      <c r="BE49" s="220"/>
      <c r="BF49" s="1184" t="s">
        <v>579</v>
      </c>
      <c r="BG49" s="1184"/>
      <c r="BH49" s="1184"/>
      <c r="BI49" s="1187"/>
      <c r="BJ49" s="1187"/>
    </row>
    <row s="1919" customFormat="1" customHeight="1" ht="16.5">
      <c r="A50" s="220"/>
      <c r="B50" s="220"/>
      <c r="C50" s="220"/>
      <c r="D50" s="220"/>
      <c r="E50" s="797">
        <v>17.1</v>
      </c>
      <c r="F50" s="922" cm="1" t="str">
        <f t="array" ref="F50:F50">OFFSET(G50,-1,-1)</f>
        <v>1</v>
      </c>
      <c r="G50" s="739" t="s">
        <v>1250</v>
      </c>
      <c r="H50" s="213" t="s">
        <v>1265</v>
      </c>
      <c r="I50" s="220"/>
      <c r="J50" s="220"/>
      <c r="K50" s="220"/>
      <c r="L50" s="220"/>
      <c r="M50" s="220"/>
      <c r="N50" s="220"/>
      <c r="O50" s="220"/>
      <c r="P50" s="220"/>
      <c r="Q50" s="220"/>
      <c r="R50" s="220"/>
      <c r="S50" s="220"/>
      <c r="T50" s="808" cm="1" t="str">
        <f t="array" ref="T50:T50">T49</f>
        <v>true</v>
      </c>
      <c r="U50" s="220"/>
      <c r="V50" s="220"/>
      <c r="W50" s="220"/>
      <c r="X50" s="220"/>
      <c r="Y50" s="220"/>
      <c r="Z50" s="220"/>
      <c r="AA50" s="220"/>
      <c r="AB50" s="288" t="s">
        <v>1055</v>
      </c>
      <c r="AC50" s="504" t="s">
        <v>1266</v>
      </c>
      <c r="AD50" s="154" t="s">
        <v>810</v>
      </c>
      <c r="AE50" s="1713"/>
      <c r="AF50" s="1713"/>
      <c r="AG50" s="1713"/>
      <c r="AH50" s="1713"/>
      <c r="AI50" s="1713"/>
      <c r="AJ50" s="1713"/>
      <c r="AK50" s="1713"/>
      <c r="AL50" s="1713"/>
      <c r="AM50" s="1713"/>
      <c r="AN50" s="1713"/>
      <c r="AO50" s="1713"/>
      <c r="AP50" s="1713"/>
      <c r="AQ50" s="1713"/>
      <c r="AR50" s="1713"/>
      <c r="AS50" s="1713"/>
      <c r="AT50" s="1713"/>
      <c r="AU50" s="1713"/>
      <c r="AV50" s="1713"/>
      <c r="AW50" s="1713"/>
      <c r="AX50" s="1713"/>
      <c r="AY50" s="1713"/>
      <c r="AZ50" s="1713"/>
      <c r="BA50" s="1713"/>
      <c r="BB50" s="1713"/>
      <c r="BC50" s="1719"/>
      <c r="BD50" s="220"/>
      <c r="BE50" s="220"/>
      <c r="BF50" s="1184" t="s">
        <v>1267</v>
      </c>
      <c r="BG50" s="1184"/>
      <c r="BH50" s="1184"/>
      <c r="BI50" s="1187"/>
      <c r="BJ50" s="1187"/>
    </row>
    <row s="1920" customFormat="1" customHeight="1" ht="16.5">
      <c r="A51" s="220"/>
      <c r="B51" s="220"/>
      <c r="C51" s="220"/>
      <c r="D51" s="220"/>
      <c r="E51" s="797">
        <v>17.1</v>
      </c>
      <c r="F51" s="922" cm="1" t="str">
        <f t="array" ref="F51:F51">OFFSET(G51,-1,-1)</f>
        <v>1</v>
      </c>
      <c r="G51" s="739" t="s">
        <v>1250</v>
      </c>
      <c r="H51" s="213" t="s">
        <v>1250</v>
      </c>
      <c r="I51" s="220"/>
      <c r="J51" s="220"/>
      <c r="K51" s="220"/>
      <c r="L51" s="220"/>
      <c r="M51" s="220"/>
      <c r="N51" s="220"/>
      <c r="O51" s="220"/>
      <c r="P51" s="220"/>
      <c r="Q51" s="220"/>
      <c r="R51" s="220"/>
      <c r="S51" s="220"/>
      <c r="T51" s="808" cm="1" t="str">
        <f t="array" ref="T51:T51">T50</f>
        <v>true</v>
      </c>
      <c r="U51" s="220"/>
      <c r="V51" s="220"/>
      <c r="W51" s="220"/>
      <c r="X51" s="220"/>
      <c r="Y51" s="220"/>
      <c r="Z51" s="220"/>
      <c r="AA51" s="220"/>
      <c r="AB51" s="288" t="s">
        <v>1268</v>
      </c>
      <c r="AC51" s="504" t="s">
        <v>1269</v>
      </c>
      <c r="AD51" s="154" t="s">
        <v>810</v>
      </c>
      <c r="AE51" s="367">
        <f>SUM(AE52:AE54)</f>
        <v>0</v>
      </c>
      <c r="AF51" s="367">
        <f>SUM(AF52:AF54)</f>
        <v>0</v>
      </c>
      <c r="AG51" s="367">
        <f>SUM(AG52:AG54)</f>
        <v>0</v>
      </c>
      <c r="AH51" s="367">
        <f>SUM(AH52:AH54)</f>
        <v>0</v>
      </c>
      <c r="AI51" s="367">
        <f>SUM(AI52:AI54)</f>
        <v>0</v>
      </c>
      <c r="AJ51" s="367">
        <f>SUM(AJ52:AJ54)</f>
        <v>0</v>
      </c>
      <c r="AK51" s="367">
        <f>SUM(AK52:AK54)</f>
        <v>0</v>
      </c>
      <c r="AL51" s="367">
        <f>SUM(AL52:AL54)</f>
        <v>0</v>
      </c>
      <c r="AM51" s="367">
        <f>SUM(AM52:AM54)</f>
        <v>0</v>
      </c>
      <c r="AN51" s="367">
        <f>SUM(AN52:AN54)</f>
        <v>0</v>
      </c>
      <c r="AO51" s="367">
        <f>SUM(AO52:AO54)</f>
        <v>0</v>
      </c>
      <c r="AP51" s="367">
        <f>SUM(AP52:AP54)</f>
        <v>0</v>
      </c>
      <c r="AQ51" s="367">
        <f>SUM(AQ52:AQ54)</f>
        <v>0</v>
      </c>
      <c r="AR51" s="367">
        <f>SUM(AR52:AR54)</f>
        <v>0</v>
      </c>
      <c r="AS51" s="367">
        <f>SUM(AS52:AS54)</f>
        <v>0</v>
      </c>
      <c r="AT51" s="367">
        <f>SUM(AT52:AT54)</f>
        <v>0</v>
      </c>
      <c r="AU51" s="367">
        <f>SUM(AU52:AU54)</f>
        <v>0</v>
      </c>
      <c r="AV51" s="367">
        <f>SUM(AV52:AV54)</f>
        <v>0</v>
      </c>
      <c r="AW51" s="367">
        <f>SUM(AW52:AW54)</f>
        <v>0</v>
      </c>
      <c r="AX51" s="367">
        <f>SUM(AX52:AX54)</f>
        <v>0</v>
      </c>
      <c r="AY51" s="367">
        <f>SUM(AY52:AY54)</f>
        <v>0</v>
      </c>
      <c r="AZ51" s="367">
        <f>SUM(AZ52:AZ54)</f>
        <v>0</v>
      </c>
      <c r="BA51" s="367">
        <f>SUM(BA52:BA54)</f>
        <v>0</v>
      </c>
      <c r="BB51" s="367">
        <f>SUM(BB52:BB54)</f>
        <v>0</v>
      </c>
      <c r="BC51" s="1719"/>
      <c r="BD51" s="220"/>
      <c r="BE51" s="220"/>
      <c r="BF51" s="1184" t="s">
        <v>1198</v>
      </c>
      <c r="BG51" s="1184"/>
      <c r="BH51" s="1184"/>
      <c r="BI51" s="1187"/>
      <c r="BJ51" s="1187"/>
    </row>
    <row s="1632" customFormat="1" customHeight="1" ht="17.25" hidden="1">
      <c r="A52" s="1582"/>
      <c r="B52" s="927"/>
      <c r="C52" s="1582"/>
      <c r="D52" s="1582"/>
      <c r="E52" s="797">
        <v>0</v>
      </c>
      <c r="F52" s="922" cm="1" t="str">
        <f t="array" ref="F52:F52">OFFSET(G52,-1,-1)</f>
        <v>1</v>
      </c>
      <c r="G52" s="500"/>
      <c r="H52" s="500"/>
      <c r="I52" s="500"/>
      <c r="J52" s="500"/>
      <c r="K52" s="500"/>
      <c r="L52" s="500"/>
      <c r="M52" s="500"/>
      <c r="N52" s="500"/>
      <c r="O52" s="500"/>
      <c r="P52" s="500"/>
      <c r="Q52" s="928"/>
      <c r="R52" s="928"/>
      <c r="S52" s="500"/>
      <c r="T52" s="808" cm="1" t="str">
        <f t="array" ref="T52:T52">T51</f>
        <v>true</v>
      </c>
      <c r="U52" s="1582"/>
      <c r="V52" s="1582"/>
      <c r="W52" s="1582"/>
      <c r="X52" s="1582"/>
      <c r="Y52" s="1582"/>
      <c r="Z52" s="1582"/>
      <c r="AA52" s="220"/>
      <c r="AB52" s="312"/>
      <c r="AC52" s="289"/>
      <c r="AD52" s="154"/>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54"/>
      <c r="BD52" s="220"/>
      <c r="BE52" s="220"/>
      <c r="BF52" s="1184" t="str">
        <f>IF(AND(ISNUMBER(VALUE(TRIM(SUBSTITUTE(AB52,".","")))),TRIM(SUBSTITUTE(AB52,".",""))&lt;&gt;""),"P"&amp;SUBSTITUTE(AB52,".",""),"")</f>
        <v/>
      </c>
      <c r="BG52" s="1219"/>
      <c r="BH52" s="1219"/>
      <c r="BI52" s="1230"/>
      <c r="BJ52" s="1230"/>
    </row>
    <row s="1921" customFormat="1" customHeight="1" ht="16.5" hidden="1">
      <c r="A53" s="220"/>
      <c r="B53" s="220"/>
      <c r="C53" s="220"/>
      <c r="D53" s="220"/>
      <c r="E53" s="797">
        <v>17.1</v>
      </c>
      <c r="F53" s="922" cm="1" t="str">
        <f t="array" ref="F53:F53">OFFSET(G53,-1,-1)</f>
        <v>1</v>
      </c>
      <c r="G53" s="220"/>
      <c r="H53" s="213" cm="1" t="str">
        <f t="array" ref="H53:H53">AC53</f>
        <v>0</v>
      </c>
      <c r="I53" s="220"/>
      <c r="J53" s="220"/>
      <c r="K53" s="220"/>
      <c r="L53" s="220"/>
      <c r="M53" s="220"/>
      <c r="N53" s="220"/>
      <c r="O53" s="220"/>
      <c r="P53" s="220"/>
      <c r="Q53" s="220"/>
      <c r="R53" s="220"/>
      <c r="S53" s="220"/>
      <c r="T53" s="808">
        <f>AND(OFFSET(U53,1,-1),Y53&gt;0)</f>
        <v>0</v>
      </c>
      <c r="U53" s="220"/>
      <c r="V53" s="220"/>
      <c r="W53" s="175" t="s">
        <v>234</v>
      </c>
      <c r="X53" s="220"/>
      <c r="Y53" s="175">
        <v>0</v>
      </c>
      <c r="Z53" s="220"/>
      <c r="AA53" s="917" t="s">
        <v>218</v>
      </c>
      <c r="AB53" s="154" t="str">
        <f>"1.9."&amp;Y53</f>
        <v>1.9.0</v>
      </c>
      <c r="AC53" s="109"/>
      <c r="AD53" s="154" t="s">
        <v>810</v>
      </c>
      <c r="AE53" s="74"/>
      <c r="AF53" s="107"/>
      <c r="AG53" s="107"/>
      <c r="AH53" s="107"/>
      <c r="AI53" s="1907"/>
      <c r="AJ53" s="107"/>
      <c r="AK53" s="107"/>
      <c r="AL53" s="107"/>
      <c r="AM53" s="107"/>
      <c r="AN53" s="107"/>
      <c r="AO53" s="107"/>
      <c r="AP53" s="107"/>
      <c r="AQ53" s="107"/>
      <c r="AR53" s="107"/>
      <c r="AS53" s="1907"/>
      <c r="AT53" s="107"/>
      <c r="AU53" s="107"/>
      <c r="AV53" s="107"/>
      <c r="AW53" s="107"/>
      <c r="AX53" s="107"/>
      <c r="AY53" s="107"/>
      <c r="AZ53" s="107"/>
      <c r="BA53" s="107"/>
      <c r="BB53" s="107"/>
      <c r="BC53" s="73"/>
      <c r="BD53" s="220"/>
      <c r="BE53" s="220"/>
      <c r="BF53" s="1184" t="s">
        <v>1270</v>
      </c>
      <c r="BG53" s="1184" t="s">
        <v>1271</v>
      </c>
      <c r="BH53" s="1232" cm="1" t="str">
        <f t="array" ref="BH53:BH53">AC53</f>
        <v>0</v>
      </c>
      <c r="BI53" s="1187"/>
      <c r="BJ53" s="1187" t="b">
        <v>1</v>
      </c>
    </row>
    <row s="1922" customFormat="1" customHeight="1" ht="10.5">
      <c r="A54" s="220"/>
      <c r="B54" s="220"/>
      <c r="C54" s="220"/>
      <c r="D54" s="220"/>
      <c r="E54" s="797">
        <v>11.4</v>
      </c>
      <c r="F54" s="922" cm="1" t="str">
        <f t="array" ref="F54:F54">OFFSET(G54,-1,-1)</f>
        <v>1</v>
      </c>
      <c r="G54" s="220"/>
      <c r="H54" s="220"/>
      <c r="I54" s="220"/>
      <c r="J54" s="220"/>
      <c r="K54" s="220"/>
      <c r="L54" s="220"/>
      <c r="M54" s="220"/>
      <c r="N54" s="220"/>
      <c r="O54" s="220"/>
      <c r="P54" s="220"/>
      <c r="Q54" s="220"/>
      <c r="R54" s="220"/>
      <c r="S54" s="220"/>
      <c r="T54" s="808" cm="1" t="str">
        <f t="array" ref="T54:T54">T51</f>
        <v>true</v>
      </c>
      <c r="U54" s="220"/>
      <c r="V54" s="220"/>
      <c r="W54" s="374" t="s">
        <v>951</v>
      </c>
      <c r="X54" s="220"/>
      <c r="Y54" s="220"/>
      <c r="Z54" s="220"/>
      <c r="AA54" s="220"/>
      <c r="AB54" s="503"/>
      <c r="AC54" s="303" t="s">
        <v>236</v>
      </c>
      <c r="AD54" s="303"/>
      <c r="AE54" s="303"/>
      <c r="AF54" s="303"/>
      <c r="AG54" s="303"/>
      <c r="AH54" s="303"/>
      <c r="AI54" s="303"/>
      <c r="AJ54" s="303"/>
      <c r="AK54" s="303"/>
      <c r="AL54" s="303"/>
      <c r="AM54" s="303"/>
      <c r="AN54" s="303"/>
      <c r="AO54" s="303"/>
      <c r="AP54" s="303"/>
      <c r="AQ54" s="303"/>
      <c r="AR54" s="303"/>
      <c r="AS54" s="303"/>
      <c r="AT54" s="303"/>
      <c r="AU54" s="303"/>
      <c r="AV54" s="303"/>
      <c r="AW54" s="303"/>
      <c r="AX54" s="303"/>
      <c r="AY54" s="303"/>
      <c r="AZ54" s="303"/>
      <c r="BA54" s="303"/>
      <c r="BB54" s="303"/>
      <c r="BC54" s="304"/>
      <c r="BD54" s="220"/>
      <c r="BE54" s="220"/>
      <c r="BF54" s="1184"/>
      <c r="BG54" s="1184"/>
      <c r="BH54" s="1184"/>
      <c r="BI54" s="1187" t="s">
        <v>1271</v>
      </c>
      <c r="BJ54" s="1187"/>
    </row>
    <row customHeight="1" ht="11.115">
      <c r="E55" s="925">
        <v>11.4</v>
      </c>
      <c r="U55" s="179" t="s">
        <v>236</v>
      </c>
      <c r="V55" s="171" t="s">
        <v>1272</v>
      </c>
      <c r="AB55" s="220"/>
      <c r="AI55" s="220"/>
      <c r="AJ55" s="220"/>
      <c r="AK55" s="220"/>
      <c r="AL55" s="220"/>
      <c r="AM55" s="220"/>
      <c r="AN55" s="220"/>
      <c r="AO55" s="220"/>
      <c r="AP55" s="220"/>
      <c r="AQ55" s="220"/>
      <c r="AR55" s="220"/>
      <c r="AS55" s="220"/>
      <c r="AT55" s="220"/>
      <c r="AU55" s="220"/>
      <c r="AV55" s="220"/>
      <c r="AW55" s="220"/>
      <c r="AX55" s="220"/>
      <c r="AY55" s="220"/>
      <c r="AZ55" s="220"/>
      <c r="BA55" s="220"/>
      <c r="BB55" s="220"/>
    </row>
    <row customHeight="1" ht="11.25" hidden="1">
      <c r="E56" s="925">
        <v>0</v>
      </c>
      <c r="AI56" s="220"/>
      <c r="AJ56" s="220"/>
      <c r="AK56" s="220"/>
      <c r="AL56" s="220"/>
      <c r="AM56" s="220"/>
      <c r="AN56" s="220"/>
      <c r="AO56" s="220"/>
      <c r="AP56" s="220"/>
      <c r="AQ56" s="220"/>
      <c r="AR56" s="220"/>
      <c r="AS56" s="220"/>
      <c r="AT56" s="220"/>
      <c r="AU56" s="220"/>
      <c r="AV56" s="220"/>
      <c r="AW56" s="220"/>
      <c r="AX56" s="220"/>
      <c r="AY56" s="220"/>
      <c r="AZ56" s="220"/>
      <c r="BA56" s="220"/>
      <c r="BB56" s="220"/>
    </row>
    <row s="500" customFormat="1" customHeight="1" ht="14.625">
      <c r="A57" s="175"/>
      <c r="B57" s="788"/>
      <c r="C57" s="175"/>
      <c r="D57" s="175"/>
      <c r="E57" s="797">
        <v>15</v>
      </c>
      <c r="F57" s="175"/>
      <c r="Q57" s="739"/>
      <c r="R57" s="739"/>
      <c r="T57" s="175"/>
      <c r="U57" s="175"/>
      <c r="V57" s="175"/>
      <c r="W57" s="175"/>
      <c r="X57" s="175"/>
      <c r="Y57" s="175"/>
      <c r="Z57" s="175"/>
      <c r="AB57" s="1530" t="s">
        <v>705</v>
      </c>
      <c r="AC57" s="1530"/>
      <c r="AD57" s="1530"/>
      <c r="AE57" s="1530"/>
      <c r="AF57" s="1530"/>
      <c r="AG57" s="1530"/>
      <c r="AH57" s="1530"/>
      <c r="AI57" s="1531"/>
      <c r="AJ57" s="1531"/>
      <c r="AK57" s="1531"/>
      <c r="AL57" s="1531"/>
      <c r="AM57" s="1531"/>
      <c r="AN57" s="1531"/>
      <c r="AO57" s="1531"/>
      <c r="AP57" s="1531"/>
      <c r="AQ57" s="1531"/>
      <c r="AR57" s="1531"/>
      <c r="AS57" s="1531"/>
      <c r="AT57" s="1531"/>
      <c r="AU57" s="1531"/>
      <c r="AV57" s="1531"/>
      <c r="AW57" s="1531"/>
      <c r="AX57" s="1531"/>
      <c r="AY57" s="1531"/>
      <c r="AZ57" s="1531"/>
      <c r="BA57" s="1531"/>
      <c r="BB57" s="1531"/>
      <c r="BC57" s="1531"/>
      <c r="BF57" s="1184"/>
      <c r="BG57" s="1184"/>
      <c r="BH57" s="1184"/>
      <c r="BI57" s="1187"/>
      <c r="BJ57" s="1187"/>
    </row>
    <row s="500" customFormat="1" customHeight="1" ht="14.625">
      <c r="A58" s="175"/>
      <c r="B58" s="788"/>
      <c r="C58" s="175"/>
      <c r="D58" s="175"/>
      <c r="E58" s="797">
        <v>15</v>
      </c>
      <c r="F58" s="175"/>
      <c r="Q58" s="739"/>
      <c r="R58" s="739"/>
      <c r="T58" s="175"/>
      <c r="U58" s="175"/>
      <c r="V58" s="175"/>
      <c r="W58" s="175"/>
      <c r="X58" s="175"/>
      <c r="Y58" s="175"/>
      <c r="Z58" s="175"/>
      <c r="AA58" s="921"/>
      <c r="AB58" s="1532"/>
      <c r="AC58" s="1532"/>
      <c r="AD58" s="1532"/>
      <c r="AE58" s="1532"/>
      <c r="AF58" s="1532"/>
      <c r="AG58" s="1532"/>
      <c r="AH58" s="1532"/>
      <c r="AI58" s="1533"/>
      <c r="AJ58" s="1883"/>
      <c r="AK58" s="1883"/>
      <c r="AL58" s="1883"/>
      <c r="AM58" s="1883"/>
      <c r="AN58" s="1883"/>
      <c r="AO58" s="1883"/>
      <c r="AP58" s="1883"/>
      <c r="AQ58" s="1883"/>
      <c r="AR58" s="1883"/>
      <c r="AS58" s="1533"/>
      <c r="AT58" s="1883"/>
      <c r="AU58" s="1883"/>
      <c r="AV58" s="1883"/>
      <c r="AW58" s="1883"/>
      <c r="AX58" s="1883"/>
      <c r="AY58" s="1883"/>
      <c r="AZ58" s="1883"/>
      <c r="BA58" s="1883"/>
      <c r="BB58" s="1883"/>
      <c r="BC58" s="1533"/>
      <c r="BF58" s="1184"/>
      <c r="BG58" s="1184"/>
      <c r="BH58" s="1184"/>
      <c r="BI58" s="1187"/>
      <c r="BJ58" s="1187"/>
    </row>
    <row s="500" customFormat="1" customHeight="1" ht="14.625" hidden="1">
      <c r="A59" s="175"/>
      <c r="B59" s="788"/>
      <c r="C59" s="175"/>
      <c r="D59" s="175"/>
      <c r="E59" s="797">
        <v>15</v>
      </c>
      <c r="F59" s="175"/>
      <c r="G59" s="500"/>
      <c r="H59" s="500"/>
      <c r="I59" s="500"/>
      <c r="J59" s="500"/>
      <c r="K59" s="500"/>
      <c r="L59" s="500"/>
      <c r="M59" s="500"/>
      <c r="N59" s="500"/>
      <c r="O59" s="500"/>
      <c r="P59" s="500"/>
      <c r="Q59" s="739"/>
      <c r="R59" s="739"/>
      <c r="S59" s="500"/>
      <c r="T59" s="808">
        <f>ROW(W59)&gt;ROW(W$59)</f>
        <v>0</v>
      </c>
      <c r="U59" s="175"/>
      <c r="V59" s="179"/>
      <c r="W59" s="175" t="s">
        <v>234</v>
      </c>
      <c r="X59" s="175"/>
      <c r="Y59" s="175"/>
      <c r="Z59" s="175"/>
      <c r="AA59" s="917" t="s">
        <v>218</v>
      </c>
      <c r="AB59" s="1884"/>
      <c r="AC59" s="1884"/>
      <c r="AD59" s="1884"/>
      <c r="AE59" s="1884"/>
      <c r="AF59" s="1884"/>
      <c r="AG59" s="1884"/>
      <c r="AH59" s="1884"/>
      <c r="AI59" s="1533"/>
      <c r="AJ59" s="1883"/>
      <c r="AK59" s="1883"/>
      <c r="AL59" s="1883"/>
      <c r="AM59" s="1883"/>
      <c r="AN59" s="1883"/>
      <c r="AO59" s="1883"/>
      <c r="AP59" s="1883"/>
      <c r="AQ59" s="1883"/>
      <c r="AR59" s="1883"/>
      <c r="AS59" s="1533"/>
      <c r="AT59" s="1883"/>
      <c r="AU59" s="1883"/>
      <c r="AV59" s="1883"/>
      <c r="AW59" s="1883"/>
      <c r="AX59" s="1883"/>
      <c r="AY59" s="1883"/>
      <c r="AZ59" s="1883"/>
      <c r="BA59" s="1883"/>
      <c r="BB59" s="1883"/>
      <c r="BC59" s="1883"/>
      <c r="BD59" s="500"/>
      <c r="BE59" s="500"/>
      <c r="BF59" s="1184"/>
      <c r="BG59" s="1184"/>
      <c r="BH59" s="1184"/>
      <c r="BI59" s="1187"/>
      <c r="BJ59" s="1187"/>
    </row>
    <row s="500" customFormat="1" customHeight="1" ht="14.625">
      <c r="A60" s="175"/>
      <c r="B60" s="788"/>
      <c r="C60" s="175"/>
      <c r="D60" s="175"/>
      <c r="E60" s="797">
        <v>15</v>
      </c>
      <c r="F60" s="175"/>
      <c r="Q60" s="739"/>
      <c r="R60" s="739"/>
      <c r="T60" s="175"/>
      <c r="U60" s="175"/>
      <c r="V60" s="175"/>
      <c r="W60" s="171" t="s">
        <v>1273</v>
      </c>
      <c r="X60" s="175"/>
      <c r="Y60" s="175"/>
      <c r="Z60" s="175"/>
      <c r="AB60" s="1478" t="s">
        <v>706</v>
      </c>
      <c r="AC60" s="1479"/>
      <c r="AD60" s="383"/>
      <c r="AE60" s="383"/>
      <c r="AF60" s="384"/>
      <c r="AG60" s="384"/>
      <c r="AH60" s="384"/>
      <c r="AI60" s="384"/>
      <c r="AJ60" s="384"/>
      <c r="AK60" s="384"/>
      <c r="AL60" s="384"/>
      <c r="AM60" s="384"/>
      <c r="AN60" s="384"/>
      <c r="AO60" s="384"/>
      <c r="AP60" s="384"/>
      <c r="AQ60" s="384"/>
      <c r="AR60" s="384"/>
      <c r="AS60" s="384"/>
      <c r="AT60" s="384"/>
      <c r="AU60" s="384"/>
      <c r="AV60" s="384"/>
      <c r="AW60" s="384"/>
      <c r="AX60" s="384"/>
      <c r="AY60" s="384"/>
      <c r="AZ60" s="384"/>
      <c r="BA60" s="384"/>
      <c r="BB60" s="384"/>
      <c r="BC60" s="385"/>
      <c r="BF60" s="1184"/>
      <c r="BG60" s="1184"/>
      <c r="BH60" s="1184"/>
      <c r="BI60" s="1187"/>
      <c r="BJ60" s="1187"/>
    </row>
    <row customHeight="1" ht="11.25">
      <c r="AI61" s="220"/>
      <c r="AJ61" s="220"/>
      <c r="AK61" s="220"/>
      <c r="AL61" s="220"/>
      <c r="AM61" s="220"/>
      <c r="AN61" s="220"/>
      <c r="AO61" s="220"/>
      <c r="AP61" s="220"/>
      <c r="AQ61" s="220"/>
      <c r="AR61" s="220"/>
      <c r="AS61" s="220"/>
      <c r="AT61" s="220"/>
      <c r="AU61" s="220"/>
      <c r="AV61" s="220"/>
      <c r="AW61" s="220"/>
      <c r="AX61" s="220"/>
      <c r="AY61" s="220"/>
      <c r="AZ61" s="220"/>
      <c r="BA61" s="220"/>
      <c r="BB61" s="220"/>
      <c r="BD61" s="220"/>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8AA8F8-00B6-59EA-EAA8-84C51DD8772F}"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3" width="3.57421875" hidden="1" customWidth="1"/>
    <col min="2" max="2" style="927" width="8.57421875" hidden="1" customWidth="1"/>
    <col min="3" max="4" style="1443" width="3.57421875" hidden="1" customWidth="1"/>
    <col min="5" max="5" style="925" width="8.421875" hidden="1" customWidth="1"/>
    <col min="6" max="26" style="1443" width="3.57421875" hidden="1" customWidth="1"/>
    <col min="27" max="27" style="937" width="3.00390625" customWidth="1"/>
    <col min="28" max="28" style="393" width="11.1328125" customWidth="1"/>
    <col min="29" max="29" style="393" width="32.25390625" customWidth="1"/>
    <col min="30" max="30" style="393" width="115.50390625" customWidth="1"/>
    <col min="31" max="31" style="393" width="3.00390625" customWidth="1"/>
    <col min="32" max="32" style="393" width="9.140625" hidden="1"/>
    <col min="33" max="33" style="823" width="18.7109375" hidden="1" customWidth="1"/>
  </cols>
  <sheetData>
    <row s="1443" customFormat="1" customHeight="1" ht="12" hidden="1">
      <c r="B1" s="788"/>
      <c r="E1" s="788"/>
    </row>
    <row s="927" customFormat="1" customHeight="1" ht="12" hidden="1">
      <c r="B2" s="910" t="s">
        <v>15</v>
      </c>
    </row>
    <row s="1443" customFormat="1" customHeight="1" ht="12" hidden="1">
      <c r="B3" s="788"/>
      <c r="E3" s="788"/>
    </row>
    <row s="1443" customFormat="1" customHeight="1" ht="12" hidden="1">
      <c r="B4" s="788"/>
      <c r="E4" s="788"/>
    </row>
    <row s="925" customFormat="1" customHeight="1" ht="12" hidden="1">
      <c r="A5" s="788"/>
      <c r="B5" s="788"/>
      <c r="C5" s="788"/>
      <c r="D5" s="788"/>
      <c r="E5" s="797" t="s">
        <v>16</v>
      </c>
      <c r="AA5" s="797">
        <v>3</v>
      </c>
      <c r="AB5" s="797">
        <v>11.13</v>
      </c>
      <c r="AC5" s="797">
        <v>32.25</v>
      </c>
      <c r="AD5" s="797">
        <v>115.5</v>
      </c>
      <c r="AE5" s="797">
        <v>3</v>
      </c>
    </row>
    <row s="1443" customFormat="1" customHeight="1" ht="12" hidden="1">
      <c r="B6" s="788"/>
      <c r="E6" s="797"/>
    </row>
    <row s="965" customFormat="1" customHeight="1" ht="12" hidden="1">
      <c r="A7" s="179"/>
      <c r="B7" s="788"/>
      <c r="C7" s="179"/>
      <c r="D7" s="179"/>
      <c r="E7" s="797"/>
    </row>
    <row s="965" customFormat="1" customHeight="1" ht="12" hidden="1">
      <c r="A8" s="179"/>
      <c r="B8" s="788"/>
      <c r="C8" s="179"/>
      <c r="D8" s="179"/>
      <c r="E8" s="797"/>
    </row>
    <row s="1443" customFormat="1" customHeight="1" ht="12" hidden="1">
      <c r="B9" s="788"/>
      <c r="E9" s="797"/>
    </row>
    <row s="1443" customFormat="1" customHeight="1" ht="12" hidden="1">
      <c r="B10" s="788"/>
      <c r="E10" s="797"/>
    </row>
    <row s="1443" customFormat="1" customHeight="1" ht="12" hidden="1">
      <c r="B11" s="788"/>
      <c r="E11" s="797"/>
    </row>
    <row s="1443" customFormat="1" customHeight="1" ht="12" hidden="1">
      <c r="B12" s="788"/>
      <c r="E12" s="797"/>
    </row>
    <row s="1443" customFormat="1" customHeight="1" ht="12" hidden="1">
      <c r="B13" s="788"/>
      <c r="E13" s="797"/>
    </row>
    <row s="1443" customFormat="1" customHeight="1" ht="12" hidden="1">
      <c r="B14" s="788"/>
      <c r="E14" s="797"/>
    </row>
    <row s="1443" customFormat="1" customHeight="1" ht="12" hidden="1">
      <c r="B15" s="788"/>
      <c r="E15" s="797"/>
    </row>
    <row s="1443" customFormat="1" customHeight="1" ht="12" hidden="1">
      <c r="B16" s="788"/>
      <c r="E16" s="797"/>
    </row>
    <row s="1443" customFormat="1" customHeight="1" ht="12" hidden="1">
      <c r="B17" s="788"/>
      <c r="E17" s="797"/>
    </row>
    <row s="1443" customFormat="1" customHeight="1" ht="12" hidden="1">
      <c r="B18" s="788"/>
      <c r="E18" s="797"/>
    </row>
    <row s="1443" customFormat="1" customHeight="1" ht="12" hidden="1">
      <c r="B19" s="788"/>
      <c r="E19" s="797"/>
    </row>
    <row s="1443" customFormat="1" customHeight="1" ht="12" hidden="1">
      <c r="B20" s="788"/>
      <c r="E20" s="797"/>
    </row>
    <row s="937" customFormat="1" customHeight="1" ht="12.87">
      <c r="A21" s="179"/>
      <c r="B21" s="788"/>
      <c r="C21" s="179"/>
      <c r="D21" s="179"/>
      <c r="E21" s="797">
        <v>13.2</v>
      </c>
      <c r="F21" s="179"/>
      <c r="G21" s="179"/>
      <c r="H21" s="179"/>
      <c r="I21" s="179"/>
      <c r="J21" s="179"/>
      <c r="K21" s="179"/>
      <c r="L21" s="179"/>
      <c r="M21" s="179"/>
      <c r="N21" s="179"/>
      <c r="O21" s="179"/>
      <c r="P21" s="179"/>
      <c r="Q21" s="179"/>
      <c r="R21" s="179"/>
      <c r="S21" s="179"/>
      <c r="T21" s="179"/>
      <c r="U21" s="179"/>
      <c r="V21" s="179"/>
      <c r="W21" s="179"/>
      <c r="X21" s="179"/>
      <c r="Y21" s="179"/>
      <c r="Z21" s="179"/>
      <c r="AA21" s="820"/>
      <c r="AG21" s="214"/>
    </row>
    <row customHeight="1" ht="24.2775">
      <c r="E22" s="797">
        <v>24.9</v>
      </c>
      <c r="AB22" s="394" t="s">
        <v>17</v>
      </c>
      <c r="AC22" s="395"/>
      <c r="AD22" s="395"/>
    </row>
    <row customHeight="1" ht="16.0875">
      <c r="E23" s="797">
        <v>16.5</v>
      </c>
      <c r="AB23" s="399" t="s">
        <v>18</v>
      </c>
    </row>
    <row customHeight="1" ht="34.4175">
      <c r="B24" s="1017" t="b">
        <v>1</v>
      </c>
      <c r="E24" s="797">
        <v>35.3</v>
      </c>
      <c r="H24" s="179">
        <v>2</v>
      </c>
      <c r="AB24" s="396" t="s">
        <v>19</v>
      </c>
      <c r="AC24" s="397" t="s">
        <v>20</v>
      </c>
      <c r="AD24" s="398" t="s">
        <v>21</v>
      </c>
    </row>
    <row customHeight="1" ht="37.3425">
      <c r="B25" s="1017" t="b">
        <v>1</v>
      </c>
      <c r="E25" s="797">
        <v>38.3</v>
      </c>
      <c r="H25" s="179">
        <f>IF(B24,H24+1,H24)</f>
        <v>3</v>
      </c>
      <c r="AB25" s="396" t="s">
        <v>19</v>
      </c>
      <c r="AC25" s="397" t="s">
        <v>22</v>
      </c>
      <c r="AD25" s="398" t="s">
        <v>23</v>
      </c>
    </row>
    <row customHeight="1" ht="27.202499999999997">
      <c r="B26" s="1017" t="b">
        <v>1</v>
      </c>
      <c r="E26" s="797">
        <v>27.9</v>
      </c>
      <c r="H26" s="179">
        <f>IF(B25,H25+1,H25)</f>
        <v>4</v>
      </c>
      <c r="AB26" s="396" t="s">
        <v>19</v>
      </c>
      <c r="AC26" s="397" t="s">
        <v>24</v>
      </c>
      <c r="AD26" s="398" t="s">
        <v>25</v>
      </c>
    </row>
    <row customHeight="1" ht="27.202499999999997">
      <c r="B27" s="1017">
        <f>AND(NOT(method_reg="Метод экономически обоснованных расходов"),NOT(method_reg="Метод сравнения аналогов"))</f>
        <v>1</v>
      </c>
      <c r="E27" s="797">
        <v>27.9</v>
      </c>
      <c r="H27" s="179">
        <f>IF(B26,H26+1,H26)</f>
        <v>5</v>
      </c>
      <c r="AB27" s="396" t="s">
        <v>19</v>
      </c>
      <c r="AC27" s="397" t="s">
        <v>26</v>
      </c>
      <c r="AD27" s="398" t="s">
        <v>27</v>
      </c>
    </row>
    <row customHeight="1" ht="27.202499999999997">
      <c r="B28" s="1017">
        <f>NOT(method_reg="Метод сравнения аналогов")</f>
        <v>1</v>
      </c>
      <c r="E28" s="797">
        <v>27.9</v>
      </c>
      <c r="H28" s="179">
        <f>IF(B27,H27+1,H27)</f>
        <v>6</v>
      </c>
      <c r="AB28" s="396" t="s">
        <v>19</v>
      </c>
      <c r="AC28" s="397" t="s">
        <v>28</v>
      </c>
      <c r="AD28" s="398" t="s">
        <v>29</v>
      </c>
    </row>
    <row customHeight="1" ht="27.75" hidden="1">
      <c r="A29" s="1443"/>
      <c r="B29" s="1017">
        <f>(method_reg="Метод сравнения аналогов")</f>
        <v>0</v>
      </c>
      <c r="C29" s="1443"/>
      <c r="D29" s="1443"/>
      <c r="E29" s="925"/>
      <c r="F29" s="1443"/>
      <c r="G29" s="1443"/>
      <c r="H29" s="179">
        <f>IF(B28,H28+1,H28)</f>
        <v>7</v>
      </c>
      <c r="I29" s="1443"/>
      <c r="J29" s="1443"/>
      <c r="K29" s="1443"/>
      <c r="L29" s="1443"/>
      <c r="M29" s="1443"/>
      <c r="N29" s="1443"/>
      <c r="O29" s="1443"/>
      <c r="P29" s="1443"/>
      <c r="Q29" s="1443"/>
      <c r="R29" s="1443"/>
      <c r="S29" s="1443"/>
      <c r="T29" s="1443"/>
      <c r="U29" s="1443"/>
      <c r="V29" s="1443"/>
      <c r="W29" s="1443"/>
      <c r="X29" s="1443"/>
      <c r="Y29" s="1443"/>
      <c r="Z29" s="1443"/>
      <c r="AA29" s="937"/>
      <c r="AB29" s="396" t="s">
        <v>30</v>
      </c>
      <c r="AC29" s="397" t="s">
        <v>31</v>
      </c>
      <c r="AD29" s="398" t="s">
        <v>29</v>
      </c>
      <c r="AE29" s="393"/>
      <c r="AF29" s="393"/>
      <c r="AG29" s="823"/>
    </row>
    <row customHeight="1" ht="27.202499999999997">
      <c r="A30" s="1443"/>
      <c r="B30" s="1017" cm="1" t="str">
        <f t="array" ref="B30:B30">'Баланс Пр'!$A$1</f>
        <v>true</v>
      </c>
      <c r="C30" s="1443"/>
      <c r="D30" s="1443"/>
      <c r="E30" s="797">
        <v>27.9</v>
      </c>
      <c r="F30" s="1443"/>
      <c r="G30" s="1443"/>
      <c r="H30" s="179" cm="1" t="str">
        <f t="array" ref="H30:H30">IF(B29,H29+1,H29)</f>
        <v>7</v>
      </c>
      <c r="I30" s="1443"/>
      <c r="J30" s="1443"/>
      <c r="K30" s="1443"/>
      <c r="L30" s="1443"/>
      <c r="M30" s="1443"/>
      <c r="N30" s="1443"/>
      <c r="O30" s="1443"/>
      <c r="P30" s="1443"/>
      <c r="Q30" s="1443"/>
      <c r="R30" s="1443"/>
      <c r="S30" s="1443"/>
      <c r="T30" s="1443"/>
      <c r="U30" s="1443"/>
      <c r="V30" s="1443"/>
      <c r="W30" s="1443"/>
      <c r="X30" s="1443"/>
      <c r="Y30" s="1443"/>
      <c r="Z30" s="1443"/>
      <c r="AA30" s="937"/>
      <c r="AB30" s="396" t="s">
        <v>19</v>
      </c>
      <c r="AC30" s="397" t="s">
        <v>32</v>
      </c>
      <c r="AD30" s="411" t="s">
        <v>33</v>
      </c>
      <c r="AE30" s="393"/>
      <c r="AF30" s="393"/>
      <c r="AG30" s="823"/>
    </row>
    <row customHeight="1" ht="27.202499999999997" hidden="1">
      <c r="A31" s="1443"/>
      <c r="B31" s="1017" cm="1" t="str">
        <f t="array" ref="B31:B31">'Баланс Тр'!$A$1</f>
        <v>false</v>
      </c>
      <c r="C31" s="1443"/>
      <c r="D31" s="1443"/>
      <c r="E31" s="797">
        <v>27.9</v>
      </c>
      <c r="F31" s="1443"/>
      <c r="G31" s="1443"/>
      <c r="H31" s="179">
        <f>IF(B30,H30+1,H30)</f>
        <v>8</v>
      </c>
      <c r="I31" s="1443"/>
      <c r="J31" s="1443"/>
      <c r="K31" s="1443"/>
      <c r="L31" s="1443"/>
      <c r="M31" s="1443"/>
      <c r="N31" s="1443"/>
      <c r="O31" s="1443"/>
      <c r="P31" s="1443"/>
      <c r="Q31" s="1443"/>
      <c r="R31" s="1443"/>
      <c r="S31" s="1443"/>
      <c r="T31" s="1443"/>
      <c r="U31" s="1443"/>
      <c r="V31" s="1443"/>
      <c r="W31" s="1443"/>
      <c r="X31" s="1443"/>
      <c r="Y31" s="1443"/>
      <c r="Z31" s="1443"/>
      <c r="AA31" s="937"/>
      <c r="AB31" s="396" t="s">
        <v>30</v>
      </c>
      <c r="AC31" s="397" t="s">
        <v>34</v>
      </c>
      <c r="AD31" s="398" t="s">
        <v>35</v>
      </c>
      <c r="AE31" s="393"/>
      <c r="AF31" s="393"/>
      <c r="AG31" s="823"/>
    </row>
    <row customHeight="1" ht="27.202499999999997">
      <c r="B32" s="1017">
        <f>NOT(method_reg="Метод сравнения аналогов")</f>
        <v>1</v>
      </c>
      <c r="E32" s="797">
        <v>27.9</v>
      </c>
      <c r="H32" s="179" cm="1" t="str">
        <f t="array" ref="H32:H32">IF(B31,H31+1,H31)</f>
        <v>8</v>
      </c>
      <c r="AB32" s="396" t="s">
        <v>19</v>
      </c>
      <c r="AC32" s="397" t="s">
        <v>36</v>
      </c>
      <c r="AD32" s="397" t="s">
        <v>37</v>
      </c>
    </row>
    <row customHeight="1" ht="27.202499999999997">
      <c r="B33" s="1017">
        <f>NOT(method_reg="Метод сравнения аналогов")</f>
        <v>1</v>
      </c>
      <c r="E33" s="797">
        <v>27.9</v>
      </c>
      <c r="H33" s="179">
        <f>IF(B32,H32+1,H32)</f>
        <v>9</v>
      </c>
      <c r="AB33" s="396" t="s">
        <v>19</v>
      </c>
      <c r="AC33" s="397" t="s">
        <v>38</v>
      </c>
      <c r="AD33" s="398" t="s">
        <v>39</v>
      </c>
    </row>
    <row customHeight="1" ht="27.202499999999997">
      <c r="B34" s="1017">
        <f>NOT(method_reg="Метод сравнения аналогов")</f>
        <v>1</v>
      </c>
      <c r="E34" s="797">
        <v>27.9</v>
      </c>
      <c r="H34" s="179">
        <f>IF(B33,H33+1,H33)</f>
        <v>10</v>
      </c>
      <c r="AB34" s="396" t="s">
        <v>19</v>
      </c>
      <c r="AC34" s="397" t="s">
        <v>40</v>
      </c>
      <c r="AD34" s="398" t="s">
        <v>41</v>
      </c>
    </row>
    <row customHeight="1" ht="27.202499999999997">
      <c r="B35" s="1017">
        <f>NOT(method_reg="Метод сравнения аналогов")</f>
        <v>1</v>
      </c>
      <c r="E35" s="797">
        <v>27.9</v>
      </c>
      <c r="H35" s="179">
        <f>IF(B34,H34+1,H34)</f>
        <v>11</v>
      </c>
      <c r="AB35" s="396" t="s">
        <v>19</v>
      </c>
      <c r="AC35" s="397" t="s">
        <v>42</v>
      </c>
      <c r="AD35" s="398" t="s">
        <v>43</v>
      </c>
    </row>
    <row customHeight="1" ht="27.202499999999997">
      <c r="B36" s="1017">
        <f>NOT(method_reg="Метод сравнения аналогов")</f>
        <v>1</v>
      </c>
      <c r="E36" s="797">
        <v>27.9</v>
      </c>
      <c r="H36" s="179">
        <f>IF(B35,H35+1,H35)</f>
        <v>12</v>
      </c>
      <c r="AB36" s="396" t="s">
        <v>19</v>
      </c>
      <c r="AC36" s="397" t="s">
        <v>44</v>
      </c>
      <c r="AD36" s="397" t="s">
        <v>45</v>
      </c>
    </row>
    <row customHeight="1" ht="27.202499999999997">
      <c r="B37" s="1017">
        <f>NOT(method_reg="Метод сравнения аналогов")</f>
        <v>1</v>
      </c>
      <c r="E37" s="797">
        <v>27.9</v>
      </c>
      <c r="H37" s="179">
        <f>IF(B36,H36+1,H36)</f>
        <v>13</v>
      </c>
      <c r="AB37" s="396" t="s">
        <v>19</v>
      </c>
      <c r="AC37" s="397" t="s">
        <v>46</v>
      </c>
      <c r="AD37" s="397" t="s">
        <v>47</v>
      </c>
    </row>
    <row customHeight="1" ht="27.202499999999997">
      <c r="B38" s="1017">
        <f>NOT(method_reg="Метод сравнения аналогов")</f>
        <v>1</v>
      </c>
      <c r="E38" s="797">
        <v>27.9</v>
      </c>
      <c r="H38" s="179">
        <f>IF(B37,H37+1,H37)</f>
        <v>14</v>
      </c>
      <c r="AB38" s="396" t="s">
        <v>19</v>
      </c>
      <c r="AC38" s="397" t="s">
        <v>48</v>
      </c>
      <c r="AD38" s="411" t="s">
        <v>49</v>
      </c>
    </row>
    <row customHeight="1" ht="27.105">
      <c r="B39" s="1017">
        <f>NOT(method_reg="Метод сравнения аналогов")</f>
        <v>1</v>
      </c>
      <c r="E39" s="797">
        <v>27.8</v>
      </c>
      <c r="H39" s="179">
        <f>IF(B38,H38+1,H38)</f>
        <v>15</v>
      </c>
      <c r="AB39" s="396" t="s">
        <v>19</v>
      </c>
      <c r="AC39" s="397" t="s">
        <v>50</v>
      </c>
      <c r="AD39" s="397" t="s">
        <v>51</v>
      </c>
    </row>
    <row customHeight="1" ht="28.567500000000006">
      <c r="B40" s="1017">
        <f>NOT(method_reg="Метод сравнения аналогов")</f>
        <v>1</v>
      </c>
      <c r="E40" s="797">
        <v>29.3</v>
      </c>
      <c r="H40" s="179">
        <f>IF(B39,H39+1,H39)</f>
        <v>16</v>
      </c>
      <c r="AB40" s="396" t="s">
        <v>19</v>
      </c>
      <c r="AC40" s="397" t="s">
        <v>52</v>
      </c>
      <c r="AD40" s="398" t="s">
        <v>53</v>
      </c>
    </row>
    <row customHeight="1" ht="27.202499999999997">
      <c r="A41" s="1443"/>
      <c r="B41" s="1017">
        <f>OR(method_reg="Метод индексации",method_reg="Метод обеспечения доходности инвестированного капитала")</f>
        <v>1</v>
      </c>
      <c r="C41" s="1443"/>
      <c r="D41" s="1443"/>
      <c r="E41" s="797">
        <v>27.9</v>
      </c>
      <c r="F41" s="1443"/>
      <c r="G41" s="1443"/>
      <c r="H41" s="179">
        <f>IF(B40,H40+1,H40)</f>
        <v>17</v>
      </c>
      <c r="I41" s="1443"/>
      <c r="J41" s="1443"/>
      <c r="K41" s="1443"/>
      <c r="L41" s="1443"/>
      <c r="M41" s="1443"/>
      <c r="N41" s="1443"/>
      <c r="O41" s="1443"/>
      <c r="P41" s="1443"/>
      <c r="Q41" s="1443"/>
      <c r="R41" s="1443"/>
      <c r="S41" s="1443"/>
      <c r="T41" s="1443"/>
      <c r="U41" s="1443"/>
      <c r="V41" s="1443"/>
      <c r="W41" s="1443"/>
      <c r="X41" s="1443"/>
      <c r="Y41" s="1443"/>
      <c r="Z41" s="1443"/>
      <c r="AA41" s="937"/>
      <c r="AB41" s="396" t="s">
        <v>19</v>
      </c>
      <c r="AC41" s="397" t="s">
        <v>54</v>
      </c>
      <c r="AD41" s="398" t="s">
        <v>55</v>
      </c>
      <c r="AE41" s="393"/>
      <c r="AF41" s="393"/>
      <c r="AG41" s="823"/>
    </row>
    <row customHeight="1" ht="27.202499999999997">
      <c r="A42" s="1443"/>
      <c r="B42" s="1017">
        <f>OR(method_reg="Метод индексации",method_reg="Метод обеспечения доходности инвестированного капитала")</f>
        <v>1</v>
      </c>
      <c r="C42" s="1443"/>
      <c r="D42" s="1443"/>
      <c r="E42" s="797">
        <v>27.9</v>
      </c>
      <c r="F42" s="1443"/>
      <c r="G42" s="1443"/>
      <c r="H42" s="179">
        <f>IF(B41,H41+1,H41)</f>
        <v>18</v>
      </c>
      <c r="I42" s="1443"/>
      <c r="J42" s="1443"/>
      <c r="K42" s="1443"/>
      <c r="L42" s="1443"/>
      <c r="M42" s="1443"/>
      <c r="N42" s="1443"/>
      <c r="O42" s="1443"/>
      <c r="P42" s="1443"/>
      <c r="Q42" s="1443"/>
      <c r="R42" s="1443"/>
      <c r="S42" s="1443"/>
      <c r="T42" s="1443"/>
      <c r="U42" s="1443"/>
      <c r="V42" s="1443"/>
      <c r="W42" s="1443"/>
      <c r="X42" s="1443"/>
      <c r="Y42" s="1443"/>
      <c r="Z42" s="1443"/>
      <c r="AA42" s="937"/>
      <c r="AB42" s="396" t="s">
        <v>19</v>
      </c>
      <c r="AC42" s="397" t="s">
        <v>56</v>
      </c>
      <c r="AD42" s="398" t="s">
        <v>57</v>
      </c>
      <c r="AE42" s="393"/>
      <c r="AF42" s="393"/>
      <c r="AG42" s="823"/>
    </row>
    <row customHeight="1" ht="27.202499999999997">
      <c r="A43" s="1443"/>
      <c r="B43" s="1017">
        <f>OR(method_reg="Метод индексации",method_reg="Метод обеспечения доходности инвестированного капитала")</f>
        <v>1</v>
      </c>
      <c r="C43" s="1443"/>
      <c r="D43" s="1443"/>
      <c r="E43" s="797">
        <v>27.9</v>
      </c>
      <c r="F43" s="1443"/>
      <c r="G43" s="1443"/>
      <c r="H43" s="179">
        <f>IF(B42,H42+1,H42)</f>
        <v>19</v>
      </c>
      <c r="I43" s="1443"/>
      <c r="J43" s="1443"/>
      <c r="K43" s="1443"/>
      <c r="L43" s="1443"/>
      <c r="M43" s="1443"/>
      <c r="N43" s="1443"/>
      <c r="O43" s="1443"/>
      <c r="P43" s="1443"/>
      <c r="Q43" s="1443"/>
      <c r="R43" s="1443"/>
      <c r="S43" s="1443"/>
      <c r="T43" s="1443"/>
      <c r="U43" s="1443"/>
      <c r="V43" s="1443"/>
      <c r="W43" s="1443"/>
      <c r="X43" s="1443"/>
      <c r="Y43" s="1443"/>
      <c r="Z43" s="1443"/>
      <c r="AA43" s="937"/>
      <c r="AB43" s="396" t="s">
        <v>19</v>
      </c>
      <c r="AC43" s="397" t="s">
        <v>58</v>
      </c>
      <c r="AD43" s="398" t="s">
        <v>59</v>
      </c>
      <c r="AE43" s="393"/>
      <c r="AF43" s="393"/>
      <c r="AG43" s="823"/>
    </row>
    <row customHeight="1" ht="27.202499999999997">
      <c r="A44" s="1443"/>
      <c r="B44" s="1017">
        <f>OR(method_reg="Метод индексации",method_reg="Метод обеспечения доходности инвестированного капитала")</f>
        <v>1</v>
      </c>
      <c r="C44" s="1443"/>
      <c r="D44" s="1443"/>
      <c r="E44" s="797">
        <v>27.9</v>
      </c>
      <c r="F44" s="1443"/>
      <c r="G44" s="1443"/>
      <c r="H44" s="179">
        <f>IF(B43,H43+1,H43)</f>
        <v>20</v>
      </c>
      <c r="I44" s="1443"/>
      <c r="J44" s="1443"/>
      <c r="K44" s="1443"/>
      <c r="L44" s="1443"/>
      <c r="M44" s="1443"/>
      <c r="N44" s="1443"/>
      <c r="O44" s="1443"/>
      <c r="P44" s="1443"/>
      <c r="Q44" s="1443"/>
      <c r="R44" s="1443"/>
      <c r="S44" s="1443"/>
      <c r="T44" s="1443"/>
      <c r="U44" s="1443"/>
      <c r="V44" s="1443"/>
      <c r="W44" s="1443"/>
      <c r="X44" s="1443"/>
      <c r="Y44" s="1443"/>
      <c r="Z44" s="1443"/>
      <c r="AA44" s="937"/>
      <c r="AB44" s="396" t="s">
        <v>19</v>
      </c>
      <c r="AC44" s="397" t="s">
        <v>60</v>
      </c>
      <c r="AD44" s="398" t="s">
        <v>61</v>
      </c>
      <c r="AE44" s="393"/>
      <c r="AF44" s="393"/>
      <c r="AG44" s="823"/>
    </row>
    <row customHeight="1" ht="27.202499999999997">
      <c r="A45" s="1443"/>
      <c r="B45" s="1017">
        <f>OR(method_reg="Метод индексации",method_reg="Метод обеспечения доходности инвестированного капитала")</f>
        <v>1</v>
      </c>
      <c r="C45" s="1443"/>
      <c r="D45" s="1443"/>
      <c r="E45" s="797">
        <v>27.9</v>
      </c>
      <c r="F45" s="1443"/>
      <c r="G45" s="1443"/>
      <c r="H45" s="179">
        <f>IF(B44,H44+1,H44)</f>
        <v>21</v>
      </c>
      <c r="I45" s="1443"/>
      <c r="J45" s="1443"/>
      <c r="K45" s="1443"/>
      <c r="L45" s="1443"/>
      <c r="M45" s="1443"/>
      <c r="N45" s="1443"/>
      <c r="O45" s="1443"/>
      <c r="P45" s="1443"/>
      <c r="Q45" s="1443"/>
      <c r="R45" s="1443"/>
      <c r="S45" s="1443"/>
      <c r="T45" s="1443"/>
      <c r="U45" s="1443"/>
      <c r="V45" s="1443"/>
      <c r="W45" s="1443"/>
      <c r="X45" s="1443"/>
      <c r="Y45" s="1443"/>
      <c r="Z45" s="1443"/>
      <c r="AA45" s="937"/>
      <c r="AB45" s="396" t="s">
        <v>19</v>
      </c>
      <c r="AC45" s="397" t="s">
        <v>62</v>
      </c>
      <c r="AD45" s="398" t="s">
        <v>63</v>
      </c>
      <c r="AE45" s="393"/>
      <c r="AF45" s="393"/>
      <c r="AG45" s="823"/>
    </row>
    <row customHeight="1" ht="27.202499999999997" hidden="1">
      <c r="A46" s="1443"/>
      <c r="B46" s="1017">
        <f>method_reg="Метод экономически обоснованных расходов"</f>
        <v>0</v>
      </c>
      <c r="C46" s="1443"/>
      <c r="D46" s="1443"/>
      <c r="E46" s="797">
        <v>27.9</v>
      </c>
      <c r="F46" s="1443"/>
      <c r="G46" s="1443"/>
      <c r="H46" s="179">
        <f>IF(B45,H45+1,H45)</f>
        <v>22</v>
      </c>
      <c r="I46" s="1443"/>
      <c r="J46" s="1443"/>
      <c r="K46" s="1443"/>
      <c r="L46" s="1443"/>
      <c r="M46" s="1443"/>
      <c r="N46" s="1443"/>
      <c r="O46" s="1443"/>
      <c r="P46" s="1443"/>
      <c r="Q46" s="1443"/>
      <c r="R46" s="1443"/>
      <c r="S46" s="1443"/>
      <c r="T46" s="1443"/>
      <c r="U46" s="1443"/>
      <c r="V46" s="1443"/>
      <c r="W46" s="1443"/>
      <c r="X46" s="1443"/>
      <c r="Y46" s="1443"/>
      <c r="Z46" s="1443"/>
      <c r="AA46" s="937"/>
      <c r="AB46" s="396" t="s">
        <v>30</v>
      </c>
      <c r="AC46" s="397" t="s">
        <v>64</v>
      </c>
      <c r="AD46" s="397" t="s">
        <v>65</v>
      </c>
      <c r="AE46" s="393"/>
      <c r="AF46" s="393"/>
      <c r="AG46" s="823"/>
    </row>
    <row customHeight="1" ht="27.202499999999997">
      <c r="A47" s="1443"/>
      <c r="B47" s="1017">
        <f>OR(method_reg="Метод индексации",method_reg="Метод обеспечения доходности инвестированного капитала")</f>
        <v>1</v>
      </c>
      <c r="C47" s="1443"/>
      <c r="D47" s="1443"/>
      <c r="E47" s="797">
        <v>27.9</v>
      </c>
      <c r="F47" s="1443"/>
      <c r="G47" s="1443"/>
      <c r="H47" s="179" cm="1" t="str">
        <f t="array" ref="H47:H47">IF(B46,H46+1,H46)</f>
        <v>22</v>
      </c>
      <c r="I47" s="1443"/>
      <c r="J47" s="1443"/>
      <c r="K47" s="1443"/>
      <c r="L47" s="1443"/>
      <c r="M47" s="1443"/>
      <c r="N47" s="1443"/>
      <c r="O47" s="1443"/>
      <c r="P47" s="1443"/>
      <c r="Q47" s="1443"/>
      <c r="R47" s="1443"/>
      <c r="S47" s="1443"/>
      <c r="T47" s="1443"/>
      <c r="U47" s="1443"/>
      <c r="V47" s="1443"/>
      <c r="W47" s="1443"/>
      <c r="X47" s="1443"/>
      <c r="Y47" s="1443"/>
      <c r="Z47" s="1443"/>
      <c r="AA47" s="937"/>
      <c r="AB47" s="396" t="s">
        <v>19</v>
      </c>
      <c r="AC47" s="397" t="s">
        <v>66</v>
      </c>
      <c r="AD47" s="398" t="s">
        <v>67</v>
      </c>
      <c r="AE47" s="393"/>
      <c r="AF47" s="393"/>
      <c r="AG47" s="823"/>
    </row>
    <row customHeight="1" ht="27.202499999999997" hidden="1">
      <c r="A48" s="1443"/>
      <c r="B48" s="1017">
        <f>(method_reg="Метод сравнения аналогов")</f>
        <v>0</v>
      </c>
      <c r="C48" s="1443"/>
      <c r="D48" s="1443"/>
      <c r="E48" s="797">
        <v>27.9</v>
      </c>
      <c r="F48" s="1443"/>
      <c r="G48" s="1443"/>
      <c r="H48" s="179">
        <f>IF(B47,H47+1,H47)</f>
        <v>23</v>
      </c>
      <c r="I48" s="1443"/>
      <c r="J48" s="1443"/>
      <c r="K48" s="1443"/>
      <c r="L48" s="1443"/>
      <c r="M48" s="1443"/>
      <c r="N48" s="1443"/>
      <c r="O48" s="1443"/>
      <c r="P48" s="1443"/>
      <c r="Q48" s="1443"/>
      <c r="R48" s="1443"/>
      <c r="S48" s="1443"/>
      <c r="T48" s="1443"/>
      <c r="U48" s="1443"/>
      <c r="V48" s="1443"/>
      <c r="W48" s="1443"/>
      <c r="X48" s="1443"/>
      <c r="Y48" s="1443"/>
      <c r="Z48" s="1443"/>
      <c r="AA48" s="937"/>
      <c r="AB48" s="396" t="s">
        <v>30</v>
      </c>
      <c r="AC48" s="397" t="s">
        <v>68</v>
      </c>
      <c r="AD48" s="411" t="s">
        <v>69</v>
      </c>
      <c r="AE48" s="393"/>
      <c r="AF48" s="393"/>
      <c r="AG48" s="823"/>
    </row>
    <row customHeight="1" ht="27.202499999999997" hidden="1">
      <c r="A49" s="1443"/>
      <c r="B49" s="1017">
        <f>(method_reg="Метод сравнения аналогов")</f>
        <v>0</v>
      </c>
      <c r="C49" s="1443"/>
      <c r="D49" s="1443"/>
      <c r="E49" s="797">
        <v>27.9</v>
      </c>
      <c r="F49" s="1443"/>
      <c r="G49" s="1443"/>
      <c r="H49" s="179" cm="1" t="str">
        <f t="array" ref="H49:H49">IF(B48,H48+1,H48)</f>
        <v>23</v>
      </c>
      <c r="I49" s="1443"/>
      <c r="J49" s="1443"/>
      <c r="K49" s="1443"/>
      <c r="L49" s="1443"/>
      <c r="M49" s="1443"/>
      <c r="N49" s="1443"/>
      <c r="O49" s="1443"/>
      <c r="P49" s="1443"/>
      <c r="Q49" s="1443"/>
      <c r="R49" s="1443"/>
      <c r="S49" s="1443"/>
      <c r="T49" s="1443"/>
      <c r="U49" s="1443"/>
      <c r="V49" s="1443"/>
      <c r="W49" s="1443"/>
      <c r="X49" s="1443"/>
      <c r="Y49" s="1443"/>
      <c r="Z49" s="1443"/>
      <c r="AA49" s="937"/>
      <c r="AB49" s="396" t="s">
        <v>30</v>
      </c>
      <c r="AC49" s="397" t="s">
        <v>70</v>
      </c>
      <c r="AD49" s="411" t="s">
        <v>71</v>
      </c>
      <c r="AE49" s="393"/>
      <c r="AF49" s="393"/>
      <c r="AG49" s="823"/>
    </row>
    <row customHeight="1" ht="27.202499999999997" hidden="1">
      <c r="A50" s="1443"/>
      <c r="B50" s="1017">
        <f>(method_reg="Метод сравнения аналогов")</f>
        <v>0</v>
      </c>
      <c r="C50" s="1443"/>
      <c r="D50" s="1443"/>
      <c r="E50" s="797">
        <v>27.9</v>
      </c>
      <c r="F50" s="1443"/>
      <c r="G50" s="1443"/>
      <c r="H50" s="179" cm="1" t="str">
        <f t="array" ref="H50:H50">IF(B48,H48+1,H48)</f>
        <v>23</v>
      </c>
      <c r="I50" s="1443"/>
      <c r="J50" s="1443"/>
      <c r="K50" s="1443"/>
      <c r="L50" s="1443"/>
      <c r="M50" s="1443"/>
      <c r="N50" s="1443"/>
      <c r="O50" s="1443"/>
      <c r="P50" s="1443"/>
      <c r="Q50" s="1443"/>
      <c r="R50" s="1443"/>
      <c r="S50" s="1443"/>
      <c r="T50" s="1443"/>
      <c r="U50" s="1443"/>
      <c r="V50" s="1443"/>
      <c r="W50" s="1443"/>
      <c r="X50" s="1443"/>
      <c r="Y50" s="1443"/>
      <c r="Z50" s="1443"/>
      <c r="AA50" s="937"/>
      <c r="AB50" s="396" t="s">
        <v>30</v>
      </c>
      <c r="AC50" s="397" t="s">
        <v>72</v>
      </c>
      <c r="AD50" s="398" t="s">
        <v>73</v>
      </c>
      <c r="AE50" s="393"/>
      <c r="AF50" s="393"/>
      <c r="AG50" s="823"/>
    </row>
    <row customHeight="1" ht="27.202499999999997">
      <c r="B51" s="1017">
        <f>NOT(method_reg="Метод сравнения аналогов")</f>
        <v>1</v>
      </c>
      <c r="E51" s="797">
        <v>27.9</v>
      </c>
      <c r="H51" s="179">
        <f>IF(B47,H47+1,H47)</f>
        <v>23</v>
      </c>
      <c r="AB51" s="396" t="s">
        <v>19</v>
      </c>
      <c r="AC51" s="397" t="s">
        <v>74</v>
      </c>
      <c r="AD51" s="398" t="s">
        <v>75</v>
      </c>
    </row>
    <row customHeight="1" ht="27.202499999999997">
      <c r="B52" s="1017">
        <f>NOT(method_reg="Метод сравнения аналогов")</f>
        <v>1</v>
      </c>
      <c r="E52" s="797">
        <v>27.9</v>
      </c>
      <c r="H52" s="179">
        <f>IF(B51,H51+1,H51)</f>
        <v>24</v>
      </c>
      <c r="AB52" s="396" t="s">
        <v>19</v>
      </c>
      <c r="AC52" s="397" t="s">
        <v>76</v>
      </c>
      <c r="AD52" s="398" t="s">
        <v>77</v>
      </c>
    </row>
    <row customHeight="1" ht="27.202499999999997">
      <c r="A53" s="1443"/>
      <c r="B53" s="1017">
        <f>OR(method_reg="Метод индексации",method_reg="Метод обеспечения доходности инвестированного капитала")</f>
        <v>1</v>
      </c>
      <c r="C53" s="1443"/>
      <c r="D53" s="1443"/>
      <c r="E53" s="797">
        <v>27.9</v>
      </c>
      <c r="F53" s="1443"/>
      <c r="G53" s="1443"/>
      <c r="H53" s="179">
        <f>IF(B52,H52+1,H52)</f>
        <v>25</v>
      </c>
      <c r="I53" s="1443"/>
      <c r="J53" s="1443"/>
      <c r="K53" s="1443"/>
      <c r="L53" s="1443"/>
      <c r="M53" s="1443"/>
      <c r="N53" s="1443"/>
      <c r="O53" s="1443"/>
      <c r="P53" s="1443"/>
      <c r="Q53" s="1443"/>
      <c r="R53" s="1443"/>
      <c r="S53" s="1443"/>
      <c r="T53" s="1443"/>
      <c r="U53" s="1443"/>
      <c r="V53" s="1443"/>
      <c r="W53" s="1443"/>
      <c r="X53" s="1443"/>
      <c r="Y53" s="1443"/>
      <c r="Z53" s="1443"/>
      <c r="AA53" s="937"/>
      <c r="AB53" s="396" t="s">
        <v>19</v>
      </c>
      <c r="AC53" s="397" t="s">
        <v>78</v>
      </c>
      <c r="AD53" s="397" t="s">
        <v>79</v>
      </c>
      <c r="AE53" s="393"/>
      <c r="AF53" s="393"/>
      <c r="AG53" s="823"/>
    </row>
    <row customHeight="1" ht="27.75" hidden="1">
      <c r="E54" s="797">
        <v>0</v>
      </c>
      <c r="AB54" s="396"/>
      <c r="AC54" s="397"/>
      <c r="AD54" s="398"/>
    </row>
    <row customHeight="1" ht="12.75">
      <c r="AE55" s="393"/>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13C58-7BB8-A5DA-D178-3D33D7B8F328}"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500" width="3.57421875" hidden="1" customWidth="1"/>
    <col min="17" max="18" style="928" width="3.57421875" hidden="1" customWidth="1"/>
    <col min="19" max="19" style="500" width="3.57421875" hidden="1" customWidth="1"/>
    <col min="20" max="20" style="1582" width="8.42187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220" width="6.1328125" customWidth="1"/>
    <col min="29" max="29" style="220" width="50.1328125" customWidth="1"/>
    <col min="30" max="30" style="220" width="10.1328125" customWidth="1"/>
    <col min="31" max="31" style="220" width="12.6328125" customWidth="1"/>
    <col min="32" max="32" style="220" width="12.6328125" hidden="1" customWidth="1"/>
    <col min="33" max="33" style="220" width="18.1328125" hidden="1" customWidth="1"/>
    <col min="34" max="40" style="220" width="12.6328125" hidden="1" customWidth="1"/>
    <col min="41" max="41" style="220" width="12.6328125" customWidth="1"/>
    <col min="42" max="50" style="220" width="12.6328125" hidden="1" customWidth="1"/>
    <col min="51" max="51" style="220" width="20.1328125" customWidth="1"/>
    <col min="52" max="52" style="220" width="3.00390625" customWidth="1"/>
    <col min="53" max="53" style="220" width="9.140625" hidden="1"/>
    <col min="54" max="54" style="1206" width="9.140625" hidden="1"/>
  </cols>
  <sheetData>
    <row s="1582" customFormat="1" customHeight="1" ht="12" hidden="1">
      <c r="B1" s="788"/>
      <c r="E1" s="788"/>
      <c r="F1" s="819" t="s">
        <v>83</v>
      </c>
      <c r="G1" s="213"/>
      <c r="H1" s="213"/>
      <c r="I1" s="213"/>
      <c r="J1" s="213"/>
      <c r="K1" s="213"/>
      <c r="L1" s="213"/>
      <c r="M1" s="213"/>
      <c r="N1" s="213"/>
      <c r="O1" s="213"/>
      <c r="P1" s="213"/>
      <c r="Q1" s="739"/>
      <c r="R1" s="739"/>
      <c r="S1" s="213"/>
      <c r="T1" s="808" t="s">
        <v>86</v>
      </c>
      <c r="U1" s="808" t="s">
        <v>91</v>
      </c>
      <c r="V1" s="808" t="s">
        <v>87</v>
      </c>
      <c r="W1" s="808" t="s">
        <v>88</v>
      </c>
      <c r="X1" s="808" t="s">
        <v>89</v>
      </c>
      <c r="Y1" s="819" t="s">
        <v>372</v>
      </c>
      <c r="Z1" s="808" t="s">
        <v>93</v>
      </c>
      <c r="AA1" s="819" t="s">
        <v>90</v>
      </c>
      <c r="AB1" s="819" t="s">
        <v>92</v>
      </c>
      <c r="AE1" s="1582"/>
      <c r="AF1" s="1582"/>
      <c r="AG1" s="1582"/>
      <c r="AH1" s="1582"/>
      <c r="AI1" s="1582"/>
      <c r="AJ1" s="1582"/>
      <c r="AK1" s="1582"/>
      <c r="AL1" s="1582"/>
      <c r="AM1" s="1582"/>
      <c r="AN1" s="1582"/>
      <c r="AO1" s="1582"/>
      <c r="AP1" s="1582"/>
      <c r="AQ1" s="1582"/>
      <c r="AR1" s="1582"/>
      <c r="AS1" s="1582"/>
      <c r="AT1" s="1582"/>
      <c r="AU1" s="1582"/>
      <c r="AV1" s="1582"/>
      <c r="AW1" s="1582"/>
      <c r="AX1" s="1582"/>
      <c r="BB1" s="1161" t="s">
        <v>373</v>
      </c>
    </row>
    <row s="927" customFormat="1" customHeight="1" ht="12" hidden="1">
      <c r="B2" s="910" t="s">
        <v>15</v>
      </c>
      <c r="G2" s="930"/>
      <c r="H2" s="930"/>
      <c r="I2" s="930"/>
      <c r="J2" s="930"/>
      <c r="K2" s="930"/>
      <c r="L2" s="930"/>
      <c r="M2" s="930"/>
      <c r="N2" s="930"/>
      <c r="O2" s="930"/>
      <c r="P2" s="930"/>
      <c r="Q2" s="930"/>
      <c r="R2" s="930"/>
      <c r="S2" s="930"/>
      <c r="AE2" s="809">
        <f>AE6&lt;=last_year_vis</f>
        <v>1</v>
      </c>
      <c r="AF2" s="809">
        <f>AF6&lt;=last_year_vis</f>
        <v>0</v>
      </c>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1</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BB2" s="1160"/>
    </row>
    <row s="1582" customFormat="1" customHeight="1" ht="12" hidden="1">
      <c r="B3" s="788"/>
      <c r="E3" s="788"/>
      <c r="G3" s="213"/>
      <c r="H3" s="213"/>
      <c r="I3" s="213"/>
      <c r="J3" s="213"/>
      <c r="K3" s="213"/>
      <c r="L3" s="213"/>
      <c r="M3" s="213"/>
      <c r="N3" s="213"/>
      <c r="O3" s="213"/>
      <c r="P3" s="213"/>
      <c r="Q3" s="739"/>
      <c r="R3" s="739"/>
      <c r="S3" s="213"/>
      <c r="AE3" s="1582"/>
      <c r="AF3" s="1582"/>
      <c r="AG3" s="1582"/>
      <c r="AH3" s="1582"/>
      <c r="AI3" s="1582"/>
      <c r="AJ3" s="1582"/>
      <c r="AK3" s="1582"/>
      <c r="AL3" s="1582"/>
      <c r="AM3" s="1582"/>
      <c r="AN3" s="1582"/>
      <c r="AO3" s="1582"/>
      <c r="AP3" s="1582"/>
      <c r="AQ3" s="1582"/>
      <c r="AR3" s="1582"/>
      <c r="AS3" s="1582"/>
      <c r="AT3" s="1582"/>
      <c r="AU3" s="1582"/>
      <c r="AV3" s="1582"/>
      <c r="AW3" s="1582"/>
      <c r="AX3" s="1582"/>
      <c r="BB3" s="1161"/>
    </row>
    <row s="1582" customFormat="1" customHeight="1" ht="12" hidden="1">
      <c r="B4" s="788"/>
      <c r="E4" s="788"/>
      <c r="G4" s="213"/>
      <c r="H4" s="213"/>
      <c r="I4" s="213"/>
      <c r="J4" s="213"/>
      <c r="K4" s="213"/>
      <c r="L4" s="213"/>
      <c r="M4" s="213"/>
      <c r="N4" s="213"/>
      <c r="O4" s="213"/>
      <c r="P4" s="213"/>
      <c r="Q4" s="739"/>
      <c r="R4" s="739"/>
      <c r="S4" s="213"/>
      <c r="AE4" s="1582"/>
      <c r="AF4" s="1582"/>
      <c r="AG4" s="1582"/>
      <c r="AH4" s="1582"/>
      <c r="AI4" s="1582"/>
      <c r="AJ4" s="1582"/>
      <c r="AK4" s="1582"/>
      <c r="AL4" s="1582"/>
      <c r="AM4" s="1582"/>
      <c r="AN4" s="1582"/>
      <c r="AO4" s="1582"/>
      <c r="AP4" s="1582"/>
      <c r="AQ4" s="1582"/>
      <c r="AR4" s="1582"/>
      <c r="AS4" s="1582"/>
      <c r="AT4" s="1582"/>
      <c r="AU4" s="1582"/>
      <c r="AV4" s="1582"/>
      <c r="AW4" s="1582"/>
      <c r="AX4" s="1582"/>
      <c r="BB4" s="1161"/>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6.13</v>
      </c>
      <c r="AC5" s="797">
        <v>50.13</v>
      </c>
      <c r="AD5" s="797">
        <v>10.13</v>
      </c>
      <c r="AE5" s="797">
        <v>12.63</v>
      </c>
      <c r="AF5" s="797">
        <v>12.63</v>
      </c>
      <c r="AG5" s="797">
        <v>18.13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20.13</v>
      </c>
      <c r="AZ5" s="797">
        <v>3</v>
      </c>
      <c r="BB5" s="1160"/>
    </row>
    <row s="1582" customFormat="1" customHeight="1" ht="12" hidden="1">
      <c r="B6" s="788"/>
      <c r="E6" s="797"/>
      <c r="G6" s="213"/>
      <c r="H6" s="213"/>
      <c r="I6" s="213"/>
      <c r="J6" s="213"/>
      <c r="K6" s="213"/>
      <c r="L6" s="213"/>
      <c r="M6" s="213"/>
      <c r="N6" s="213"/>
      <c r="O6" s="213"/>
      <c r="P6" s="213"/>
      <c r="Q6" s="739"/>
      <c r="R6" s="739"/>
      <c r="S6" s="213"/>
      <c r="AE6" s="175" cm="1" t="str">
        <f t="array" ref="AE6:AE6">god</f>
        <v>2026</v>
      </c>
      <c r="AF6" s="175">
        <f>god+1</f>
        <v>2027</v>
      </c>
      <c r="AG6" s="175">
        <f>god+2</f>
        <v>2028</v>
      </c>
      <c r="AH6" s="175">
        <f>god+3</f>
        <v>2029</v>
      </c>
      <c r="AI6" s="175">
        <f>god+4</f>
        <v>2030</v>
      </c>
      <c r="AJ6" s="175">
        <f>god+5</f>
        <v>2031</v>
      </c>
      <c r="AK6" s="175">
        <f>god+6</f>
        <v>2032</v>
      </c>
      <c r="AL6" s="175">
        <f>god+7</f>
        <v>2033</v>
      </c>
      <c r="AM6" s="175">
        <f>god+8</f>
        <v>2034</v>
      </c>
      <c r="AN6" s="175">
        <f>god+9</f>
        <v>2035</v>
      </c>
      <c r="AO6" s="175" cm="1" t="str">
        <f t="array" ref="AO6:AO6">god</f>
        <v>2026</v>
      </c>
      <c r="AP6" s="175">
        <f>god+1</f>
        <v>2027</v>
      </c>
      <c r="AQ6" s="175">
        <f>god+2</f>
        <v>2028</v>
      </c>
      <c r="AR6" s="175">
        <f>god+3</f>
        <v>2029</v>
      </c>
      <c r="AS6" s="175">
        <f>god+4</f>
        <v>2030</v>
      </c>
      <c r="AT6" s="175">
        <f>god+5</f>
        <v>2031</v>
      </c>
      <c r="AU6" s="175">
        <f>god+6</f>
        <v>2032</v>
      </c>
      <c r="AV6" s="175">
        <f>god+7</f>
        <v>2033</v>
      </c>
      <c r="AW6" s="175">
        <f>god+8</f>
        <v>2034</v>
      </c>
      <c r="AX6" s="175">
        <f>god+9</f>
        <v>2035</v>
      </c>
      <c r="BB6" s="1161"/>
    </row>
    <row s="500" customFormat="1" customHeight="1" ht="12" hidden="1">
      <c r="A7" s="175"/>
      <c r="B7" s="788"/>
      <c r="C7" s="175"/>
      <c r="D7" s="175"/>
      <c r="E7" s="797"/>
      <c r="Q7" s="739"/>
      <c r="R7" s="739"/>
      <c r="AE7" s="213" cm="1" t="str">
        <f t="array" ref="AE7:AE7">AE25</f>
        <v>Предложения организации</v>
      </c>
      <c r="AF7" s="213" cm="1" t="str">
        <f t="array" ref="AF7:AF7">AF25</f>
        <v>Предложения организации</v>
      </c>
      <c r="AG7" s="213" cm="1" t="str">
        <f t="array" ref="AG7:AG7">AG25</f>
        <v>Предложения организации</v>
      </c>
      <c r="AH7" s="213" cm="1" t="str">
        <f t="array" ref="AH7:AH7">AH25</f>
        <v>Предложения организации</v>
      </c>
      <c r="AI7" s="213" cm="1" t="str">
        <f t="array" ref="AI7:AI7">AI25</f>
        <v>Предложения организации</v>
      </c>
      <c r="AJ7" s="213" cm="1" t="str">
        <f t="array" ref="AJ7:AJ7">AJ25</f>
        <v>Предложения организации</v>
      </c>
      <c r="AK7" s="213" cm="1" t="str">
        <f t="array" ref="AK7:AK7">AK25</f>
        <v>Предложения организации</v>
      </c>
      <c r="AL7" s="213" cm="1" t="str">
        <f t="array" ref="AL7:AL7">AL25</f>
        <v>Предложения организации</v>
      </c>
      <c r="AM7" s="213" cm="1" t="str">
        <f t="array" ref="AM7:AM7">AM25</f>
        <v>Предложения организации</v>
      </c>
      <c r="AN7" s="213" cm="1" t="str">
        <f t="array" ref="AN7:AN7">AN25</f>
        <v>Предложения организации</v>
      </c>
      <c r="AO7" s="213" cm="1" t="str">
        <f t="array" ref="AO7:AO7">AO25</f>
        <v>Принято органом регулирования</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BB7" s="1161"/>
    </row>
    <row s="500" customFormat="1" customHeight="1" ht="12" hidden="1">
      <c r="A8" s="175"/>
      <c r="B8" s="788"/>
      <c r="C8" s="175"/>
      <c r="D8" s="175"/>
      <c r="E8" s="797"/>
      <c r="Q8" s="739"/>
      <c r="R8" s="739"/>
      <c r="AE8" s="500"/>
      <c r="AF8" s="500"/>
      <c r="AG8" s="500"/>
      <c r="AH8" s="500"/>
      <c r="AI8" s="500"/>
      <c r="AJ8" s="500"/>
      <c r="AK8" s="500"/>
      <c r="AL8" s="500"/>
      <c r="AM8" s="500"/>
      <c r="AN8" s="500"/>
      <c r="AO8" s="500"/>
      <c r="AP8" s="500"/>
      <c r="AQ8" s="500"/>
      <c r="AR8" s="500"/>
      <c r="AS8" s="500"/>
      <c r="AT8" s="500"/>
      <c r="AU8" s="500"/>
      <c r="AV8" s="500"/>
      <c r="AW8" s="500"/>
      <c r="AX8" s="500"/>
      <c r="BB8" s="1161"/>
    </row>
    <row s="1217" customFormat="1" customHeight="1" ht="12" hidden="1">
      <c r="A9" s="1161" t="s">
        <v>437</v>
      </c>
      <c r="B9" s="1154"/>
      <c r="E9" s="1154"/>
      <c r="Q9" s="1163"/>
      <c r="R9" s="1163"/>
      <c r="AE9" s="1162" cm="1" t="str">
        <f t="array" ref="AE9:AE9">god</f>
        <v>2026</v>
      </c>
      <c r="AF9" s="1162">
        <f>god+1</f>
        <v>2027</v>
      </c>
      <c r="AG9" s="1162">
        <f>god+2</f>
        <v>2028</v>
      </c>
      <c r="AH9" s="1162">
        <f>god+3</f>
        <v>2029</v>
      </c>
      <c r="AI9" s="1162">
        <f>god+4</f>
        <v>2030</v>
      </c>
      <c r="AJ9" s="1162">
        <f>god+5</f>
        <v>2031</v>
      </c>
      <c r="AK9" s="1162">
        <f>god+6</f>
        <v>2032</v>
      </c>
      <c r="AL9" s="1162">
        <f>god+7</f>
        <v>2033</v>
      </c>
      <c r="AM9" s="1162">
        <f>god+8</f>
        <v>2034</v>
      </c>
      <c r="AN9" s="1162">
        <f>god+9</f>
        <v>2035</v>
      </c>
      <c r="AO9" s="1162" cm="1" t="str">
        <f t="array" ref="AO9:AO9">god</f>
        <v>2026</v>
      </c>
      <c r="AP9" s="1162">
        <f>god+1</f>
        <v>2027</v>
      </c>
      <c r="AQ9" s="1162">
        <f>god+2</f>
        <v>2028</v>
      </c>
      <c r="AR9" s="1162">
        <f>god+3</f>
        <v>2029</v>
      </c>
      <c r="AS9" s="1162">
        <f>god+4</f>
        <v>2030</v>
      </c>
      <c r="AT9" s="1162">
        <f>god+5</f>
        <v>2031</v>
      </c>
      <c r="AU9" s="1162">
        <f>god+6</f>
        <v>2032</v>
      </c>
      <c r="AV9" s="1162">
        <f>god+7</f>
        <v>2033</v>
      </c>
      <c r="AW9" s="1162">
        <f>god+8</f>
        <v>2034</v>
      </c>
      <c r="AX9" s="1162">
        <f>god+9</f>
        <v>2035</v>
      </c>
      <c r="BB9" s="1161"/>
    </row>
    <row s="1217" customFormat="1" customHeight="1" ht="12" hidden="1">
      <c r="A10" s="1161" t="s">
        <v>438</v>
      </c>
      <c r="B10" s="1154"/>
      <c r="E10" s="1154"/>
      <c r="Q10" s="1163"/>
      <c r="R10" s="1163"/>
      <c r="AE10" s="1162" cm="1" t="str">
        <f t="array" ref="AE10:AE10">AE25</f>
        <v>Предложения организации</v>
      </c>
      <c r="AF10" s="1162" cm="1" t="str">
        <f t="array" ref="AF10:AF10">AF25</f>
        <v>Предложения организации</v>
      </c>
      <c r="AG10" s="1162" cm="1" t="str">
        <f t="array" ref="AG10:AG10">AG25</f>
        <v>Предложения организации</v>
      </c>
      <c r="AH10" s="1162" cm="1" t="str">
        <f t="array" ref="AH10:AH10">AH25</f>
        <v>Предложения организации</v>
      </c>
      <c r="AI10" s="1162" cm="1" t="str">
        <f t="array" ref="AI10:AI10">AI25</f>
        <v>Предложения организации</v>
      </c>
      <c r="AJ10" s="1162" cm="1" t="str">
        <f t="array" ref="AJ10:AJ10">AJ25</f>
        <v>Предложения организации</v>
      </c>
      <c r="AK10" s="1162" cm="1" t="str">
        <f t="array" ref="AK10:AK10">AK25</f>
        <v>Предложения организации</v>
      </c>
      <c r="AL10" s="1162" cm="1" t="str">
        <f t="array" ref="AL10:AL10">AL25</f>
        <v>Предложения организации</v>
      </c>
      <c r="AM10" s="1162" cm="1" t="str">
        <f t="array" ref="AM10:AM10">AM25</f>
        <v>Предложения организации</v>
      </c>
      <c r="AN10" s="1162" cm="1" t="str">
        <f t="array" ref="AN10:AN10">AN25</f>
        <v>Предложения организации</v>
      </c>
      <c r="AO10" s="1162" cm="1" t="str">
        <f t="array" ref="AO10:AO10">AO25</f>
        <v>Принято органом регулирования</v>
      </c>
      <c r="AP10" s="1162" cm="1" t="str">
        <f t="array" ref="AP10:AP10">AP25</f>
        <v>Принято органом регулирования</v>
      </c>
      <c r="AQ10" s="1162" cm="1" t="str">
        <f t="array" ref="AQ10:AQ10">AQ25</f>
        <v>Принято органом регулирования</v>
      </c>
      <c r="AR10" s="1162" cm="1" t="str">
        <f t="array" ref="AR10:AR10">AR25</f>
        <v>Принято органом регулирования</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BB10" s="1161"/>
    </row>
    <row s="1217" customFormat="1" customHeight="1" ht="12" hidden="1">
      <c r="A11" s="1161" t="s">
        <v>439</v>
      </c>
      <c r="B11" s="1154"/>
      <c r="E11" s="1154"/>
      <c r="G11" s="1170"/>
      <c r="H11" s="1170"/>
      <c r="I11" s="1170"/>
      <c r="J11" s="1170"/>
      <c r="K11" s="1170"/>
      <c r="L11" s="1170"/>
      <c r="M11" s="1170"/>
      <c r="N11" s="1170"/>
      <c r="O11" s="1170"/>
      <c r="P11" s="1170"/>
      <c r="Q11" s="1185"/>
      <c r="R11" s="1185"/>
      <c r="S11" s="1170"/>
      <c r="AE11" s="1217"/>
      <c r="AF11" s="1217"/>
      <c r="AG11" s="1217"/>
      <c r="AH11" s="1217"/>
      <c r="AI11" s="1217"/>
      <c r="AJ11" s="1217"/>
      <c r="AK11" s="1217"/>
      <c r="AL11" s="1217"/>
      <c r="AM11" s="1217"/>
      <c r="AN11" s="1217"/>
      <c r="AO11" s="1217"/>
      <c r="AP11" s="1217"/>
      <c r="AQ11" s="1217"/>
      <c r="AR11" s="1217"/>
      <c r="AS11" s="1217"/>
      <c r="AT11" s="1217"/>
      <c r="AU11" s="1217"/>
      <c r="AV11" s="1217"/>
      <c r="AW11" s="1217"/>
      <c r="AX11" s="1217"/>
      <c r="AY11" s="1162" cm="1" t="str">
        <f t="array" ref="AY11:AY11">AY24</f>
        <v>Ссылка на правовую норму (основание для принятия показателя в расчет тарифа)</v>
      </c>
      <c r="BB11" s="1161"/>
    </row>
    <row s="1582" customFormat="1" customHeight="1" ht="12" hidden="1">
      <c r="B12" s="788"/>
      <c r="E12" s="797"/>
      <c r="G12" s="213"/>
      <c r="H12" s="213"/>
      <c r="I12" s="213"/>
      <c r="J12" s="213"/>
      <c r="K12" s="213"/>
      <c r="L12" s="213"/>
      <c r="M12" s="213"/>
      <c r="N12" s="213"/>
      <c r="O12" s="213"/>
      <c r="P12" s="213"/>
      <c r="Q12" s="739"/>
      <c r="R12" s="739"/>
      <c r="S12" s="213"/>
      <c r="AE12" s="1582"/>
      <c r="AF12" s="1582"/>
      <c r="AG12" s="1582"/>
      <c r="AH12" s="1582"/>
      <c r="AI12" s="1582"/>
      <c r="AJ12" s="1582"/>
      <c r="AK12" s="1582"/>
      <c r="AL12" s="1582"/>
      <c r="AM12" s="1582"/>
      <c r="AN12" s="1582"/>
      <c r="AO12" s="1582"/>
      <c r="AP12" s="1582"/>
      <c r="AQ12" s="1582"/>
      <c r="AR12" s="1582"/>
      <c r="AS12" s="1582"/>
      <c r="AT12" s="1582"/>
      <c r="AU12" s="1582"/>
      <c r="AV12" s="1582"/>
      <c r="AW12" s="1582"/>
      <c r="AX12" s="1582"/>
      <c r="BB12" s="1161"/>
    </row>
    <row s="1582" customFormat="1" customHeight="1" ht="12" hidden="1">
      <c r="B13" s="788"/>
      <c r="E13" s="797"/>
      <c r="G13" s="213"/>
      <c r="H13" s="213"/>
      <c r="I13" s="213"/>
      <c r="J13" s="213"/>
      <c r="K13" s="213"/>
      <c r="L13" s="213"/>
      <c r="M13" s="213"/>
      <c r="N13" s="213"/>
      <c r="O13" s="213"/>
      <c r="P13" s="213"/>
      <c r="Q13" s="739"/>
      <c r="R13" s="739"/>
      <c r="S13" s="213"/>
      <c r="AE13" s="1582"/>
      <c r="AF13" s="1582"/>
      <c r="AG13" s="1582"/>
      <c r="AH13" s="1582"/>
      <c r="AI13" s="1582"/>
      <c r="AJ13" s="1582"/>
      <c r="AK13" s="1582"/>
      <c r="AL13" s="1582"/>
      <c r="AM13" s="1582"/>
      <c r="AN13" s="1582"/>
      <c r="AO13" s="1582"/>
      <c r="AP13" s="1582"/>
      <c r="AQ13" s="1582"/>
      <c r="AR13" s="1582"/>
      <c r="AS13" s="1582"/>
      <c r="AT13" s="1582"/>
      <c r="AU13" s="1582"/>
      <c r="AV13" s="1582"/>
      <c r="AW13" s="1582"/>
      <c r="AX13" s="1582"/>
      <c r="BB13" s="1161"/>
    </row>
    <row s="1582" customFormat="1" customHeight="1" ht="12" hidden="1">
      <c r="B14" s="788"/>
      <c r="E14" s="797"/>
      <c r="G14" s="213"/>
      <c r="H14" s="213"/>
      <c r="I14" s="213"/>
      <c r="J14" s="213"/>
      <c r="K14" s="213"/>
      <c r="L14" s="213"/>
      <c r="M14" s="213"/>
      <c r="N14" s="213"/>
      <c r="O14" s="213"/>
      <c r="P14" s="213"/>
      <c r="Q14" s="739"/>
      <c r="R14" s="739"/>
      <c r="S14" s="213"/>
      <c r="AE14" s="1582"/>
      <c r="AF14" s="1582"/>
      <c r="AG14" s="1582"/>
      <c r="AH14" s="1582"/>
      <c r="AI14" s="1582"/>
      <c r="AJ14" s="1582"/>
      <c r="AK14" s="1582"/>
      <c r="AL14" s="1582"/>
      <c r="AM14" s="1582"/>
      <c r="AN14" s="1582"/>
      <c r="AO14" s="1582"/>
      <c r="AP14" s="1582"/>
      <c r="AQ14" s="1582"/>
      <c r="AR14" s="1582"/>
      <c r="AS14" s="1582"/>
      <c r="AT14" s="1582"/>
      <c r="AU14" s="1582"/>
      <c r="AV14" s="1582"/>
      <c r="AW14" s="1582"/>
      <c r="AX14" s="1582"/>
      <c r="BB14" s="1161"/>
    </row>
    <row s="1582" customFormat="1" customHeight="1" ht="12" hidden="1">
      <c r="B15" s="788"/>
      <c r="E15" s="797"/>
      <c r="G15" s="213"/>
      <c r="H15" s="213"/>
      <c r="I15" s="213"/>
      <c r="J15" s="213"/>
      <c r="K15" s="213"/>
      <c r="L15" s="213"/>
      <c r="M15" s="213"/>
      <c r="N15" s="213"/>
      <c r="O15" s="213"/>
      <c r="P15" s="213"/>
      <c r="Q15" s="739"/>
      <c r="R15" s="739"/>
      <c r="S15" s="213"/>
      <c r="AE15" s="1582"/>
      <c r="AF15" s="1582"/>
      <c r="AG15" s="1582"/>
      <c r="AH15" s="1582"/>
      <c r="AI15" s="1582"/>
      <c r="AJ15" s="1582"/>
      <c r="AK15" s="1582"/>
      <c r="AL15" s="1582"/>
      <c r="AM15" s="1582"/>
      <c r="AN15" s="1582"/>
      <c r="AO15" s="1582"/>
      <c r="AP15" s="1582"/>
      <c r="AQ15" s="1582"/>
      <c r="AR15" s="1582"/>
      <c r="AS15" s="1582"/>
      <c r="AT15" s="1582"/>
      <c r="AU15" s="1582"/>
      <c r="AV15" s="1582"/>
      <c r="AW15" s="1582"/>
      <c r="AX15" s="1582"/>
      <c r="BB15" s="1161"/>
    </row>
    <row s="1582" customFormat="1" customHeight="1" ht="12" hidden="1">
      <c r="B16" s="788"/>
      <c r="E16" s="797"/>
      <c r="G16" s="213"/>
      <c r="H16" s="213"/>
      <c r="I16" s="213"/>
      <c r="J16" s="213"/>
      <c r="K16" s="213"/>
      <c r="L16" s="213"/>
      <c r="M16" s="213"/>
      <c r="N16" s="213"/>
      <c r="O16" s="213"/>
      <c r="P16" s="213"/>
      <c r="Q16" s="739"/>
      <c r="R16" s="739"/>
      <c r="S16" s="213"/>
      <c r="AE16" s="1582"/>
      <c r="AF16" s="1582"/>
      <c r="AG16" s="1582"/>
      <c r="AH16" s="1582"/>
      <c r="AI16" s="1582"/>
      <c r="AJ16" s="1582"/>
      <c r="AK16" s="1582"/>
      <c r="AL16" s="1582"/>
      <c r="AM16" s="1582"/>
      <c r="AN16" s="1582"/>
      <c r="AO16" s="1582"/>
      <c r="AP16" s="1582"/>
      <c r="AQ16" s="1582"/>
      <c r="AR16" s="1582"/>
      <c r="AS16" s="1582"/>
      <c r="AT16" s="1582"/>
      <c r="AU16" s="1582"/>
      <c r="AV16" s="1582"/>
      <c r="AW16" s="1582"/>
      <c r="AX16" s="1582"/>
      <c r="BB16" s="1161"/>
    </row>
    <row s="1582" customFormat="1" customHeight="1" ht="12" hidden="1">
      <c r="B17" s="788"/>
      <c r="E17" s="797"/>
      <c r="G17" s="213"/>
      <c r="H17" s="213"/>
      <c r="I17" s="213"/>
      <c r="J17" s="213"/>
      <c r="K17" s="213"/>
      <c r="L17" s="213"/>
      <c r="M17" s="213"/>
      <c r="N17" s="213"/>
      <c r="O17" s="213"/>
      <c r="P17" s="213"/>
      <c r="Q17" s="739"/>
      <c r="R17" s="739"/>
      <c r="S17" s="213"/>
      <c r="AE17" s="1582"/>
      <c r="AF17" s="1582"/>
      <c r="AG17" s="1582"/>
      <c r="AH17" s="1582"/>
      <c r="AI17" s="1582"/>
      <c r="AJ17" s="1582"/>
      <c r="AK17" s="1582"/>
      <c r="AL17" s="1582"/>
      <c r="AM17" s="1582"/>
      <c r="AN17" s="1582"/>
      <c r="AO17" s="1582"/>
      <c r="AP17" s="1582"/>
      <c r="AQ17" s="1582"/>
      <c r="AR17" s="1582"/>
      <c r="AS17" s="1582"/>
      <c r="AT17" s="1582"/>
      <c r="AU17" s="1582"/>
      <c r="AV17" s="1582"/>
      <c r="AW17" s="1582"/>
      <c r="AX17" s="1582"/>
      <c r="BB17" s="1161"/>
    </row>
    <row s="1582" customFormat="1" customHeight="1" ht="12" hidden="1">
      <c r="B18" s="788"/>
      <c r="E18" s="797"/>
      <c r="G18" s="213"/>
      <c r="H18" s="213"/>
      <c r="I18" s="213"/>
      <c r="J18" s="213"/>
      <c r="K18" s="213"/>
      <c r="L18" s="213"/>
      <c r="M18" s="213"/>
      <c r="N18" s="213"/>
      <c r="O18" s="213"/>
      <c r="P18" s="213"/>
      <c r="Q18" s="739"/>
      <c r="R18" s="739"/>
      <c r="S18" s="213"/>
      <c r="AE18" s="1582"/>
      <c r="AF18" s="1582"/>
      <c r="AG18" s="1582"/>
      <c r="AH18" s="1582"/>
      <c r="AI18" s="1582"/>
      <c r="AJ18" s="1582"/>
      <c r="AK18" s="1582"/>
      <c r="AL18" s="1582"/>
      <c r="AM18" s="1582"/>
      <c r="AN18" s="1582"/>
      <c r="AO18" s="1582"/>
      <c r="AP18" s="1582"/>
      <c r="AQ18" s="1582"/>
      <c r="AR18" s="1582"/>
      <c r="AS18" s="1582"/>
      <c r="AT18" s="1582"/>
      <c r="AU18" s="1582"/>
      <c r="AV18" s="1582"/>
      <c r="AW18" s="1582"/>
      <c r="AX18" s="1582"/>
      <c r="BB18" s="1161"/>
    </row>
    <row s="1582" customFormat="1" customHeight="1" ht="12" hidden="1">
      <c r="B19" s="788"/>
      <c r="E19" s="797"/>
      <c r="G19" s="213"/>
      <c r="H19" s="213"/>
      <c r="I19" s="213"/>
      <c r="J19" s="213"/>
      <c r="K19" s="213"/>
      <c r="L19" s="213"/>
      <c r="M19" s="213"/>
      <c r="N19" s="213"/>
      <c r="O19" s="213"/>
      <c r="P19" s="213"/>
      <c r="Q19" s="739"/>
      <c r="R19" s="739"/>
      <c r="S19" s="213"/>
      <c r="AE19" s="1582"/>
      <c r="AF19" s="1582"/>
      <c r="AG19" s="1582"/>
      <c r="AH19" s="1582"/>
      <c r="AI19" s="1582"/>
      <c r="AJ19" s="1582"/>
      <c r="AK19" s="1582"/>
      <c r="AL19" s="1582"/>
      <c r="AM19" s="1582"/>
      <c r="AN19" s="1582"/>
      <c r="AO19" s="1582"/>
      <c r="AP19" s="1582"/>
      <c r="AQ19" s="1582"/>
      <c r="AR19" s="1582"/>
      <c r="AS19" s="1582"/>
      <c r="AT19" s="1582"/>
      <c r="AU19" s="1582"/>
      <c r="AV19" s="1582"/>
      <c r="AW19" s="1582"/>
      <c r="AX19" s="1582"/>
      <c r="BB19" s="1161"/>
    </row>
    <row s="1582" customFormat="1" customHeight="1" ht="12" hidden="1">
      <c r="B20" s="788"/>
      <c r="E20" s="797"/>
      <c r="G20" s="213"/>
      <c r="H20" s="213"/>
      <c r="I20" s="213"/>
      <c r="J20" s="213"/>
      <c r="K20" s="213"/>
      <c r="L20" s="213"/>
      <c r="M20" s="213"/>
      <c r="N20" s="213"/>
      <c r="O20" s="213"/>
      <c r="P20" s="213"/>
      <c r="Q20" s="739"/>
      <c r="R20" s="739"/>
      <c r="S20" s="213"/>
      <c r="AE20" s="1582"/>
      <c r="AF20" s="1582"/>
      <c r="AG20" s="1582"/>
      <c r="AH20" s="1582"/>
      <c r="AI20" s="1582"/>
      <c r="AJ20" s="1582"/>
      <c r="AK20" s="1582"/>
      <c r="AL20" s="1582"/>
      <c r="AM20" s="1582"/>
      <c r="AN20" s="1582"/>
      <c r="AO20" s="1582"/>
      <c r="AP20" s="1582"/>
      <c r="AQ20" s="1582"/>
      <c r="AR20" s="1582"/>
      <c r="AS20" s="1582"/>
      <c r="AT20" s="1582"/>
      <c r="AU20" s="1582"/>
      <c r="AV20" s="1582"/>
      <c r="AW20" s="1582"/>
      <c r="AX20" s="1582"/>
      <c r="BB20" s="1161"/>
    </row>
    <row customHeight="1" ht="14.625">
      <c r="E21" s="797">
        <v>15</v>
      </c>
      <c r="AA21" s="820"/>
      <c r="AB21" s="227"/>
      <c r="AC21" s="403" cm="1" t="str">
        <f t="array" ref="AC21:AC21">tpl_title</f>
        <v>Кемеровская область / 2026 / ООО "ВЕЛЕС" (ИНН:4212036655, КПП:421201001) / ДПР: 2016-2025</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customHeight="1" ht="19.5975">
      <c r="E22" s="797">
        <v>20.1</v>
      </c>
      <c r="AB22" s="392" t="s">
        <v>53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row>
    <row customHeight="1" ht="11.0175">
      <c r="E23" s="797">
        <v>11.3</v>
      </c>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row>
    <row customHeight="1" ht="21.060000000000002">
      <c r="E24" s="797">
        <v>21.6</v>
      </c>
      <c r="AB24" s="1468" t="s">
        <v>386</v>
      </c>
      <c r="AC24" s="1467" t="s">
        <v>727</v>
      </c>
      <c r="AD24" s="1467" t="s">
        <v>441</v>
      </c>
      <c r="AE24" s="1356" t="str">
        <f>god&amp;" год"</f>
        <v>2026 год</v>
      </c>
      <c r="AF24" s="1356"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70" t="str">
        <f>god&amp;" год"</f>
        <v>2026 год</v>
      </c>
      <c r="AP24" s="170" t="str">
        <f>god+1&amp;" год"</f>
        <v>2027 год</v>
      </c>
      <c r="AQ24" s="170" t="str">
        <f>god+2&amp;" год"</f>
        <v>2028 год</v>
      </c>
      <c r="AR24" s="170" t="str">
        <f>god+3&amp;" год"</f>
        <v>2029 год</v>
      </c>
      <c r="AS24" s="170" t="str">
        <f>god+4&amp;" год"</f>
        <v>2030 год</v>
      </c>
      <c r="AT24" s="170" t="str">
        <f>god+5&amp;" год"</f>
        <v>2031 год</v>
      </c>
      <c r="AU24" s="170" t="str">
        <f>god+6&amp;" год"</f>
        <v>2032 год</v>
      </c>
      <c r="AV24" s="170" t="str">
        <f>god+7&amp;" год"</f>
        <v>2033 год</v>
      </c>
      <c r="AW24" s="170" t="str">
        <f>god+8&amp;" год"</f>
        <v>2034 год</v>
      </c>
      <c r="AX24" s="170" t="str">
        <f>god+9&amp;" год"</f>
        <v>2035 год</v>
      </c>
      <c r="AY24" s="1542" t="s">
        <v>595</v>
      </c>
    </row>
    <row customHeight="1" ht="56.355">
      <c r="E25" s="797">
        <v>57.8</v>
      </c>
      <c r="AB25" s="1468"/>
      <c r="AC25" s="1467"/>
      <c r="AD25" s="1467"/>
      <c r="AE25" s="1358" t="s">
        <v>1274</v>
      </c>
      <c r="AF25" s="1358" t="s">
        <v>1274</v>
      </c>
      <c r="AG25" s="1358" t="s">
        <v>1274</v>
      </c>
      <c r="AH25" s="1358" t="s">
        <v>1274</v>
      </c>
      <c r="AI25" s="1358" t="s">
        <v>1274</v>
      </c>
      <c r="AJ25" s="1358" t="s">
        <v>1274</v>
      </c>
      <c r="AK25" s="1358" t="s">
        <v>1274</v>
      </c>
      <c r="AL25" s="1358" t="s">
        <v>1274</v>
      </c>
      <c r="AM25" s="1358" t="s">
        <v>1274</v>
      </c>
      <c r="AN25" s="1358" t="s">
        <v>1274</v>
      </c>
      <c r="AO25" s="169" t="s">
        <v>402</v>
      </c>
      <c r="AP25" s="169" t="s">
        <v>402</v>
      </c>
      <c r="AQ25" s="169" t="s">
        <v>402</v>
      </c>
      <c r="AR25" s="169" t="s">
        <v>402</v>
      </c>
      <c r="AS25" s="169" t="s">
        <v>402</v>
      </c>
      <c r="AT25" s="169" t="s">
        <v>402</v>
      </c>
      <c r="AU25" s="169" t="s">
        <v>402</v>
      </c>
      <c r="AV25" s="169" t="s">
        <v>402</v>
      </c>
      <c r="AW25" s="169" t="s">
        <v>402</v>
      </c>
      <c r="AX25" s="169" t="s">
        <v>402</v>
      </c>
      <c r="AY25" s="1542"/>
    </row>
    <row customHeight="1" ht="57.75" hidden="1">
      <c r="E26" s="797">
        <v>0</v>
      </c>
      <c r="AB26" s="374"/>
      <c r="AC26" s="520"/>
      <c r="AD26" s="520"/>
      <c r="AE26" s="521"/>
      <c r="AF26" s="521"/>
      <c r="AG26" s="521"/>
      <c r="AH26" s="521"/>
      <c r="AI26" s="521"/>
      <c r="AJ26" s="521"/>
      <c r="AK26" s="521"/>
      <c r="AL26" s="521"/>
      <c r="AM26" s="521"/>
      <c r="AN26" s="521"/>
      <c r="AO26" s="521"/>
      <c r="AP26" s="521"/>
      <c r="AQ26" s="521"/>
      <c r="AR26" s="521"/>
      <c r="AS26" s="521"/>
      <c r="AT26" s="521"/>
      <c r="AU26" s="521"/>
      <c r="AV26" s="521"/>
      <c r="AW26" s="521"/>
      <c r="AX26" s="521"/>
      <c r="AY26" s="522"/>
    </row>
    <row customHeight="1" ht="16.575" hidden="1">
      <c r="E27" s="797">
        <v>17</v>
      </c>
      <c r="F27" s="922" cm="1" t="str">
        <f t="array" ref="F27:F27">X27</f>
        <v>0</v>
      </c>
      <c r="T27" s="808">
        <f>X27&gt;0</f>
        <v>0</v>
      </c>
      <c r="V27" s="175" t="s">
        <v>310</v>
      </c>
      <c r="X27" s="175">
        <v>0</v>
      </c>
      <c r="AB27" s="320" cm="1" t="str">
        <f t="array" ref="AB27:AB27">INDEX('Общие сведения'!$AG$169:$AG$202,MATCH($F27,'Общие сведения'!$Z$169:$Z$202,0))</f>
        <v>Тариф 0 (Теплоснабжение) - </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row>
    <row s="319" customFormat="1" customHeight="1" ht="16.575" hidden="1">
      <c r="E28" s="797">
        <v>17</v>
      </c>
      <c r="F28" s="922" cm="1" t="str">
        <f t="array" ref="F28:F28">F27</f>
        <v>0</v>
      </c>
      <c r="T28" s="808" cm="1" t="str">
        <f t="array" ref="T28:T28">T27</f>
        <v>false</v>
      </c>
      <c r="AB28" s="325" t="s">
        <v>336</v>
      </c>
      <c r="AC28" s="163" t="s">
        <v>1275</v>
      </c>
      <c r="AD28" s="325" t="s">
        <v>810</v>
      </c>
      <c r="AE28" s="298">
        <f>AE29+AE30+AE31</f>
        <v>0</v>
      </c>
      <c r="AF28" s="327">
        <f>AF29+AF30+AF31</f>
        <v>0</v>
      </c>
      <c r="AG28" s="327">
        <f>AG29+AG30+AG31</f>
        <v>0</v>
      </c>
      <c r="AH28" s="327">
        <f>AH29+AH30+AH31</f>
        <v>0</v>
      </c>
      <c r="AI28" s="327">
        <f>AI29+AI30+AI31</f>
        <v>0</v>
      </c>
      <c r="AJ28" s="327">
        <f>AJ29+AJ30+AJ31</f>
        <v>0</v>
      </c>
      <c r="AK28" s="327">
        <f>AK29+AK30+AK31</f>
        <v>0</v>
      </c>
      <c r="AL28" s="327">
        <f>AL29+AL30+AL31</f>
        <v>0</v>
      </c>
      <c r="AM28" s="327">
        <f>AM29+AM30+AM31</f>
        <v>0</v>
      </c>
      <c r="AN28" s="327">
        <f>AN29+AN30+AN31</f>
        <v>0</v>
      </c>
      <c r="AO28" s="298">
        <f>AO29+AO30+AO31</f>
        <v>0</v>
      </c>
      <c r="AP28" s="327">
        <f>AP29+AP30+AP31</f>
        <v>0</v>
      </c>
      <c r="AQ28" s="327">
        <f>AQ29+AQ30+AQ31</f>
        <v>0</v>
      </c>
      <c r="AR28" s="327">
        <f>AR29+AR30+AR31</f>
        <v>0</v>
      </c>
      <c r="AS28" s="327">
        <f>AS29+AS30+AS31</f>
        <v>0</v>
      </c>
      <c r="AT28" s="327">
        <f>AT29+AT30+AT31</f>
        <v>0</v>
      </c>
      <c r="AU28" s="327">
        <f>AU29+AU30+AU31</f>
        <v>0</v>
      </c>
      <c r="AV28" s="327">
        <f>AV29+AV30+AV31</f>
        <v>0</v>
      </c>
      <c r="AW28" s="327">
        <f>AW29+AW30+AW31</f>
        <v>0</v>
      </c>
      <c r="AX28" s="327">
        <f>AX29+AX30+AX31</f>
        <v>0</v>
      </c>
      <c r="AY28" s="73"/>
      <c r="BB28" s="1206" t="s">
        <v>1276</v>
      </c>
    </row>
    <row customHeight="1" ht="16.575" hidden="1">
      <c r="E29" s="797">
        <v>17</v>
      </c>
      <c r="F29" s="922" cm="1" t="str">
        <f t="array" ref="F29:F29">F28</f>
        <v>0</v>
      </c>
      <c r="T29" s="808" cm="1" t="str">
        <f t="array" ref="T29:T29">T28</f>
        <v>false</v>
      </c>
      <c r="AB29" s="173" t="s">
        <v>449</v>
      </c>
      <c r="AC29" s="164" t="s">
        <v>1277</v>
      </c>
      <c r="AD29" s="173" t="s">
        <v>810</v>
      </c>
      <c r="AE29" s="1907"/>
      <c r="AF29" s="110"/>
      <c r="AG29" s="110"/>
      <c r="AH29" s="110"/>
      <c r="AI29" s="110"/>
      <c r="AJ29" s="110"/>
      <c r="AK29" s="110"/>
      <c r="AL29" s="110"/>
      <c r="AM29" s="110"/>
      <c r="AN29" s="110"/>
      <c r="AO29" s="1907"/>
      <c r="AP29" s="110"/>
      <c r="AQ29" s="110"/>
      <c r="AR29" s="110"/>
      <c r="AS29" s="110"/>
      <c r="AT29" s="110"/>
      <c r="AU29" s="110"/>
      <c r="AV29" s="110"/>
      <c r="AW29" s="110"/>
      <c r="AX29" s="110"/>
      <c r="AY29" s="73"/>
      <c r="BB29" s="1206" t="s">
        <v>1278</v>
      </c>
    </row>
    <row customHeight="1" ht="16.575" hidden="1">
      <c r="E30" s="797">
        <v>17</v>
      </c>
      <c r="F30" s="922" cm="1" t="str">
        <f t="array" ref="F30:F30">F29</f>
        <v>0</v>
      </c>
      <c r="T30" s="808" cm="1" t="str">
        <f t="array" ref="T30:T30">T29</f>
        <v>false</v>
      </c>
      <c r="AB30" s="173" t="s">
        <v>935</v>
      </c>
      <c r="AC30" s="164" t="s">
        <v>1279</v>
      </c>
      <c r="AD30" s="173" t="s">
        <v>810</v>
      </c>
      <c r="AE30" s="1907"/>
      <c r="AF30" s="110"/>
      <c r="AG30" s="110"/>
      <c r="AH30" s="110"/>
      <c r="AI30" s="110"/>
      <c r="AJ30" s="110"/>
      <c r="AK30" s="110"/>
      <c r="AL30" s="110"/>
      <c r="AM30" s="110"/>
      <c r="AN30" s="110"/>
      <c r="AO30" s="1907"/>
      <c r="AP30" s="110"/>
      <c r="AQ30" s="110"/>
      <c r="AR30" s="110"/>
      <c r="AS30" s="110"/>
      <c r="AT30" s="110"/>
      <c r="AU30" s="110"/>
      <c r="AV30" s="110"/>
      <c r="AW30" s="110"/>
      <c r="AX30" s="110"/>
      <c r="AY30" s="73"/>
      <c r="BB30" s="1206" t="s">
        <v>1280</v>
      </c>
    </row>
    <row customHeight="1" ht="33.345000000000006" hidden="1">
      <c r="E31" s="797">
        <v>34.2</v>
      </c>
      <c r="F31" s="922" cm="1" t="str">
        <f t="array" ref="F31:F31">F30</f>
        <v>0</v>
      </c>
      <c r="T31" s="808" cm="1" t="str">
        <f t="array" ref="T31:T31">T30</f>
        <v>false</v>
      </c>
      <c r="AB31" s="173" t="s">
        <v>937</v>
      </c>
      <c r="AC31" s="164" t="s">
        <v>1281</v>
      </c>
      <c r="AD31" s="173" t="s">
        <v>810</v>
      </c>
      <c r="AE31" s="1907"/>
      <c r="AF31" s="110"/>
      <c r="AG31" s="110"/>
      <c r="AH31" s="110"/>
      <c r="AI31" s="110"/>
      <c r="AJ31" s="110"/>
      <c r="AK31" s="110"/>
      <c r="AL31" s="110"/>
      <c r="AM31" s="110"/>
      <c r="AN31" s="110"/>
      <c r="AO31" s="1907"/>
      <c r="AP31" s="110"/>
      <c r="AQ31" s="110"/>
      <c r="AR31" s="110"/>
      <c r="AS31" s="110"/>
      <c r="AT31" s="110"/>
      <c r="AU31" s="110"/>
      <c r="AV31" s="110"/>
      <c r="AW31" s="110"/>
      <c r="AX31" s="110"/>
      <c r="AY31" s="73"/>
      <c r="BB31" s="1206" t="s">
        <v>1282</v>
      </c>
    </row>
    <row customHeight="1" ht="16.575" hidden="1">
      <c r="E32" s="797">
        <v>17</v>
      </c>
      <c r="F32" s="922" cm="1" t="str">
        <f t="array" ref="F32:F32">F31</f>
        <v>0</v>
      </c>
      <c r="T32" s="808" cm="1" t="str">
        <f t="array" ref="T32:T32">T31</f>
        <v>false</v>
      </c>
      <c r="AB32" s="173" t="s">
        <v>426</v>
      </c>
      <c r="AC32" s="323" t="s">
        <v>1283</v>
      </c>
      <c r="AD32" s="173" t="s">
        <v>498</v>
      </c>
      <c r="AE32" s="1143">
        <f>_xlfn.SUMIFS(Сценарии!AE$25:AE$83,Сценарии!$F$25:$F$83,$F32,Сценарии!$AC$25:$AC$83,"Индекс потребительских цен")</f>
        <v>0</v>
      </c>
      <c r="AF32" s="1143">
        <f>_xlfn.SUMIFS(Сценарии!AF$25:AF$83,Сценарии!$F$25:$F$83,$F32,Сценарии!$AC$25:$AC$83,"Индекс потребительских цен")</f>
        <v>0</v>
      </c>
      <c r="AG32" s="1143">
        <f>_xlfn.SUMIFS(Сценарии!AG$25:AG$83,Сценарии!$F$25:$F$83,$F32,Сценарии!$AC$25:$AC$83,"Индекс потребительских цен")</f>
        <v>0</v>
      </c>
      <c r="AH32" s="1143">
        <f>_xlfn.SUMIFS(Сценарии!AH$25:AH$83,Сценарии!$F$25:$F$83,$F32,Сценарии!$AC$25:$AC$83,"Индекс потребительских цен")</f>
        <v>0</v>
      </c>
      <c r="AI32" s="1143">
        <f>_xlfn.SUMIFS(Сценарии!AI$25:AI$83,Сценарии!$F$25:$F$83,$F32,Сценарии!$AC$25:$AC$83,"Индекс потребительских цен")</f>
        <v>0</v>
      </c>
      <c r="AJ32" s="1143">
        <f>_xlfn.SUMIFS(Сценарии!AJ$25:AJ$83,Сценарии!$F$25:$F$83,$F32,Сценарии!$AC$25:$AC$83,"Индекс потребительских цен")</f>
        <v>0</v>
      </c>
      <c r="AK32" s="1143">
        <f>_xlfn.SUMIFS(Сценарии!AK$25:AK$83,Сценарии!$F$25:$F$83,$F32,Сценарии!$AC$25:$AC$83,"Индекс потребительских цен")</f>
        <v>0</v>
      </c>
      <c r="AL32" s="1143">
        <f>_xlfn.SUMIFS(Сценарии!AL$25:AL$83,Сценарии!$F$25:$F$83,$F32,Сценарии!$AC$25:$AC$83,"Индекс потребительских цен")</f>
        <v>0</v>
      </c>
      <c r="AM32" s="1143">
        <f>_xlfn.SUMIFS(Сценарии!AM$25:AM$83,Сценарии!$F$25:$F$83,$F32,Сценарии!$AC$25:$AC$83,"Индекс потребительских цен")</f>
        <v>0</v>
      </c>
      <c r="AN32" s="1143">
        <f>_xlfn.SUMIFS(Сценарии!AN$25:AN$83,Сценарии!$F$25:$F$83,$F32,Сценарии!$AC$25:$AC$83,"Индекс потребительских цен")</f>
        <v>0</v>
      </c>
      <c r="AO32" s="1143">
        <f>_xlfn.SUMIFS(Сценарии!AO$25:AO$83,Сценарии!$F$25:$F$83,$F32,Сценарии!$AC$25:$AC$83,"Индекс потребительских цен")</f>
        <v>0</v>
      </c>
      <c r="AP32" s="1143">
        <f>_xlfn.SUMIFS(Сценарии!AP$25:AP$83,Сценарии!$F$25:$F$83,$F32,Сценарии!$AC$25:$AC$83,"Индекс потребительских цен")</f>
        <v>0</v>
      </c>
      <c r="AQ32" s="1143">
        <f>_xlfn.SUMIFS(Сценарии!AQ$25:AQ$83,Сценарии!$F$25:$F$83,$F32,Сценарии!$AC$25:$AC$83,"Индекс потребительских цен")</f>
        <v>0</v>
      </c>
      <c r="AR32" s="1143">
        <f>_xlfn.SUMIFS(Сценарии!AR$25:AR$83,Сценарии!$F$25:$F$83,$F32,Сценарии!$AC$25:$AC$83,"Индекс потребительских цен")</f>
        <v>0</v>
      </c>
      <c r="AS32" s="1143">
        <f>_xlfn.SUMIFS(Сценарии!AS$25:AS$83,Сценарии!$F$25:$F$83,$F32,Сценарии!$AC$25:$AC$83,"Индекс потребительских цен")</f>
        <v>0</v>
      </c>
      <c r="AT32" s="1143">
        <f>_xlfn.SUMIFS(Сценарии!AT$25:AT$83,Сценарии!$F$25:$F$83,$F32,Сценарии!$AC$25:$AC$83,"Индекс потребительских цен")</f>
        <v>0</v>
      </c>
      <c r="AU32" s="1143">
        <f>_xlfn.SUMIFS(Сценарии!AU$25:AU$83,Сценарии!$F$25:$F$83,$F32,Сценарии!$AC$25:$AC$83,"Индекс потребительских цен")</f>
        <v>0</v>
      </c>
      <c r="AV32" s="1143">
        <f>_xlfn.SUMIFS(Сценарии!AV$25:AV$83,Сценарии!$F$25:$F$83,$F32,Сценарии!$AC$25:$AC$83,"Индекс потребительских цен")</f>
        <v>0</v>
      </c>
      <c r="AW32" s="1143">
        <f>_xlfn.SUMIFS(Сценарии!AW$25:AW$83,Сценарии!$F$25:$F$83,$F32,Сценарии!$AC$25:$AC$83,"Индекс потребительских цен")</f>
        <v>0</v>
      </c>
      <c r="AX32" s="1143">
        <f>_xlfn.SUMIFS(Сценарии!AX$25:AX$83,Сценарии!$F$25:$F$83,$F32,Сценарии!$AC$25:$AC$83,"Индекс потребительских цен")</f>
        <v>0</v>
      </c>
      <c r="AY32" s="73"/>
      <c r="BB32" s="1206" t="s">
        <v>513</v>
      </c>
    </row>
    <row customHeight="1" ht="16.575" hidden="1">
      <c r="E33" s="797">
        <v>17</v>
      </c>
      <c r="F33" s="922" cm="1" t="str">
        <f t="array" ref="F33:F33">F32</f>
        <v>0</v>
      </c>
      <c r="T33" s="808" cm="1" t="str">
        <f t="array" ref="T33:T33">T32</f>
        <v>false</v>
      </c>
      <c r="AB33" s="324">
        <v>3</v>
      </c>
      <c r="AC33" s="323" t="s">
        <v>1284</v>
      </c>
      <c r="AD33" s="173"/>
      <c r="AE33" s="1924">
        <f>1+AE32%</f>
        <v>1</v>
      </c>
      <c r="AF33" s="112">
        <f>AE33*(1+AF32%)</f>
        <v>1</v>
      </c>
      <c r="AG33" s="112">
        <f>AF33*(1+AG32%)</f>
        <v>1</v>
      </c>
      <c r="AH33" s="112">
        <f>AG33*(1+AH32%)</f>
        <v>1</v>
      </c>
      <c r="AI33" s="112">
        <f>AH33*(1+AI32%)</f>
        <v>1</v>
      </c>
      <c r="AJ33" s="112">
        <f>AI33*(1+AJ32%)</f>
        <v>1</v>
      </c>
      <c r="AK33" s="112">
        <f>AJ33*(1+AK32%)</f>
        <v>1</v>
      </c>
      <c r="AL33" s="112">
        <f>AK33*(1+AL32%)</f>
        <v>1</v>
      </c>
      <c r="AM33" s="112">
        <f>AL33*(1+AM32%)</f>
        <v>1</v>
      </c>
      <c r="AN33" s="112">
        <f>AM33*(1+AN32%)</f>
        <v>1</v>
      </c>
      <c r="AO33" s="1924">
        <f>1+AO32%</f>
        <v>1</v>
      </c>
      <c r="AP33" s="112">
        <f>AO33*(1+AP32%)</f>
        <v>1</v>
      </c>
      <c r="AQ33" s="112">
        <f>AP33*(1+AQ32%)</f>
        <v>1</v>
      </c>
      <c r="AR33" s="112">
        <f>AQ33*(1+AR32%)</f>
        <v>1</v>
      </c>
      <c r="AS33" s="112">
        <f>AR33*(1+AS32%)</f>
        <v>1</v>
      </c>
      <c r="AT33" s="112">
        <f>AS33*(1+AT32%)</f>
        <v>1</v>
      </c>
      <c r="AU33" s="112">
        <f>AT33*(1+AU32%)</f>
        <v>1</v>
      </c>
      <c r="AV33" s="112">
        <f>AU33*(1+AV32%)</f>
        <v>1</v>
      </c>
      <c r="AW33" s="112">
        <f>AV33*(1+AW32%)</f>
        <v>1</v>
      </c>
      <c r="AX33" s="112">
        <f>AW33*(1+AX32%)</f>
        <v>1</v>
      </c>
      <c r="AY33" s="73"/>
      <c r="BB33" s="1206" t="s">
        <v>1285</v>
      </c>
    </row>
    <row s="319" customFormat="1" customHeight="1" ht="16.575" hidden="1">
      <c r="E34" s="797">
        <v>17</v>
      </c>
      <c r="F34" s="922" cm="1" t="str">
        <f t="array" ref="F34:F34">F33</f>
        <v>0</v>
      </c>
      <c r="G34" s="739" t="s">
        <v>1286</v>
      </c>
      <c r="T34" s="808" cm="1" t="str">
        <f t="array" ref="T34:T34">T33</f>
        <v>false</v>
      </c>
      <c r="AB34" s="325" t="s">
        <v>432</v>
      </c>
      <c r="AC34" s="163" t="s">
        <v>1287</v>
      </c>
      <c r="AD34" s="325" t="s">
        <v>810</v>
      </c>
      <c r="AE34" s="298">
        <f>AE28*AE33</f>
        <v>0</v>
      </c>
      <c r="AF34" s="298">
        <f>AF28*AF33</f>
        <v>0</v>
      </c>
      <c r="AG34" s="298">
        <f>AG28*AG33</f>
        <v>0</v>
      </c>
      <c r="AH34" s="298">
        <f>AH28*AH33</f>
        <v>0</v>
      </c>
      <c r="AI34" s="298">
        <f>AI28*AI33</f>
        <v>0</v>
      </c>
      <c r="AJ34" s="298">
        <f>AJ28*AJ33</f>
        <v>0</v>
      </c>
      <c r="AK34" s="298">
        <f>AK28*AK33</f>
        <v>0</v>
      </c>
      <c r="AL34" s="298">
        <f>AL28*AL33</f>
        <v>0</v>
      </c>
      <c r="AM34" s="298">
        <f>AM28*AM33</f>
        <v>0</v>
      </c>
      <c r="AN34" s="298">
        <f>AN28*AN33</f>
        <v>0</v>
      </c>
      <c r="AO34" s="298">
        <f>AO28*AO33</f>
        <v>0</v>
      </c>
      <c r="AP34" s="298">
        <f>AP28*AP33</f>
        <v>0</v>
      </c>
      <c r="AQ34" s="298">
        <f>AQ28*AQ33</f>
        <v>0</v>
      </c>
      <c r="AR34" s="298">
        <f>AR28*AR33</f>
        <v>0</v>
      </c>
      <c r="AS34" s="298">
        <f>AS28*AS33</f>
        <v>0</v>
      </c>
      <c r="AT34" s="298">
        <f>AT28*AT33</f>
        <v>0</v>
      </c>
      <c r="AU34" s="298">
        <f>AU28*AU33</f>
        <v>0</v>
      </c>
      <c r="AV34" s="298">
        <f>AV28*AV33</f>
        <v>0</v>
      </c>
      <c r="AW34" s="298">
        <f>AW28*AW33</f>
        <v>0</v>
      </c>
      <c r="AX34" s="298">
        <f>AX28*AX33</f>
        <v>0</v>
      </c>
      <c r="AY34" s="73"/>
      <c r="BB34" s="1206" t="s">
        <v>1288</v>
      </c>
    </row>
    <row s="1632" customFormat="1" customHeight="1" ht="16.5">
      <c r="A35" s="1582"/>
      <c r="B35" s="927"/>
      <c r="C35" s="1582"/>
      <c r="D35" s="1582"/>
      <c r="E35" s="797">
        <v>17</v>
      </c>
      <c r="F35" s="922" cm="1" t="str">
        <f t="array" ref="F35:F35">X35</f>
        <v>1</v>
      </c>
      <c r="G35" s="500"/>
      <c r="H35" s="500"/>
      <c r="I35" s="500"/>
      <c r="J35" s="500"/>
      <c r="K35" s="500"/>
      <c r="L35" s="500"/>
      <c r="M35" s="500"/>
      <c r="N35" s="500"/>
      <c r="O35" s="500"/>
      <c r="P35" s="500"/>
      <c r="Q35" s="928"/>
      <c r="R35" s="928"/>
      <c r="S35" s="500"/>
      <c r="T35" s="808">
        <f>X35&gt;0</f>
        <v>1</v>
      </c>
      <c r="U35" s="1582"/>
      <c r="V35" s="175" cm="1" t="str">
        <f t="array" ref="V35:V35">Налоги!$AB$41</f>
        <v>Тариф 1 (Теплоснабжение) - Тариф на тепловую энергию (мощность), поставляемую потребителям (Не определено)</v>
      </c>
      <c r="W35" s="1582"/>
      <c r="X35" s="175" t="s">
        <v>336</v>
      </c>
      <c r="Y35" s="1582"/>
      <c r="Z35" s="1582"/>
      <c r="AA35" s="220"/>
      <c r="AB35" s="320" cm="1" t="str">
        <f t="array" ref="AB35:AB35">IF(ISBLANK(Налоги!$AB$41),"",Налоги!$AB$41)</f>
        <v>Тариф 1 (Теплоснабжение) - Тариф на тепловую энергию (мощность), поставляемую потребителям (Не определено)</v>
      </c>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220"/>
      <c r="BA35" s="220"/>
      <c r="BB35" s="1206"/>
    </row>
    <row s="1925" customFormat="1" customHeight="1" ht="16.5">
      <c r="A36" s="319"/>
      <c r="B36" s="319"/>
      <c r="C36" s="319"/>
      <c r="D36" s="319"/>
      <c r="E36" s="797">
        <v>17</v>
      </c>
      <c r="F36" s="922" cm="1" t="str">
        <f t="array" ref="F36:F36">F35</f>
        <v>1</v>
      </c>
      <c r="G36" s="319"/>
      <c r="H36" s="319"/>
      <c r="I36" s="319"/>
      <c r="J36" s="319"/>
      <c r="K36" s="319"/>
      <c r="L36" s="319"/>
      <c r="M36" s="319"/>
      <c r="N36" s="319"/>
      <c r="O36" s="319"/>
      <c r="P36" s="319"/>
      <c r="Q36" s="319"/>
      <c r="R36" s="319"/>
      <c r="S36" s="319"/>
      <c r="T36" s="808" cm="1" t="str">
        <f t="array" ref="T36:T36">T35</f>
        <v>true</v>
      </c>
      <c r="U36" s="319"/>
      <c r="V36" s="319"/>
      <c r="W36" s="319"/>
      <c r="X36" s="319"/>
      <c r="Y36" s="319"/>
      <c r="Z36" s="319"/>
      <c r="AA36" s="319"/>
      <c r="AB36" s="325" t="s">
        <v>336</v>
      </c>
      <c r="AC36" s="163" t="s">
        <v>1275</v>
      </c>
      <c r="AD36" s="325" t="s">
        <v>810</v>
      </c>
      <c r="AE36" s="298">
        <f>AE37+AE38+AE39</f>
        <v>0</v>
      </c>
      <c r="AF36" s="327">
        <f>AF37+AF38+AF39</f>
        <v>0</v>
      </c>
      <c r="AG36" s="327">
        <f>AG37+AG38+AG39</f>
        <v>0</v>
      </c>
      <c r="AH36" s="327">
        <f>AH37+AH38+AH39</f>
        <v>0</v>
      </c>
      <c r="AI36" s="327">
        <f>AI37+AI38+AI39</f>
        <v>0</v>
      </c>
      <c r="AJ36" s="327">
        <f>AJ37+AJ38+AJ39</f>
        <v>0</v>
      </c>
      <c r="AK36" s="327">
        <f>AK37+AK38+AK39</f>
        <v>0</v>
      </c>
      <c r="AL36" s="327">
        <f>AL37+AL38+AL39</f>
        <v>0</v>
      </c>
      <c r="AM36" s="327">
        <f>AM37+AM38+AM39</f>
        <v>0</v>
      </c>
      <c r="AN36" s="327">
        <f>AN37+AN38+AN39</f>
        <v>0</v>
      </c>
      <c r="AO36" s="298">
        <f>AO37+AO38+AO39</f>
        <v>0</v>
      </c>
      <c r="AP36" s="327">
        <f>AP37+AP38+AP39</f>
        <v>0</v>
      </c>
      <c r="AQ36" s="327">
        <f>AQ37+AQ38+AQ39</f>
        <v>0</v>
      </c>
      <c r="AR36" s="327">
        <f>AR37+AR38+AR39</f>
        <v>0</v>
      </c>
      <c r="AS36" s="327">
        <f>AS37+AS38+AS39</f>
        <v>0</v>
      </c>
      <c r="AT36" s="327">
        <f>AT37+AT38+AT39</f>
        <v>0</v>
      </c>
      <c r="AU36" s="327">
        <f>AU37+AU38+AU39</f>
        <v>0</v>
      </c>
      <c r="AV36" s="327">
        <f>AV37+AV38+AV39</f>
        <v>0</v>
      </c>
      <c r="AW36" s="327">
        <f>AW37+AW38+AW39</f>
        <v>0</v>
      </c>
      <c r="AX36" s="327">
        <f>AX37+AX38+AX39</f>
        <v>0</v>
      </c>
      <c r="AY36" s="1719"/>
      <c r="AZ36" s="319"/>
      <c r="BA36" s="319"/>
      <c r="BB36" s="1206" t="s">
        <v>1276</v>
      </c>
    </row>
    <row s="1632" customFormat="1" customHeight="1" ht="16.5">
      <c r="A37" s="1582"/>
      <c r="B37" s="927"/>
      <c r="C37" s="1582"/>
      <c r="D37" s="1582"/>
      <c r="E37" s="797">
        <v>17</v>
      </c>
      <c r="F37" s="922" cm="1" t="str">
        <f t="array" ref="F37:F37">F36</f>
        <v>1</v>
      </c>
      <c r="G37" s="500"/>
      <c r="H37" s="500"/>
      <c r="I37" s="500"/>
      <c r="J37" s="500"/>
      <c r="K37" s="500"/>
      <c r="L37" s="500"/>
      <c r="M37" s="500"/>
      <c r="N37" s="500"/>
      <c r="O37" s="500"/>
      <c r="P37" s="500"/>
      <c r="Q37" s="928"/>
      <c r="R37" s="928"/>
      <c r="S37" s="500"/>
      <c r="T37" s="808" cm="1" t="str">
        <f t="array" ref="T37:T37">T36</f>
        <v>true</v>
      </c>
      <c r="U37" s="1582"/>
      <c r="V37" s="1582"/>
      <c r="W37" s="1582"/>
      <c r="X37" s="1582"/>
      <c r="Y37" s="1582"/>
      <c r="Z37" s="1582"/>
      <c r="AA37" s="220"/>
      <c r="AB37" s="173" t="s">
        <v>449</v>
      </c>
      <c r="AC37" s="164" t="s">
        <v>1277</v>
      </c>
      <c r="AD37" s="173" t="s">
        <v>810</v>
      </c>
      <c r="AE37" s="1907"/>
      <c r="AF37" s="1926"/>
      <c r="AG37" s="1926"/>
      <c r="AH37" s="1926"/>
      <c r="AI37" s="1926"/>
      <c r="AJ37" s="1926"/>
      <c r="AK37" s="1926"/>
      <c r="AL37" s="1926"/>
      <c r="AM37" s="1926"/>
      <c r="AN37" s="1926"/>
      <c r="AO37" s="1907"/>
      <c r="AP37" s="1926"/>
      <c r="AQ37" s="1926"/>
      <c r="AR37" s="1926"/>
      <c r="AS37" s="1926"/>
      <c r="AT37" s="1926"/>
      <c r="AU37" s="1926"/>
      <c r="AV37" s="1926"/>
      <c r="AW37" s="1926"/>
      <c r="AX37" s="1926"/>
      <c r="AY37" s="1719"/>
      <c r="AZ37" s="220"/>
      <c r="BA37" s="220"/>
      <c r="BB37" s="1206" t="s">
        <v>1278</v>
      </c>
    </row>
    <row s="1632" customFormat="1" customHeight="1" ht="16.5">
      <c r="A38" s="1582"/>
      <c r="B38" s="927"/>
      <c r="C38" s="1582"/>
      <c r="D38" s="1582"/>
      <c r="E38" s="797">
        <v>17</v>
      </c>
      <c r="F38" s="922" cm="1" t="str">
        <f t="array" ref="F38:F38">F37</f>
        <v>1</v>
      </c>
      <c r="G38" s="500"/>
      <c r="H38" s="500"/>
      <c r="I38" s="500"/>
      <c r="J38" s="500"/>
      <c r="K38" s="500"/>
      <c r="L38" s="500"/>
      <c r="M38" s="500"/>
      <c r="N38" s="500"/>
      <c r="O38" s="500"/>
      <c r="P38" s="500"/>
      <c r="Q38" s="928"/>
      <c r="R38" s="928"/>
      <c r="S38" s="500"/>
      <c r="T38" s="808" cm="1" t="str">
        <f t="array" ref="T38:T38">T37</f>
        <v>true</v>
      </c>
      <c r="U38" s="1582"/>
      <c r="V38" s="1582"/>
      <c r="W38" s="1582"/>
      <c r="X38" s="1582"/>
      <c r="Y38" s="1582"/>
      <c r="Z38" s="1582"/>
      <c r="AA38" s="220"/>
      <c r="AB38" s="173" t="s">
        <v>935</v>
      </c>
      <c r="AC38" s="164" t="s">
        <v>1279</v>
      </c>
      <c r="AD38" s="173" t="s">
        <v>810</v>
      </c>
      <c r="AE38" s="1907"/>
      <c r="AF38" s="1926"/>
      <c r="AG38" s="1926"/>
      <c r="AH38" s="1926"/>
      <c r="AI38" s="1926"/>
      <c r="AJ38" s="1926"/>
      <c r="AK38" s="1926"/>
      <c r="AL38" s="1926"/>
      <c r="AM38" s="1926"/>
      <c r="AN38" s="1926"/>
      <c r="AO38" s="1907"/>
      <c r="AP38" s="1926"/>
      <c r="AQ38" s="1926"/>
      <c r="AR38" s="1926"/>
      <c r="AS38" s="1926"/>
      <c r="AT38" s="1926"/>
      <c r="AU38" s="1926"/>
      <c r="AV38" s="1926"/>
      <c r="AW38" s="1926"/>
      <c r="AX38" s="1926"/>
      <c r="AY38" s="1719"/>
      <c r="AZ38" s="220"/>
      <c r="BA38" s="220"/>
      <c r="BB38" s="1206" t="s">
        <v>1280</v>
      </c>
    </row>
    <row s="1632" customFormat="1" customHeight="1" ht="33">
      <c r="A39" s="1582"/>
      <c r="B39" s="927"/>
      <c r="C39" s="1582"/>
      <c r="D39" s="1582"/>
      <c r="E39" s="797">
        <v>34.2</v>
      </c>
      <c r="F39" s="922" cm="1" t="str">
        <f t="array" ref="F39:F39">F38</f>
        <v>1</v>
      </c>
      <c r="G39" s="500"/>
      <c r="H39" s="500"/>
      <c r="I39" s="500"/>
      <c r="J39" s="500"/>
      <c r="K39" s="500"/>
      <c r="L39" s="500"/>
      <c r="M39" s="500"/>
      <c r="N39" s="500"/>
      <c r="O39" s="500"/>
      <c r="P39" s="500"/>
      <c r="Q39" s="928"/>
      <c r="R39" s="928"/>
      <c r="S39" s="500"/>
      <c r="T39" s="808" cm="1" t="str">
        <f t="array" ref="T39:T39">T38</f>
        <v>true</v>
      </c>
      <c r="U39" s="1582"/>
      <c r="V39" s="1582"/>
      <c r="W39" s="1582"/>
      <c r="X39" s="1582"/>
      <c r="Y39" s="1582"/>
      <c r="Z39" s="1582"/>
      <c r="AA39" s="220"/>
      <c r="AB39" s="173" t="s">
        <v>937</v>
      </c>
      <c r="AC39" s="164" t="s">
        <v>1281</v>
      </c>
      <c r="AD39" s="173" t="s">
        <v>810</v>
      </c>
      <c r="AE39" s="1907"/>
      <c r="AF39" s="1926"/>
      <c r="AG39" s="1926"/>
      <c r="AH39" s="1926"/>
      <c r="AI39" s="1926"/>
      <c r="AJ39" s="1926"/>
      <c r="AK39" s="1926"/>
      <c r="AL39" s="1926"/>
      <c r="AM39" s="1926"/>
      <c r="AN39" s="1926"/>
      <c r="AO39" s="1907"/>
      <c r="AP39" s="1926"/>
      <c r="AQ39" s="1926"/>
      <c r="AR39" s="1926"/>
      <c r="AS39" s="1926"/>
      <c r="AT39" s="1926"/>
      <c r="AU39" s="1926"/>
      <c r="AV39" s="1926"/>
      <c r="AW39" s="1926"/>
      <c r="AX39" s="1926"/>
      <c r="AY39" s="1719"/>
      <c r="AZ39" s="220"/>
      <c r="BA39" s="220"/>
      <c r="BB39" s="1206" t="s">
        <v>1282</v>
      </c>
    </row>
    <row s="1632" customFormat="1" customHeight="1" ht="16.5">
      <c r="A40" s="1582"/>
      <c r="B40" s="927"/>
      <c r="C40" s="1582"/>
      <c r="D40" s="1582"/>
      <c r="E40" s="797">
        <v>17</v>
      </c>
      <c r="F40" s="922" cm="1" t="str">
        <f t="array" ref="F40:F40">F39</f>
        <v>1</v>
      </c>
      <c r="G40" s="500"/>
      <c r="H40" s="500"/>
      <c r="I40" s="500"/>
      <c r="J40" s="500"/>
      <c r="K40" s="500"/>
      <c r="L40" s="500"/>
      <c r="M40" s="500"/>
      <c r="N40" s="500"/>
      <c r="O40" s="500"/>
      <c r="P40" s="500"/>
      <c r="Q40" s="928"/>
      <c r="R40" s="928"/>
      <c r="S40" s="500"/>
      <c r="T40" s="808" cm="1" t="str">
        <f t="array" ref="T40:T40">T39</f>
        <v>true</v>
      </c>
      <c r="U40" s="1582"/>
      <c r="V40" s="1582"/>
      <c r="W40" s="1582"/>
      <c r="X40" s="1582"/>
      <c r="Y40" s="1582"/>
      <c r="Z40" s="1582"/>
      <c r="AA40" s="220"/>
      <c r="AB40" s="173" t="s">
        <v>426</v>
      </c>
      <c r="AC40" s="323" t="s">
        <v>1283</v>
      </c>
      <c r="AD40" s="173" t="s">
        <v>498</v>
      </c>
      <c r="AE40" s="1143">
        <f>_xlfn.SUMIFS(Сценарии!AE$25:AE$83,Сценарии!$F$25:$F$83,$F40,Сценарии!$AC$25:$AC$83,"Индекс потребительских цен")</f>
        <v>0</v>
      </c>
      <c r="AF40" s="1143">
        <f>_xlfn.SUMIFS(Сценарии!AF$25:AF$83,Сценарии!$F$25:$F$83,$F40,Сценарии!$AC$25:$AC$83,"Индекс потребительских цен")</f>
        <v>0</v>
      </c>
      <c r="AG40" s="1143">
        <f>_xlfn.SUMIFS(Сценарии!AG$25:AG$83,Сценарии!$F$25:$F$83,$F40,Сценарии!$AC$25:$AC$83,"Индекс потребительских цен")</f>
        <v>0</v>
      </c>
      <c r="AH40" s="1143">
        <f>_xlfn.SUMIFS(Сценарии!AH$25:AH$83,Сценарии!$F$25:$F$83,$F40,Сценарии!$AC$25:$AC$83,"Индекс потребительских цен")</f>
        <v>0</v>
      </c>
      <c r="AI40" s="1143">
        <f>_xlfn.SUMIFS(Сценарии!AI$25:AI$83,Сценарии!$F$25:$F$83,$F40,Сценарии!$AC$25:$AC$83,"Индекс потребительских цен")</f>
        <v>0</v>
      </c>
      <c r="AJ40" s="1143">
        <f>_xlfn.SUMIFS(Сценарии!AJ$25:AJ$83,Сценарии!$F$25:$F$83,$F40,Сценарии!$AC$25:$AC$83,"Индекс потребительских цен")</f>
        <v>0</v>
      </c>
      <c r="AK40" s="1143">
        <f>_xlfn.SUMIFS(Сценарии!AK$25:AK$83,Сценарии!$F$25:$F$83,$F40,Сценарии!$AC$25:$AC$83,"Индекс потребительских цен")</f>
        <v>0</v>
      </c>
      <c r="AL40" s="1143">
        <f>_xlfn.SUMIFS(Сценарии!AL$25:AL$83,Сценарии!$F$25:$F$83,$F40,Сценарии!$AC$25:$AC$83,"Индекс потребительских цен")</f>
        <v>0</v>
      </c>
      <c r="AM40" s="1143">
        <f>_xlfn.SUMIFS(Сценарии!AM$25:AM$83,Сценарии!$F$25:$F$83,$F40,Сценарии!$AC$25:$AC$83,"Индекс потребительских цен")</f>
        <v>0</v>
      </c>
      <c r="AN40" s="1143">
        <f>_xlfn.SUMIFS(Сценарии!AN$25:AN$83,Сценарии!$F$25:$F$83,$F40,Сценарии!$AC$25:$AC$83,"Индекс потребительских цен")</f>
        <v>0</v>
      </c>
      <c r="AO40" s="1143">
        <f>_xlfn.SUMIFS(Сценарии!AO$25:AO$83,Сценарии!$F$25:$F$83,$F40,Сценарии!$AC$25:$AC$83,"Индекс потребительских цен")</f>
        <v>0</v>
      </c>
      <c r="AP40" s="1143">
        <f>_xlfn.SUMIFS(Сценарии!AP$25:AP$83,Сценарии!$F$25:$F$83,$F40,Сценарии!$AC$25:$AC$83,"Индекс потребительских цен")</f>
        <v>0</v>
      </c>
      <c r="AQ40" s="1143">
        <f>_xlfn.SUMIFS(Сценарии!AQ$25:AQ$83,Сценарии!$F$25:$F$83,$F40,Сценарии!$AC$25:$AC$83,"Индекс потребительских цен")</f>
        <v>0</v>
      </c>
      <c r="AR40" s="1143">
        <f>_xlfn.SUMIFS(Сценарии!AR$25:AR$83,Сценарии!$F$25:$F$83,$F40,Сценарии!$AC$25:$AC$83,"Индекс потребительских цен")</f>
        <v>0</v>
      </c>
      <c r="AS40" s="1143">
        <f>_xlfn.SUMIFS(Сценарии!AS$25:AS$83,Сценарии!$F$25:$F$83,$F40,Сценарии!$AC$25:$AC$83,"Индекс потребительских цен")</f>
        <v>0</v>
      </c>
      <c r="AT40" s="1143">
        <f>_xlfn.SUMIFS(Сценарии!AT$25:AT$83,Сценарии!$F$25:$F$83,$F40,Сценарии!$AC$25:$AC$83,"Индекс потребительских цен")</f>
        <v>0</v>
      </c>
      <c r="AU40" s="1143">
        <f>_xlfn.SUMIFS(Сценарии!AU$25:AU$83,Сценарии!$F$25:$F$83,$F40,Сценарии!$AC$25:$AC$83,"Индекс потребительских цен")</f>
        <v>0</v>
      </c>
      <c r="AV40" s="1143">
        <f>_xlfn.SUMIFS(Сценарии!AV$25:AV$83,Сценарии!$F$25:$F$83,$F40,Сценарии!$AC$25:$AC$83,"Индекс потребительских цен")</f>
        <v>0</v>
      </c>
      <c r="AW40" s="1143">
        <f>_xlfn.SUMIFS(Сценарии!AW$25:AW$83,Сценарии!$F$25:$F$83,$F40,Сценарии!$AC$25:$AC$83,"Индекс потребительских цен")</f>
        <v>0</v>
      </c>
      <c r="AX40" s="1143">
        <f>_xlfn.SUMIFS(Сценарии!AX$25:AX$83,Сценарии!$F$25:$F$83,$F40,Сценарии!$AC$25:$AC$83,"Индекс потребительских цен")</f>
        <v>0</v>
      </c>
      <c r="AY40" s="1719"/>
      <c r="AZ40" s="220"/>
      <c r="BA40" s="220"/>
      <c r="BB40" s="1206" t="s">
        <v>513</v>
      </c>
    </row>
    <row s="1632" customFormat="1" customHeight="1" ht="16.5">
      <c r="A41" s="1582"/>
      <c r="B41" s="927"/>
      <c r="C41" s="1582"/>
      <c r="D41" s="1582"/>
      <c r="E41" s="797">
        <v>17</v>
      </c>
      <c r="F41" s="922" cm="1" t="str">
        <f t="array" ref="F41:F41">F40</f>
        <v>1</v>
      </c>
      <c r="G41" s="500"/>
      <c r="H41" s="500"/>
      <c r="I41" s="500"/>
      <c r="J41" s="500"/>
      <c r="K41" s="500"/>
      <c r="L41" s="500"/>
      <c r="M41" s="500"/>
      <c r="N41" s="500"/>
      <c r="O41" s="500"/>
      <c r="P41" s="500"/>
      <c r="Q41" s="928"/>
      <c r="R41" s="928"/>
      <c r="S41" s="500"/>
      <c r="T41" s="808" cm="1" t="str">
        <f t="array" ref="T41:T41">T40</f>
        <v>true</v>
      </c>
      <c r="U41" s="1582"/>
      <c r="V41" s="1582"/>
      <c r="W41" s="1582"/>
      <c r="X41" s="1582"/>
      <c r="Y41" s="1582"/>
      <c r="Z41" s="1582"/>
      <c r="AA41" s="220"/>
      <c r="AB41" s="324">
        <v>3</v>
      </c>
      <c r="AC41" s="323" t="s">
        <v>1284</v>
      </c>
      <c r="AD41" s="173"/>
      <c r="AE41" s="1924">
        <f>1+AE40%</f>
        <v>1</v>
      </c>
      <c r="AF41" s="1927">
        <f>AE41*(1+AF40%)</f>
        <v>1</v>
      </c>
      <c r="AG41" s="1927">
        <f>AF41*(1+AG40%)</f>
        <v>1</v>
      </c>
      <c r="AH41" s="1927">
        <f>AG41*(1+AH40%)</f>
        <v>1</v>
      </c>
      <c r="AI41" s="1927">
        <f>AH41*(1+AI40%)</f>
        <v>1</v>
      </c>
      <c r="AJ41" s="1927">
        <f>AI41*(1+AJ40%)</f>
        <v>1</v>
      </c>
      <c r="AK41" s="1927">
        <f>AJ41*(1+AK40%)</f>
        <v>1</v>
      </c>
      <c r="AL41" s="1927">
        <f>AK41*(1+AL40%)</f>
        <v>1</v>
      </c>
      <c r="AM41" s="1927">
        <f>AL41*(1+AM40%)</f>
        <v>1</v>
      </c>
      <c r="AN41" s="1927">
        <f>AM41*(1+AN40%)</f>
        <v>1</v>
      </c>
      <c r="AO41" s="1924">
        <f>1+AO40%</f>
        <v>1</v>
      </c>
      <c r="AP41" s="1927">
        <f>AO41*(1+AP40%)</f>
        <v>1</v>
      </c>
      <c r="AQ41" s="1927">
        <f>AP41*(1+AQ40%)</f>
        <v>1</v>
      </c>
      <c r="AR41" s="1927">
        <f>AQ41*(1+AR40%)</f>
        <v>1</v>
      </c>
      <c r="AS41" s="1927">
        <f>AR41*(1+AS40%)</f>
        <v>1</v>
      </c>
      <c r="AT41" s="1927">
        <f>AS41*(1+AT40%)</f>
        <v>1</v>
      </c>
      <c r="AU41" s="1927">
        <f>AT41*(1+AU40%)</f>
        <v>1</v>
      </c>
      <c r="AV41" s="1927">
        <f>AU41*(1+AV40%)</f>
        <v>1</v>
      </c>
      <c r="AW41" s="1927">
        <f>AV41*(1+AW40%)</f>
        <v>1</v>
      </c>
      <c r="AX41" s="1927">
        <f>AW41*(1+AX40%)</f>
        <v>1</v>
      </c>
      <c r="AY41" s="1719"/>
      <c r="AZ41" s="220"/>
      <c r="BA41" s="220"/>
      <c r="BB41" s="1206" t="s">
        <v>1285</v>
      </c>
    </row>
    <row s="1928" customFormat="1" customHeight="1" ht="16.5">
      <c r="A42" s="319"/>
      <c r="B42" s="319"/>
      <c r="C42" s="319"/>
      <c r="D42" s="319"/>
      <c r="E42" s="797">
        <v>17</v>
      </c>
      <c r="F42" s="922" cm="1" t="str">
        <f t="array" ref="F42:F42">F41</f>
        <v>1</v>
      </c>
      <c r="G42" s="739" t="s">
        <v>1286</v>
      </c>
      <c r="H42" s="319"/>
      <c r="I42" s="319"/>
      <c r="J42" s="319"/>
      <c r="K42" s="319"/>
      <c r="L42" s="319"/>
      <c r="M42" s="319"/>
      <c r="N42" s="319"/>
      <c r="O42" s="319"/>
      <c r="P42" s="319"/>
      <c r="Q42" s="319"/>
      <c r="R42" s="319"/>
      <c r="S42" s="319"/>
      <c r="T42" s="808" cm="1" t="str">
        <f t="array" ref="T42:T42">T41</f>
        <v>true</v>
      </c>
      <c r="U42" s="319"/>
      <c r="V42" s="319"/>
      <c r="W42" s="319"/>
      <c r="X42" s="319"/>
      <c r="Y42" s="319"/>
      <c r="Z42" s="319"/>
      <c r="AA42" s="319"/>
      <c r="AB42" s="325" t="s">
        <v>432</v>
      </c>
      <c r="AC42" s="163" t="s">
        <v>1287</v>
      </c>
      <c r="AD42" s="325" t="s">
        <v>810</v>
      </c>
      <c r="AE42" s="298">
        <f>AE36*AE41</f>
        <v>0</v>
      </c>
      <c r="AF42" s="298">
        <f>AF36*AF41</f>
        <v>0</v>
      </c>
      <c r="AG42" s="298">
        <f>AG36*AG41</f>
        <v>0</v>
      </c>
      <c r="AH42" s="298">
        <f>AH36*AH41</f>
        <v>0</v>
      </c>
      <c r="AI42" s="298">
        <f>AI36*AI41</f>
        <v>0</v>
      </c>
      <c r="AJ42" s="298">
        <f>AJ36*AJ41</f>
        <v>0</v>
      </c>
      <c r="AK42" s="298">
        <f>AK36*AK41</f>
        <v>0</v>
      </c>
      <c r="AL42" s="298">
        <f>AL36*AL41</f>
        <v>0</v>
      </c>
      <c r="AM42" s="298">
        <f>AM36*AM41</f>
        <v>0</v>
      </c>
      <c r="AN42" s="298">
        <f>AN36*AN41</f>
        <v>0</v>
      </c>
      <c r="AO42" s="298">
        <f>AO36*AO41</f>
        <v>0</v>
      </c>
      <c r="AP42" s="298">
        <f>AP36*AP41</f>
        <v>0</v>
      </c>
      <c r="AQ42" s="298">
        <f>AQ36*AQ41</f>
        <v>0</v>
      </c>
      <c r="AR42" s="298">
        <f>AR36*AR41</f>
        <v>0</v>
      </c>
      <c r="AS42" s="298">
        <f>AS36*AS41</f>
        <v>0</v>
      </c>
      <c r="AT42" s="298">
        <f>AT36*AT41</f>
        <v>0</v>
      </c>
      <c r="AU42" s="298">
        <f>AU36*AU41</f>
        <v>0</v>
      </c>
      <c r="AV42" s="298">
        <f>AV36*AV41</f>
        <v>0</v>
      </c>
      <c r="AW42" s="298">
        <f>AW36*AW41</f>
        <v>0</v>
      </c>
      <c r="AX42" s="298">
        <f>AX36*AX41</f>
        <v>0</v>
      </c>
      <c r="AY42" s="1719"/>
      <c r="AZ42" s="319"/>
      <c r="BA42" s="319"/>
      <c r="BB42" s="1206" t="s">
        <v>1288</v>
      </c>
    </row>
    <row customHeight="1" ht="11.115">
      <c r="E43" s="797">
        <v>11.4</v>
      </c>
      <c r="U43" s="179" t="s">
        <v>236</v>
      </c>
      <c r="V43" s="171" t="s">
        <v>1289</v>
      </c>
      <c r="AE43" s="220"/>
      <c r="AF43" s="220"/>
      <c r="AG43" s="220"/>
      <c r="AH43" s="220"/>
      <c r="AI43" s="220"/>
      <c r="AJ43" s="220"/>
      <c r="AK43" s="220"/>
      <c r="AL43" s="220"/>
      <c r="AM43" s="220"/>
      <c r="AN43" s="220"/>
      <c r="AO43" s="220"/>
      <c r="AP43" s="220"/>
      <c r="AQ43" s="220"/>
      <c r="AR43" s="220"/>
      <c r="AS43" s="220"/>
      <c r="AT43" s="220"/>
      <c r="AU43" s="220"/>
      <c r="AV43" s="220"/>
      <c r="AW43" s="220"/>
      <c r="AX43" s="220"/>
    </row>
    <row customHeight="1" ht="11.25" hidden="1">
      <c r="E44" s="797">
        <v>0</v>
      </c>
      <c r="AE44" s="220"/>
      <c r="AF44" s="220"/>
      <c r="AG44" s="220"/>
      <c r="AH44" s="220"/>
      <c r="AI44" s="220"/>
      <c r="AJ44" s="220"/>
      <c r="AK44" s="220"/>
      <c r="AL44" s="220"/>
      <c r="AM44" s="220"/>
      <c r="AN44" s="220"/>
      <c r="AO44" s="220"/>
      <c r="AP44" s="220"/>
      <c r="AQ44" s="220"/>
      <c r="AR44" s="220"/>
      <c r="AS44" s="220"/>
      <c r="AT44" s="220"/>
      <c r="AU44" s="220"/>
      <c r="AV44" s="220"/>
      <c r="AW44" s="220"/>
      <c r="AX44" s="220"/>
    </row>
    <row customHeight="1" ht="14.625">
      <c r="E45" s="797">
        <v>15</v>
      </c>
      <c r="AB45" s="1530" t="s">
        <v>705</v>
      </c>
      <c r="AC45" s="1530"/>
      <c r="AD45" s="1530"/>
      <c r="AE45" s="1530"/>
      <c r="AF45" s="1530"/>
      <c r="AG45" s="1530"/>
      <c r="AH45" s="1530"/>
      <c r="AI45" s="1530"/>
      <c r="AJ45" s="1530"/>
      <c r="AK45" s="1530"/>
      <c r="AL45" s="1530"/>
      <c r="AM45" s="1530"/>
      <c r="AN45" s="1530"/>
      <c r="AO45" s="1530"/>
      <c r="AP45" s="1530"/>
      <c r="AQ45" s="1530"/>
      <c r="AR45" s="1530"/>
      <c r="AS45" s="1530"/>
      <c r="AT45" s="1530"/>
      <c r="AU45" s="1530"/>
      <c r="AV45" s="1530"/>
      <c r="AW45" s="1530"/>
      <c r="AX45" s="1531"/>
      <c r="AY45" s="1531"/>
    </row>
    <row customHeight="1" ht="14.625">
      <c r="E46" s="797">
        <v>15</v>
      </c>
      <c r="AA46" s="921"/>
      <c r="AB46" s="1543"/>
      <c r="AC46" s="1544"/>
      <c r="AD46" s="1544"/>
      <c r="AE46" s="1544"/>
      <c r="AF46" s="1544"/>
      <c r="AG46" s="1544"/>
      <c r="AH46" s="1544"/>
      <c r="AI46" s="1544"/>
      <c r="AJ46" s="1544"/>
      <c r="AK46" s="1544"/>
      <c r="AL46" s="1544"/>
      <c r="AM46" s="1544"/>
      <c r="AN46" s="1544"/>
      <c r="AO46" s="1544"/>
      <c r="AP46" s="1544"/>
      <c r="AQ46" s="1544"/>
      <c r="AR46" s="1544"/>
      <c r="AS46" s="1544"/>
      <c r="AT46" s="1544"/>
      <c r="AU46" s="1544"/>
      <c r="AV46" s="1544"/>
      <c r="AW46" s="1544"/>
      <c r="AX46" s="1545"/>
      <c r="AY46" s="1545"/>
    </row>
    <row customHeight="1" ht="14.625" hidden="1">
      <c r="A47" s="1582"/>
      <c r="B47" s="927"/>
      <c r="C47" s="1582"/>
      <c r="D47" s="1582"/>
      <c r="E47" s="797">
        <v>15</v>
      </c>
      <c r="F47" s="1582"/>
      <c r="G47" s="500"/>
      <c r="H47" s="500"/>
      <c r="I47" s="500"/>
      <c r="J47" s="500"/>
      <c r="K47" s="500"/>
      <c r="L47" s="500"/>
      <c r="M47" s="500"/>
      <c r="N47" s="500"/>
      <c r="O47" s="500"/>
      <c r="P47" s="500"/>
      <c r="Q47" s="928"/>
      <c r="R47" s="928"/>
      <c r="S47" s="500"/>
      <c r="T47" s="808">
        <f>ROW(W47)&gt;ROW(W$47)</f>
        <v>0</v>
      </c>
      <c r="U47" s="1582"/>
      <c r="V47" s="1582"/>
      <c r="W47" s="175" t="s">
        <v>234</v>
      </c>
      <c r="X47" s="1582"/>
      <c r="Y47" s="1582"/>
      <c r="Z47" s="1582"/>
      <c r="AA47" s="917" t="s">
        <v>218</v>
      </c>
      <c r="AB47" s="1932"/>
      <c r="AC47" s="1544"/>
      <c r="AD47" s="1544"/>
      <c r="AE47" s="1544"/>
      <c r="AF47" s="1544"/>
      <c r="AG47" s="1544"/>
      <c r="AH47" s="1544"/>
      <c r="AI47" s="1544"/>
      <c r="AJ47" s="1544"/>
      <c r="AK47" s="1544"/>
      <c r="AL47" s="1544"/>
      <c r="AM47" s="1544"/>
      <c r="AN47" s="1544"/>
      <c r="AO47" s="1544"/>
      <c r="AP47" s="1544"/>
      <c r="AQ47" s="1544"/>
      <c r="AR47" s="1544"/>
      <c r="AS47" s="1544"/>
      <c r="AT47" s="1544"/>
      <c r="AU47" s="1544"/>
      <c r="AV47" s="1544"/>
      <c r="AW47" s="1544"/>
      <c r="AX47" s="1545"/>
      <c r="AY47" s="1545"/>
      <c r="AZ47" s="220"/>
      <c r="BA47" s="220"/>
      <c r="BB47" s="1206"/>
    </row>
    <row customHeight="1" ht="14.625">
      <c r="E48" s="797">
        <v>15</v>
      </c>
      <c r="W48" s="171" t="s">
        <v>235</v>
      </c>
      <c r="AA48" s="213"/>
      <c r="AB48" s="1478" t="s">
        <v>706</v>
      </c>
      <c r="AC48" s="1479"/>
      <c r="AD48" s="383"/>
      <c r="AE48" s="383"/>
      <c r="AF48" s="383"/>
      <c r="AG48" s="383"/>
      <c r="AH48" s="383"/>
      <c r="AI48" s="383"/>
      <c r="AJ48" s="383"/>
      <c r="AK48" s="383"/>
      <c r="AL48" s="383"/>
      <c r="AM48" s="383"/>
      <c r="AN48" s="383"/>
      <c r="AO48" s="383"/>
      <c r="AP48" s="383"/>
      <c r="AQ48" s="383"/>
      <c r="AR48" s="383"/>
      <c r="AS48" s="383"/>
      <c r="AT48" s="383"/>
      <c r="AU48" s="383"/>
      <c r="AV48" s="383"/>
      <c r="AW48" s="383"/>
      <c r="AX48" s="383"/>
      <c r="AY48" s="350"/>
    </row>
    <row customHeight="1" ht="11.25">
      <c r="AE49" s="220"/>
      <c r="AF49" s="220"/>
      <c r="AG49" s="220"/>
      <c r="AH49" s="220"/>
      <c r="AI49" s="220"/>
      <c r="AJ49" s="220"/>
      <c r="AK49" s="220"/>
      <c r="AL49" s="220"/>
      <c r="AM49" s="220"/>
      <c r="AN49" s="220"/>
      <c r="AO49" s="220"/>
      <c r="AP49" s="220"/>
      <c r="AQ49" s="220"/>
      <c r="AR49" s="220"/>
      <c r="AS49" s="220"/>
      <c r="AT49" s="220"/>
      <c r="AU49" s="220"/>
      <c r="AV49" s="220"/>
      <c r="AW49" s="220"/>
      <c r="AX49" s="220"/>
      <c r="AZ49" s="201"/>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A68718-E175-7AD3-09F8-C95DF8F6F843}"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K52" sqref="AK52"/>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6" style="230" width="3.57421875" hidden="1" customWidth="1"/>
    <col min="17" max="18" style="193" width="3.57421875" hidden="1" customWidth="1"/>
    <col min="19" max="19" style="230"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8.13281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235" width="9.140625" hidden="1"/>
    <col min="47" max="48" style="1236"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372</v>
      </c>
      <c r="Z1" s="808" t="s">
        <v>93</v>
      </c>
      <c r="AA1" s="819" t="s">
        <v>90</v>
      </c>
      <c r="AB1" s="819" t="s">
        <v>92</v>
      </c>
      <c r="AC1" s="819" t="s">
        <v>92</v>
      </c>
      <c r="AR1" s="1235" t="s">
        <v>373</v>
      </c>
      <c r="AS1" s="1235" t="s">
        <v>374</v>
      </c>
      <c r="AT1" s="1235" t="s">
        <v>375</v>
      </c>
      <c r="AU1" s="1236" t="s">
        <v>378</v>
      </c>
      <c r="AV1" s="1236" t="s">
        <v>379</v>
      </c>
    </row>
    <row s="927" customFormat="1" customHeight="1" ht="12" hidden="1">
      <c r="B2" s="910" t="s">
        <v>15</v>
      </c>
      <c r="G2" s="930"/>
      <c r="H2" s="930"/>
      <c r="I2" s="930"/>
      <c r="J2" s="930"/>
      <c r="K2" s="930"/>
      <c r="L2" s="930"/>
      <c r="M2" s="930"/>
      <c r="N2" s="930"/>
      <c r="O2" s="930"/>
      <c r="P2" s="930"/>
      <c r="Q2" s="930"/>
      <c r="R2" s="930"/>
      <c r="S2" s="930"/>
      <c r="AC2" s="792"/>
      <c r="AJ2" s="1582"/>
      <c r="AK2" s="1582"/>
      <c r="AL2" s="1582"/>
      <c r="AR2" s="1176"/>
      <c r="AS2" s="1176"/>
      <c r="AT2" s="1176"/>
      <c r="AU2" s="1188"/>
      <c r="AV2" s="1188"/>
    </row>
    <row s="228" customFormat="1" customHeight="1" ht="12" hidden="1">
      <c r="B3" s="788"/>
      <c r="E3" s="788"/>
      <c r="G3" s="230"/>
      <c r="H3" s="230"/>
      <c r="I3" s="230"/>
      <c r="J3" s="230"/>
      <c r="K3" s="230"/>
      <c r="L3" s="230"/>
      <c r="M3" s="230"/>
      <c r="N3" s="230"/>
      <c r="O3" s="230"/>
      <c r="P3" s="230"/>
      <c r="Q3" s="193"/>
      <c r="R3" s="193"/>
      <c r="S3" s="230"/>
      <c r="T3" s="175"/>
      <c r="U3" s="175"/>
      <c r="V3" s="175"/>
      <c r="W3" s="175"/>
      <c r="X3" s="175"/>
      <c r="Y3" s="175"/>
      <c r="Z3" s="175"/>
      <c r="AC3" s="232"/>
      <c r="AR3" s="1235"/>
      <c r="AS3" s="1235"/>
      <c r="AT3" s="1235"/>
      <c r="AU3" s="1236"/>
      <c r="AV3" s="1236"/>
    </row>
    <row s="228" customFormat="1" customHeight="1" ht="12" hidden="1">
      <c r="B4" s="788"/>
      <c r="E4" s="788"/>
      <c r="G4" s="230"/>
      <c r="H4" s="230"/>
      <c r="I4" s="230"/>
      <c r="J4" s="230"/>
      <c r="K4" s="230"/>
      <c r="L4" s="230"/>
      <c r="M4" s="230"/>
      <c r="N4" s="230"/>
      <c r="O4" s="230"/>
      <c r="P4" s="230"/>
      <c r="Q4" s="193"/>
      <c r="R4" s="193"/>
      <c r="S4" s="230"/>
      <c r="T4" s="175"/>
      <c r="U4" s="175"/>
      <c r="V4" s="175"/>
      <c r="W4" s="175"/>
      <c r="X4" s="175"/>
      <c r="Y4" s="175"/>
      <c r="Z4" s="175"/>
      <c r="AC4" s="232"/>
      <c r="AR4" s="1235"/>
      <c r="AS4" s="1235"/>
      <c r="AT4" s="1235"/>
      <c r="AU4" s="1236"/>
      <c r="AV4" s="1236"/>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12.63</v>
      </c>
      <c r="AF5" s="797">
        <v>12.63</v>
      </c>
      <c r="AG5" s="797">
        <v>12.63</v>
      </c>
      <c r="AH5" s="797">
        <v>19.13</v>
      </c>
      <c r="AI5" s="797">
        <v>12.63</v>
      </c>
      <c r="AJ5" s="797">
        <v>12.63</v>
      </c>
      <c r="AK5" s="797">
        <v>12.63</v>
      </c>
      <c r="AL5" s="797">
        <v>38.13</v>
      </c>
      <c r="AM5" s="797">
        <v>19</v>
      </c>
      <c r="AN5" s="797">
        <v>17.25</v>
      </c>
      <c r="AO5" s="797">
        <v>31.25</v>
      </c>
      <c r="AP5" s="797">
        <v>3</v>
      </c>
      <c r="AR5" s="1176"/>
      <c r="AS5" s="1176"/>
      <c r="AT5" s="1176"/>
      <c r="AU5" s="1188"/>
      <c r="AV5" s="1188"/>
    </row>
    <row s="228" customFormat="1" customHeight="1" ht="12" hidden="1">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cm="1" t="str">
        <f t="array" ref="AK6:AK6">god</f>
        <v>2026</v>
      </c>
      <c r="AL6" s="175" cm="1" t="str">
        <f t="array" ref="AL6:AL6">god</f>
        <v>2026</v>
      </c>
      <c r="AR6" s="1235"/>
      <c r="AS6" s="1235"/>
      <c r="AT6" s="1235"/>
      <c r="AU6" s="1236"/>
      <c r="AV6" s="1236"/>
    </row>
    <row customHeight="1" ht="12" hidden="1">
      <c r="F7" s="230"/>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234" customFormat="1" customHeight="1" ht="12" hidden="1">
      <c r="A9" s="1161" t="s">
        <v>437</v>
      </c>
      <c r="B9" s="1154"/>
      <c r="E9" s="1154"/>
      <c r="Q9" s="1212"/>
      <c r="R9" s="1212"/>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cm="1" t="str">
        <f t="array" ref="AK9:AK9">god</f>
        <v>2026</v>
      </c>
      <c r="AL9" s="1234" cm="1" t="str">
        <f t="array" ref="AL9:AL9">god</f>
        <v>2026</v>
      </c>
      <c r="AR9" s="1235"/>
      <c r="AS9" s="1235"/>
      <c r="AT9" s="1235"/>
      <c r="AU9" s="1236"/>
      <c r="AV9" s="1236"/>
    </row>
    <row s="1234" customFormat="1" customHeight="1" ht="12" hidden="1">
      <c r="A10" s="1161" t="s">
        <v>438</v>
      </c>
      <c r="B10" s="1154"/>
      <c r="E10" s="1154"/>
      <c r="Q10" s="1212"/>
      <c r="R10" s="1212"/>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Принято органом регулирования</v>
      </c>
      <c r="AL10" s="1234"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5"/>
      <c r="AS10" s="1235"/>
      <c r="AT10" s="1235"/>
      <c r="AU10" s="1236"/>
      <c r="AV10" s="1236"/>
    </row>
    <row s="1234" customFormat="1" customHeight="1" ht="12" hidden="1">
      <c r="A11" s="1161" t="s">
        <v>439</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M11" s="1234" cm="1" t="str">
        <f t="array" ref="AM11:AM11">AM24</f>
        <v>Указание на подтверждающие документы / URL-ссылка на копии подтверждающих документов</v>
      </c>
      <c r="AN11" s="1234" cm="1" t="str">
        <f t="array" ref="AN11:AN11">AN24</f>
        <v>Ссылка на правовую норму (основание для принятия показателя в расчет тарифа)</v>
      </c>
      <c r="AO11" s="1234"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5"/>
      <c r="AS11" s="1235"/>
      <c r="AT11" s="1235"/>
      <c r="AU11" s="1236"/>
      <c r="AV11" s="1236"/>
    </row>
    <row s="1234" customFormat="1" customHeight="1" ht="12" hidden="1">
      <c r="A12" s="1161" t="s">
        <v>384</v>
      </c>
      <c r="B12" s="1154"/>
      <c r="E12" s="1154"/>
      <c r="G12" s="1237"/>
      <c r="H12" s="1237"/>
      <c r="I12" s="1237"/>
      <c r="J12" s="1237"/>
      <c r="K12" s="1237"/>
      <c r="L12" s="1237"/>
      <c r="M12" s="1237"/>
      <c r="N12" s="1237"/>
      <c r="O12" s="1237"/>
      <c r="P12" s="1237"/>
      <c r="Q12" s="1214"/>
      <c r="R12" s="1214"/>
      <c r="S12" s="1237"/>
      <c r="T12" s="1162"/>
      <c r="U12" s="1162"/>
      <c r="V12" s="1162"/>
      <c r="W12" s="1162"/>
      <c r="X12" s="1162"/>
      <c r="Y12" s="1162"/>
      <c r="Z12" s="1162"/>
      <c r="AC12" s="1238" t="s">
        <v>375</v>
      </c>
      <c r="AR12" s="1235"/>
      <c r="AS12" s="1235"/>
      <c r="AT12" s="1235"/>
      <c r="AU12" s="1236"/>
      <c r="AV12" s="1236"/>
    </row>
    <row s="228" customFormat="1" customHeight="1" ht="12" hidden="1">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R13" s="1235"/>
      <c r="AS13" s="1235"/>
      <c r="AT13" s="1235"/>
      <c r="AU13" s="1236"/>
      <c r="AV13" s="1236"/>
    </row>
    <row s="228" customFormat="1" customHeight="1" ht="12" hidden="1">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R14" s="1235"/>
      <c r="AS14" s="1235"/>
      <c r="AT14" s="1235"/>
      <c r="AU14" s="1236"/>
      <c r="AV14" s="1236"/>
    </row>
    <row s="228" customFormat="1" customHeight="1" ht="12" hidden="1">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235"/>
      <c r="AS15" s="1235"/>
      <c r="AT15" s="1235"/>
      <c r="AU15" s="1236"/>
      <c r="AV15" s="1236"/>
    </row>
    <row s="228" customFormat="1" customHeight="1" ht="12" hidden="1">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235"/>
      <c r="AS16" s="1235"/>
      <c r="AT16" s="1235"/>
      <c r="AU16" s="1236"/>
      <c r="AV16" s="1236"/>
    </row>
    <row s="228" customFormat="1" customHeight="1" ht="12" hidden="1">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R17" s="1235"/>
      <c r="AS17" s="1235"/>
      <c r="AT17" s="1235"/>
      <c r="AU17" s="1236"/>
      <c r="AV17" s="1236"/>
    </row>
    <row s="228" customFormat="1" customHeight="1" ht="12" hidden="1">
      <c r="A18" s="228" t="s">
        <v>495</v>
      </c>
      <c r="B18" s="788"/>
      <c r="E18" s="797"/>
      <c r="G18" s="230"/>
      <c r="H18" s="230"/>
      <c r="I18" s="230"/>
      <c r="J18" s="230"/>
      <c r="K18" s="230"/>
      <c r="L18" s="230"/>
      <c r="M18" s="230"/>
      <c r="N18" s="230"/>
      <c r="O18" s="230"/>
      <c r="P18" s="230"/>
      <c r="Q18" s="193"/>
      <c r="R18" s="193"/>
      <c r="S18" s="230"/>
      <c r="T18" s="175"/>
      <c r="U18" s="175"/>
      <c r="V18" s="175"/>
      <c r="W18" s="175"/>
      <c r="X18" s="175"/>
      <c r="Y18" s="175"/>
      <c r="Z18" s="175"/>
      <c r="AC18" s="232" t="s">
        <v>440</v>
      </c>
      <c r="AR18" s="1235"/>
      <c r="AS18" s="1235"/>
      <c r="AT18" s="1235"/>
      <c r="AU18" s="1236"/>
      <c r="AV18" s="1236"/>
    </row>
    <row s="228" customFormat="1" customHeight="1" ht="12" hidden="1">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R19" s="1235"/>
      <c r="AS19" s="1235"/>
      <c r="AT19" s="1235"/>
      <c r="AU19" s="1236"/>
      <c r="AV19" s="1236"/>
    </row>
    <row s="228" customFormat="1" customHeight="1" ht="11.115" hidden="1">
      <c r="B20" s="788"/>
      <c r="E20" s="797">
        <v>11.4</v>
      </c>
      <c r="G20" s="230"/>
      <c r="H20" s="230"/>
      <c r="I20" s="230"/>
      <c r="J20" s="230"/>
      <c r="K20" s="230"/>
      <c r="L20" s="230"/>
      <c r="M20" s="230"/>
      <c r="N20" s="230"/>
      <c r="O20" s="230"/>
      <c r="P20" s="230"/>
      <c r="Q20" s="193"/>
      <c r="R20" s="193"/>
      <c r="S20" s="230"/>
      <c r="T20" s="175"/>
      <c r="U20" s="175"/>
      <c r="V20" s="175"/>
      <c r="W20" s="175"/>
      <c r="X20" s="175"/>
      <c r="Y20" s="175"/>
      <c r="Z20" s="175"/>
      <c r="AC20" s="232"/>
      <c r="AR20" s="1235"/>
      <c r="AS20" s="1235"/>
      <c r="AT20" s="1235"/>
      <c r="AU20" s="1236"/>
      <c r="AV20" s="1236"/>
    </row>
    <row customHeight="1" ht="14.625">
      <c r="E21" s="797">
        <v>15</v>
      </c>
      <c r="AA21" s="820"/>
      <c r="AB21" s="230"/>
      <c r="AC21" s="403" cm="1" t="str">
        <f t="array" ref="AC21:AC21">tpl_title</f>
        <v>Кемеровская область / 2026 / ООО "ВЕЛЕС" (ИНН:4212036655, КПП:421201001) / ДПР: 2016-2025</v>
      </c>
      <c r="AD21" s="230"/>
    </row>
    <row s="1535" customFormat="1" customHeight="1" ht="19.5975">
      <c r="A22" s="183"/>
      <c r="B22" s="788"/>
      <c r="C22" s="183"/>
      <c r="D22" s="183"/>
      <c r="E22" s="797">
        <v>20.1</v>
      </c>
      <c r="F22" s="183"/>
      <c r="Q22" s="193"/>
      <c r="R22" s="193"/>
      <c r="T22" s="179"/>
      <c r="U22" s="179"/>
      <c r="V22" s="179"/>
      <c r="W22" s="179"/>
      <c r="X22" s="179"/>
      <c r="Y22" s="179"/>
      <c r="Z22" s="179"/>
      <c r="AB22" s="392" t="s">
        <v>55</v>
      </c>
      <c r="AC22" s="329"/>
      <c r="AD22" s="329"/>
      <c r="AE22" s="329"/>
      <c r="AF22" s="329"/>
      <c r="AG22" s="329"/>
      <c r="AH22" s="329"/>
      <c r="AI22" s="329"/>
      <c r="AJ22" s="329"/>
      <c r="AK22" s="329"/>
      <c r="AL22" s="329"/>
      <c r="AM22" s="329"/>
      <c r="AN22" s="329"/>
      <c r="AO22" s="329"/>
      <c r="AR22" s="1192"/>
      <c r="AS22" s="1192"/>
      <c r="AT22" s="1192"/>
      <c r="AU22" s="1193"/>
      <c r="AV22" s="1193"/>
    </row>
    <row s="1535" customFormat="1" customHeight="1" ht="9.945">
      <c r="A23" s="183"/>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92"/>
      <c r="AS23" s="1192"/>
      <c r="AT23" s="1192"/>
      <c r="AU23" s="1193"/>
      <c r="AV23" s="1193"/>
    </row>
    <row s="229" customFormat="1" customHeight="1" ht="24.180000000000003">
      <c r="A24" s="232"/>
      <c r="B24" s="792"/>
      <c r="C24" s="232"/>
      <c r="D24" s="232"/>
      <c r="E24" s="803">
        <v>24.8</v>
      </c>
      <c r="F24" s="232"/>
      <c r="Q24" s="932"/>
      <c r="R24" s="932"/>
      <c r="T24" s="171"/>
      <c r="U24" s="171"/>
      <c r="V24" s="171"/>
      <c r="W24" s="171"/>
      <c r="X24" s="171"/>
      <c r="Y24" s="171"/>
      <c r="Z24" s="171"/>
      <c r="AB24" s="1547" t="s">
        <v>386</v>
      </c>
      <c r="AC24" s="1547" t="s">
        <v>440</v>
      </c>
      <c r="AD24" s="1547" t="s">
        <v>441</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70" t="str">
        <f>god&amp;" год"</f>
        <v>2026 год</v>
      </c>
      <c r="AL24" s="170" t="str">
        <f>god&amp;" год"</f>
        <v>2026 год</v>
      </c>
      <c r="AM24" s="1546" t="s">
        <v>1290</v>
      </c>
      <c r="AN24" s="1546" t="s">
        <v>595</v>
      </c>
      <c r="AO24" s="1546" t="s">
        <v>1291</v>
      </c>
      <c r="AR24" s="1235"/>
      <c r="AS24" s="1239"/>
      <c r="AT24" s="1239"/>
      <c r="AU24" s="1240"/>
      <c r="AV24" s="1240"/>
    </row>
    <row s="229" customFormat="1" customHeight="1" ht="44.655">
      <c r="A25" s="232"/>
      <c r="B25" s="792"/>
      <c r="C25" s="232"/>
      <c r="D25" s="232"/>
      <c r="E25" s="803">
        <v>45.8</v>
      </c>
      <c r="F25" s="232"/>
      <c r="Q25" s="932"/>
      <c r="R25" s="932"/>
      <c r="T25" s="171"/>
      <c r="U25" s="171"/>
      <c r="V25" s="171"/>
      <c r="W25" s="171"/>
      <c r="X25" s="171"/>
      <c r="Y25" s="171"/>
      <c r="Z25" s="171"/>
      <c r="AB25" s="1547"/>
      <c r="AC25" s="1547"/>
      <c r="AD25" s="1547"/>
      <c r="AE25" s="169" t="s">
        <v>402</v>
      </c>
      <c r="AF25" s="1358" t="s">
        <v>596</v>
      </c>
      <c r="AG25" s="169" t="s">
        <v>597</v>
      </c>
      <c r="AH25" s="261" t="s">
        <v>1292</v>
      </c>
      <c r="AI25" s="169" t="s">
        <v>402</v>
      </c>
      <c r="AJ25" s="1357" t="s">
        <v>403</v>
      </c>
      <c r="AK25" s="413" t="s">
        <v>402</v>
      </c>
      <c r="AL25" s="261" t="s">
        <v>1293</v>
      </c>
      <c r="AM25" s="1546"/>
      <c r="AN25" s="1546"/>
      <c r="AO25" s="1546"/>
      <c r="AR25" s="1235"/>
      <c r="AS25" s="1239"/>
      <c r="AT25" s="1239"/>
      <c r="AU25" s="1240"/>
      <c r="AV25" s="1240"/>
    </row>
    <row s="229" customFormat="1" customHeight="1" ht="45.75" hidden="1">
      <c r="A26" s="232"/>
      <c r="B26" s="792"/>
      <c r="C26" s="232"/>
      <c r="D26" s="232"/>
      <c r="E26" s="803">
        <v>0</v>
      </c>
      <c r="F26" s="232"/>
      <c r="Q26" s="932"/>
      <c r="R26" s="932"/>
      <c r="T26" s="171"/>
      <c r="U26" s="171"/>
      <c r="V26" s="171"/>
      <c r="W26" s="171"/>
      <c r="X26" s="171"/>
      <c r="Y26" s="171"/>
      <c r="Z26" s="171"/>
      <c r="AB26" s="711"/>
      <c r="AC26" s="712"/>
      <c r="AD26" s="712"/>
      <c r="AE26" s="171"/>
      <c r="AF26" s="171"/>
      <c r="AG26" s="171"/>
      <c r="AH26" s="232"/>
      <c r="AI26" s="171"/>
      <c r="AJ26" s="171"/>
      <c r="AK26" s="171"/>
      <c r="AL26" s="232"/>
      <c r="AM26" s="232"/>
      <c r="AN26" s="232"/>
      <c r="AO26" s="232"/>
      <c r="AR26" s="1235"/>
      <c r="AS26" s="1239"/>
      <c r="AT26" s="1239"/>
      <c r="AU26" s="1240"/>
      <c r="AV26" s="1240"/>
    </row>
    <row s="220" customFormat="1" customHeight="1" ht="13.747500000000002" hidden="1">
      <c r="E27" s="797">
        <v>14.1</v>
      </c>
      <c r="F27" s="922" cm="1" t="str">
        <f t="array" ref="F27:F27">X27</f>
        <v>0</v>
      </c>
      <c r="G27" s="193"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T27" s="819">
        <f>X27&gt;0</f>
        <v>0</v>
      </c>
      <c r="V27" s="175" t="s">
        <v>310</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R27" s="1184"/>
      <c r="AS27" s="1184"/>
      <c r="AT27" s="1184"/>
      <c r="AU27" s="1187"/>
      <c r="AV27" s="1187"/>
    </row>
    <row s="234" customFormat="1" customHeight="1" ht="13.747500000000002" hidden="1">
      <c r="E28" s="803">
        <v>14.1</v>
      </c>
      <c r="F28" s="922" cm="1" t="str">
        <f t="array" ref="F28:F28">OFFSET(G28,-1,-1)</f>
        <v>0</v>
      </c>
      <c r="G28" s="932" t="s">
        <v>1294</v>
      </c>
      <c r="T28" s="808" cm="1" t="str">
        <f t="array" ref="T28:T28">T27</f>
        <v>false</v>
      </c>
      <c r="AB28" s="1548" t="s">
        <v>1295</v>
      </c>
      <c r="AC28" s="1549"/>
      <c r="AD28" s="305" t="s">
        <v>810</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9">
        <f>IF(AI28=0,0,(AK28-AI28)/AI28*100)</f>
        <v>0</v>
      </c>
      <c r="AM28" s="73"/>
      <c r="AN28" s="73"/>
      <c r="AO28" s="73"/>
      <c r="AR28" s="1235" t="s">
        <v>1296</v>
      </c>
      <c r="AS28" s="1241"/>
      <c r="AT28" s="1241"/>
      <c r="AU28" s="1242"/>
      <c r="AV28" s="1242"/>
    </row>
    <row customHeight="1" ht="29.25" hidden="1">
      <c r="E29" s="797">
        <v>30</v>
      </c>
      <c r="F29" s="922" cm="1" t="str">
        <f t="array" ref="F29:F29">OFFSET(G29,-1,-1)</f>
        <v>0</v>
      </c>
      <c r="T29" s="808" cm="1" t="str">
        <f t="array" ref="T29:T29">T28</f>
        <v>false</v>
      </c>
      <c r="AB29" s="160">
        <v>1</v>
      </c>
      <c r="AC29" s="168" t="s">
        <v>1297</v>
      </c>
      <c r="AD29" s="558" t="s">
        <v>1023</v>
      </c>
      <c r="AE29" s="114"/>
      <c r="AF29" s="114"/>
      <c r="AG29" s="114"/>
      <c r="AH29" s="382">
        <f>AG29-AF29</f>
        <v>0</v>
      </c>
      <c r="AI29" s="114"/>
      <c r="AJ29" s="114"/>
      <c r="AK29" s="114"/>
      <c r="AL29" s="310">
        <f>IF(AI29=0,0,(AK29-AI29)/AI29*100)</f>
        <v>0</v>
      </c>
      <c r="AM29" s="73"/>
      <c r="AN29" s="73"/>
      <c r="AO29" s="73"/>
      <c r="AR29" s="1235" t="s">
        <v>1298</v>
      </c>
    </row>
    <row s="233" customFormat="1" customHeight="1" ht="14.625" hidden="1">
      <c r="E30" s="803">
        <v>15</v>
      </c>
      <c r="F30" s="922" cm="1" t="str">
        <f t="array" ref="F30:F30">OFFSET(G30,-1,-1)</f>
        <v>0</v>
      </c>
      <c r="T30" s="808" cm="1" t="str">
        <f t="array" ref="T30:T30">T29</f>
        <v>false</v>
      </c>
      <c r="AB30" s="160">
        <v>2</v>
      </c>
      <c r="AC30" s="168" t="s">
        <v>1299</v>
      </c>
      <c r="AD30" s="558" t="s">
        <v>1023</v>
      </c>
      <c r="AE30" s="114"/>
      <c r="AF30" s="114"/>
      <c r="AG30" s="114"/>
      <c r="AH30" s="310">
        <f>AG30-AF30</f>
        <v>0</v>
      </c>
      <c r="AI30" s="114"/>
      <c r="AJ30" s="114"/>
      <c r="AK30" s="114"/>
      <c r="AL30" s="310">
        <f>IF(AI30=0,0,(AK30-AI30)/AI30*100)</f>
        <v>0</v>
      </c>
      <c r="AM30" s="73"/>
      <c r="AN30" s="73"/>
      <c r="AO30" s="73"/>
      <c r="AR30" s="1235" t="s">
        <v>1300</v>
      </c>
      <c r="AS30" s="1241"/>
      <c r="AT30" s="1241"/>
      <c r="AU30" s="1242"/>
      <c r="AV30" s="1242"/>
    </row>
    <row customHeight="1" ht="14.625" hidden="1">
      <c r="E31" s="797">
        <v>15</v>
      </c>
      <c r="F31" s="922" cm="1" t="str">
        <f t="array" ref="F31:F31">OFFSET(G31,-1,-1)</f>
        <v>0</v>
      </c>
      <c r="G31" s="193" t="s">
        <v>48</v>
      </c>
      <c r="T31" s="808" cm="1" t="str">
        <f t="array" ref="T31:T31">T30</f>
        <v>false</v>
      </c>
      <c r="AB31" s="160">
        <v>3</v>
      </c>
      <c r="AC31" s="167" t="s">
        <v>49</v>
      </c>
      <c r="AD31" s="488" t="s">
        <v>1023</v>
      </c>
      <c r="AE31" s="98">
        <f>_xlfn.SUMIFS(ФОТ!AE$26:AE$83,ФОТ!$F$26:$F$83,$F31,ФОТ!$G$26:$G$83,$G31)</f>
        <v>0</v>
      </c>
      <c r="AF31" s="98">
        <f>_xlfn.SUMIFS(ФОТ!AF$26:AF$83,ФОТ!$F$26:$F$83,$F31,ФОТ!$G$26:$G$83,$G31)</f>
        <v>0</v>
      </c>
      <c r="AG31" s="98">
        <f>_xlfn.SUMIFS(ФОТ!AG$26:AG$83,ФОТ!$F$26:$F$83,$F31,ФОТ!$G$26:$G$83,$G31)</f>
        <v>0</v>
      </c>
      <c r="AH31" s="310">
        <f>AG31-AF31</f>
        <v>0</v>
      </c>
      <c r="AI31" s="98">
        <f>_xlfn.SUMIFS(ФОТ!AH$26:AH$83,ФОТ!$F$26:$F$83,$F31,ФОТ!$G$26:$G$83,$G31)</f>
        <v>0</v>
      </c>
      <c r="AJ31" s="310">
        <f>_xlfn.SUMIFS(ФОТ!AI$26:AI$83,ФОТ!$F$26:$F$83,$F31,ФОТ!$G$26:$G$83,$G31)</f>
        <v>0</v>
      </c>
      <c r="AK31" s="310">
        <f>_xlfn.SUMIFS(ФОТ!AJ$26:AJ$83,ФОТ!$F$26:$F$83,$F31,ФОТ!$G$26:$G$83,$G31)</f>
        <v>0</v>
      </c>
      <c r="AL31" s="310">
        <f>IF(AI31=0,0,(AK31-AI31)/AI31*100)</f>
        <v>0</v>
      </c>
      <c r="AM31" s="73"/>
      <c r="AN31" s="73"/>
      <c r="AO31" s="73"/>
      <c r="AR31" s="1235" t="s">
        <v>1301</v>
      </c>
    </row>
    <row customHeight="1" ht="52.650000000000006" hidden="1">
      <c r="E32" s="797">
        <v>54</v>
      </c>
      <c r="F32" s="922" cm="1" t="str">
        <f t="array" ref="F32:F32">OFFSET(G32,-1,-1)</f>
        <v>0</v>
      </c>
      <c r="T32" s="808" cm="1" t="str">
        <f t="array" ref="T32:T32">T31</f>
        <v>false</v>
      </c>
      <c r="AB32" s="160">
        <v>4</v>
      </c>
      <c r="AC32" s="168" t="s">
        <v>1302</v>
      </c>
      <c r="AD32" s="488" t="s">
        <v>1023</v>
      </c>
      <c r="AE32" s="98"/>
      <c r="AF32" s="98"/>
      <c r="AG32" s="98"/>
      <c r="AH32" s="310">
        <f>AG32-AF32</f>
        <v>0</v>
      </c>
      <c r="AI32" s="98"/>
      <c r="AJ32" s="98"/>
      <c r="AK32" s="98"/>
      <c r="AL32" s="310">
        <f>IF(AI32=0,0,(AK32-AI32)/AI32*100)</f>
        <v>0</v>
      </c>
      <c r="AM32" s="73"/>
      <c r="AN32" s="73"/>
      <c r="AO32" s="73"/>
      <c r="AR32" s="1235" t="s">
        <v>1303</v>
      </c>
    </row>
    <row customHeight="1" ht="30.712500000000002" hidden="1">
      <c r="E33" s="797">
        <v>31.5</v>
      </c>
      <c r="F33" s="922" cm="1" t="str">
        <f t="array" ref="F33:F33">OFFSET(G33,-1,-1)</f>
        <v>0</v>
      </c>
      <c r="T33" s="808" cm="1" t="str">
        <f t="array" ref="T33:T33">T32</f>
        <v>false</v>
      </c>
      <c r="AB33" s="160">
        <v>5</v>
      </c>
      <c r="AC33" s="168" t="s">
        <v>1304</v>
      </c>
      <c r="AD33" s="488" t="s">
        <v>1023</v>
      </c>
      <c r="AE33" s="310">
        <f>SUM(AE34:AE38)</f>
        <v>0</v>
      </c>
      <c r="AF33" s="310">
        <f>SUM(AF34:AF38)</f>
        <v>0</v>
      </c>
      <c r="AG33" s="98">
        <f>SUM(AG34:AG38)</f>
        <v>0</v>
      </c>
      <c r="AH33" s="310">
        <f>AG33-AF33</f>
        <v>0</v>
      </c>
      <c r="AI33" s="310">
        <f>SUM(AI34:AI38)</f>
        <v>0</v>
      </c>
      <c r="AJ33" s="310">
        <f>SUM(AJ34:AJ38)</f>
        <v>0</v>
      </c>
      <c r="AK33" s="310">
        <f>SUM(AK34:AK38)</f>
        <v>0</v>
      </c>
      <c r="AL33" s="310">
        <f>IF(AI33=0,0,(AK33-AI33)/AI33*100)</f>
        <v>0</v>
      </c>
      <c r="AM33" s="73"/>
      <c r="AN33" s="73"/>
      <c r="AO33" s="73"/>
      <c r="AR33" s="1235" t="s">
        <v>1305</v>
      </c>
    </row>
    <row customHeight="1" ht="14.625" hidden="1">
      <c r="E34" s="797">
        <v>15</v>
      </c>
      <c r="F34" s="922" cm="1" t="str">
        <f t="array" ref="F34:F34">OFFSET(G34,-1,-1)</f>
        <v>0</v>
      </c>
      <c r="T34" s="808" cm="1" t="str">
        <f t="array" ref="T34:T34">T33</f>
        <v>false</v>
      </c>
      <c r="AB34" s="160" t="s">
        <v>756</v>
      </c>
      <c r="AC34" s="168" t="s">
        <v>1306</v>
      </c>
      <c r="AD34" s="488" t="s">
        <v>1023</v>
      </c>
      <c r="AE34" s="98"/>
      <c r="AF34" s="98"/>
      <c r="AG34" s="98"/>
      <c r="AH34" s="310">
        <f>AG34-AF34</f>
        <v>0</v>
      </c>
      <c r="AI34" s="98"/>
      <c r="AJ34" s="98"/>
      <c r="AK34" s="98"/>
      <c r="AL34" s="310">
        <f>IF(AI34=0,0,(AK34-AI34)/AI34*100)</f>
        <v>0</v>
      </c>
      <c r="AM34" s="73"/>
      <c r="AN34" s="73"/>
      <c r="AO34" s="73"/>
      <c r="AR34" s="1235" t="s">
        <v>1307</v>
      </c>
    </row>
    <row customHeight="1" ht="14.625" hidden="1">
      <c r="E35" s="797">
        <v>15</v>
      </c>
      <c r="F35" s="922" cm="1" t="str">
        <f t="array" ref="F35:F35">OFFSET(G35,-1,-1)</f>
        <v>0</v>
      </c>
      <c r="T35" s="808" cm="1" t="str">
        <f t="array" ref="T35:T35">T34</f>
        <v>false</v>
      </c>
      <c r="AB35" s="160" t="s">
        <v>1308</v>
      </c>
      <c r="AC35" s="168" t="s">
        <v>1309</v>
      </c>
      <c r="AD35" s="488" t="s">
        <v>1023</v>
      </c>
      <c r="AE35" s="98"/>
      <c r="AF35" s="98"/>
      <c r="AG35" s="98"/>
      <c r="AH35" s="310">
        <f>AG35-AF35</f>
        <v>0</v>
      </c>
      <c r="AI35" s="98"/>
      <c r="AJ35" s="98"/>
      <c r="AK35" s="98"/>
      <c r="AL35" s="310">
        <f>IF(AI35=0,0,(AK35-AI35)/AI35*100)</f>
        <v>0</v>
      </c>
      <c r="AM35" s="73"/>
      <c r="AN35" s="73"/>
      <c r="AO35" s="73"/>
      <c r="AR35" s="1235" t="s">
        <v>1310</v>
      </c>
    </row>
    <row customHeight="1" ht="14.625" hidden="1">
      <c r="E36" s="797">
        <v>15</v>
      </c>
      <c r="F36" s="922" cm="1" t="str">
        <f t="array" ref="F36:F36">OFFSET(G36,-1,-1)</f>
        <v>0</v>
      </c>
      <c r="T36" s="808" cm="1" t="str">
        <f t="array" ref="T36:T36">T35</f>
        <v>false</v>
      </c>
      <c r="AB36" s="160" t="s">
        <v>1311</v>
      </c>
      <c r="AC36" s="168" t="s">
        <v>1312</v>
      </c>
      <c r="AD36" s="488" t="s">
        <v>1023</v>
      </c>
      <c r="AE36" s="98"/>
      <c r="AF36" s="98"/>
      <c r="AG36" s="98"/>
      <c r="AH36" s="310">
        <f>AG36-AF36</f>
        <v>0</v>
      </c>
      <c r="AI36" s="98"/>
      <c r="AJ36" s="98"/>
      <c r="AK36" s="98"/>
      <c r="AL36" s="310">
        <f>IF(AI36=0,0,(AK36-AI36)/AI36*100)</f>
        <v>0</v>
      </c>
      <c r="AM36" s="73"/>
      <c r="AN36" s="73"/>
      <c r="AO36" s="73"/>
      <c r="AR36" s="1235" t="s">
        <v>1313</v>
      </c>
    </row>
    <row customHeight="1" ht="23.400000000000002" hidden="1">
      <c r="E37" s="797">
        <v>24</v>
      </c>
      <c r="F37" s="922" cm="1" t="str">
        <f t="array" ref="F37:F37">OFFSET(G37,-1,-1)</f>
        <v>0</v>
      </c>
      <c r="T37" s="808" cm="1" t="str">
        <f t="array" ref="T37:T37">T36</f>
        <v>false</v>
      </c>
      <c r="AB37" s="160" t="s">
        <v>1314</v>
      </c>
      <c r="AC37" s="168" t="s">
        <v>1315</v>
      </c>
      <c r="AD37" s="488" t="s">
        <v>1023</v>
      </c>
      <c r="AE37" s="98"/>
      <c r="AF37" s="98"/>
      <c r="AG37" s="98"/>
      <c r="AH37" s="310">
        <f>AG37-AF37</f>
        <v>0</v>
      </c>
      <c r="AI37" s="98"/>
      <c r="AJ37" s="98"/>
      <c r="AK37" s="98"/>
      <c r="AL37" s="310">
        <f>IF(AI37=0,0,(AK37-AI37)/AI37*100)</f>
        <v>0</v>
      </c>
      <c r="AM37" s="73"/>
      <c r="AN37" s="73"/>
      <c r="AO37" s="73"/>
      <c r="AR37" s="1235" t="s">
        <v>1316</v>
      </c>
    </row>
    <row customHeight="1" ht="14.625" hidden="1">
      <c r="E38" s="797">
        <v>15</v>
      </c>
      <c r="F38" s="922" cm="1" t="str">
        <f t="array" ref="F38:F38">OFFSET(G38,-1,-1)</f>
        <v>0</v>
      </c>
      <c r="T38" s="808" cm="1" t="str">
        <f t="array" ref="T38:T38">T37</f>
        <v>false</v>
      </c>
      <c r="AB38" s="160" t="s">
        <v>1317</v>
      </c>
      <c r="AC38" s="168" t="s">
        <v>1318</v>
      </c>
      <c r="AD38" s="488" t="s">
        <v>1023</v>
      </c>
      <c r="AE38" s="98"/>
      <c r="AF38" s="98"/>
      <c r="AG38" s="98"/>
      <c r="AH38" s="310">
        <f>AG38-AF38</f>
        <v>0</v>
      </c>
      <c r="AI38" s="98"/>
      <c r="AJ38" s="98"/>
      <c r="AK38" s="98"/>
      <c r="AL38" s="310">
        <f>IF(AI38=0,0,(AK38-AI38)/AI38*100)</f>
        <v>0</v>
      </c>
      <c r="AM38" s="73"/>
      <c r="AN38" s="73"/>
      <c r="AO38" s="73"/>
      <c r="AR38" s="1235" t="s">
        <v>1319</v>
      </c>
    </row>
    <row s="235" customFormat="1" customHeight="1" ht="14.625" hidden="1">
      <c r="E39" s="797">
        <v>15</v>
      </c>
      <c r="F39" s="922" cm="1" t="str">
        <f t="array" ref="F39:F39">OFFSET(G39,-1,-1)</f>
        <v>0</v>
      </c>
      <c r="T39" s="808" cm="1" t="str">
        <f t="array" ref="T39:T39">T38</f>
        <v>false</v>
      </c>
      <c r="AB39" s="160" t="s">
        <v>637</v>
      </c>
      <c r="AC39" s="168" t="s">
        <v>1320</v>
      </c>
      <c r="AD39" s="488" t="s">
        <v>1023</v>
      </c>
      <c r="AE39" s="98"/>
      <c r="AF39" s="98"/>
      <c r="AG39" s="98"/>
      <c r="AH39" s="310">
        <f>AG39-AF39</f>
        <v>0</v>
      </c>
      <c r="AI39" s="98"/>
      <c r="AJ39" s="98"/>
      <c r="AK39" s="98"/>
      <c r="AL39" s="310">
        <f>IF(AI39=0,0,(AK39-AI39)/AI39*100)</f>
        <v>0</v>
      </c>
      <c r="AM39" s="73"/>
      <c r="AN39" s="73"/>
      <c r="AO39" s="73"/>
      <c r="AR39" s="1235" t="s">
        <v>1321</v>
      </c>
      <c r="AS39" s="1243"/>
      <c r="AT39" s="1243"/>
      <c r="AU39" s="1244"/>
      <c r="AV39" s="1244"/>
    </row>
    <row customHeight="1" ht="14.625" hidden="1">
      <c r="E40" s="797">
        <v>15</v>
      </c>
      <c r="F40" s="922" cm="1" t="str">
        <f t="array" ref="F40:F40">OFFSET(G40,-1,-1)</f>
        <v>0</v>
      </c>
      <c r="T40" s="808" cm="1" t="str">
        <f t="array" ref="T40:T40">T39</f>
        <v>false</v>
      </c>
      <c r="AB40" s="160" t="s">
        <v>656</v>
      </c>
      <c r="AC40" s="168" t="s">
        <v>1322</v>
      </c>
      <c r="AD40" s="488" t="s">
        <v>1023</v>
      </c>
      <c r="AE40" s="98"/>
      <c r="AF40" s="98"/>
      <c r="AG40" s="98"/>
      <c r="AH40" s="310">
        <f>AG40-AF40</f>
        <v>0</v>
      </c>
      <c r="AI40" s="98"/>
      <c r="AJ40" s="98"/>
      <c r="AK40" s="98"/>
      <c r="AL40" s="310">
        <f>IF(AI40=0,0,(AK40-AI40)/AI40*100)</f>
        <v>0</v>
      </c>
      <c r="AM40" s="73"/>
      <c r="AN40" s="73"/>
      <c r="AO40" s="73"/>
      <c r="AR40" s="1235" t="s">
        <v>1323</v>
      </c>
    </row>
    <row customHeight="1" ht="14.625" hidden="1">
      <c r="E41" s="797">
        <v>15</v>
      </c>
      <c r="F41" s="922" cm="1" t="str">
        <f t="array" ref="F41:F41">OFFSET(G41,-1,-1)</f>
        <v>0</v>
      </c>
      <c r="G41" s="193" t="s">
        <v>1168</v>
      </c>
      <c r="T41" s="808" cm="1" t="str">
        <f t="array" ref="T41:T41">T40</f>
        <v>false</v>
      </c>
      <c r="AB41" s="160" t="s">
        <v>661</v>
      </c>
      <c r="AC41" s="167" t="s">
        <v>1324</v>
      </c>
      <c r="AD41" s="488" t="s">
        <v>1023</v>
      </c>
      <c r="AE41" s="310">
        <f>_xlfn.SUMIFS(Аренда!AE$26:AE$51,Аренда!$F$26:$F$51,$F41,Аренда!$G$26:$G$51,$G41)</f>
        <v>0</v>
      </c>
      <c r="AF41" s="310">
        <f>_xlfn.SUMIFS(Аренда!AF$26:AF$51,Аренда!$F$26:$F$51,$F41,Аренда!$G$26:$G$51,$G41)</f>
        <v>0</v>
      </c>
      <c r="AG41" s="98">
        <f>_xlfn.SUMIFS(Аренда!AG$26:AG$51,Аренда!$F$26:$F$51,$F41,Аренда!$G$26:$G$51,$G41)</f>
        <v>0</v>
      </c>
      <c r="AH41" s="310">
        <f>AG41-AF41</f>
        <v>0</v>
      </c>
      <c r="AI41" s="310">
        <f>_xlfn.SUMIFS(Аренда!AH$26:AH$51,Аренда!$F$26:$F$51,$F41,Аренда!$G$26:$G$51,$G41)</f>
        <v>0</v>
      </c>
      <c r="AJ41" s="310">
        <f>_xlfn.SUMIFS(Аренда!AI$26:AI$51,Аренда!$F$26:$F$51,$F41,Аренда!$G$26:$G$51,$G41)</f>
        <v>0</v>
      </c>
      <c r="AK41" s="310">
        <f>_xlfn.SUMIFS(Аренда!AS$26:AS$51,Аренда!$F$26:$F$51,$F41,Аренда!$G$26:$G$51,$G41)</f>
        <v>0</v>
      </c>
      <c r="AL41" s="310">
        <f>IF(AI41=0,0,(AK41-AI41)/AI41*100)</f>
        <v>0</v>
      </c>
      <c r="AM41" s="73"/>
      <c r="AN41" s="73"/>
      <c r="AO41" s="73"/>
      <c r="AR41" s="1235" t="s">
        <v>1325</v>
      </c>
    </row>
    <row s="235" customFormat="1" customHeight="1" ht="14.625" hidden="1">
      <c r="E42" s="797">
        <v>15</v>
      </c>
      <c r="F42" s="922" cm="1" t="str">
        <f t="array" ref="F42:F42">OFFSET(G42,-1,-1)</f>
        <v>0</v>
      </c>
      <c r="G42" s="193" t="s">
        <v>1155</v>
      </c>
      <c r="T42" s="808" cm="1" t="str">
        <f t="array" ref="T42:T42">T41</f>
        <v>false</v>
      </c>
      <c r="AB42" s="160" t="s">
        <v>669</v>
      </c>
      <c r="AC42" s="167" t="s">
        <v>1326</v>
      </c>
      <c r="AD42" s="488" t="s">
        <v>1023</v>
      </c>
      <c r="AE42" s="310">
        <f>_xlfn.SUMIFS(Аренда!AE$26:AE$51,Аренда!$F$26:$F$51,$F42,Аренда!$G$26:$G$51,$G42)</f>
        <v>0</v>
      </c>
      <c r="AF42" s="310">
        <f>_xlfn.SUMIFS(Аренда!AF$26:AF$51,Аренда!$F$26:$F$51,$F42,Аренда!$G$26:$G$51,$G42)</f>
        <v>0</v>
      </c>
      <c r="AG42" s="98">
        <f>_xlfn.SUMIFS(Аренда!AG$26:AG$51,Аренда!$F$26:$F$51,$F42,Аренда!$G$26:$G$51,$G42)</f>
        <v>0</v>
      </c>
      <c r="AH42" s="310">
        <f>AG42-AF42</f>
        <v>0</v>
      </c>
      <c r="AI42" s="310">
        <f>_xlfn.SUMIFS(Аренда!AH$26:AH$51,Аренда!$F$26:$F$51,$F42,Аренда!$G$26:$G$51,$G42)</f>
        <v>0</v>
      </c>
      <c r="AJ42" s="310">
        <f>_xlfn.SUMIFS(Аренда!AI$26:AI$51,Аренда!$F$26:$F$51,$F42,Аренда!$G$26:$G$51,$G42)</f>
        <v>0</v>
      </c>
      <c r="AK42" s="310">
        <f>_xlfn.SUMIFS(Аренда!AS$26:AS$51,Аренда!$F$26:$F$51,$F42,Аренда!$G$26:$G$51,$G42)</f>
        <v>0</v>
      </c>
      <c r="AL42" s="310">
        <f>IF(AI42=0,0,(AK42-AI42)/AI42*100)</f>
        <v>0</v>
      </c>
      <c r="AM42" s="73"/>
      <c r="AN42" s="73"/>
      <c r="AO42" s="73"/>
      <c r="AR42" s="1235" t="s">
        <v>1158</v>
      </c>
      <c r="AS42" s="1243"/>
      <c r="AT42" s="1243"/>
      <c r="AU42" s="1244"/>
      <c r="AV42" s="1244"/>
    </row>
    <row customHeight="1" ht="29.25" hidden="1">
      <c r="E43" s="797">
        <v>30</v>
      </c>
      <c r="F43" s="922" cm="1" t="str">
        <f t="array" ref="F43:F43">OFFSET(G43,-1,-1)</f>
        <v>0</v>
      </c>
      <c r="T43" s="808" cm="1" t="str">
        <f t="array" ref="T43:T43">T42</f>
        <v>false</v>
      </c>
      <c r="AB43" s="160" t="s">
        <v>693</v>
      </c>
      <c r="AC43" s="168" t="s">
        <v>1327</v>
      </c>
      <c r="AD43" s="488" t="s">
        <v>1023</v>
      </c>
      <c r="AE43" s="310">
        <f>SUM(AE44:AE46)</f>
        <v>0</v>
      </c>
      <c r="AF43" s="310">
        <f>SUM(AF44:AF46)</f>
        <v>0</v>
      </c>
      <c r="AG43" s="98">
        <f>SUM(AG44:AG46)</f>
        <v>0</v>
      </c>
      <c r="AH43" s="310">
        <f>AG43-AF43</f>
        <v>0</v>
      </c>
      <c r="AI43" s="310">
        <f>SUM(AI44:AI46)</f>
        <v>0</v>
      </c>
      <c r="AJ43" s="310">
        <f>SUM(AJ44:AJ46)</f>
        <v>0</v>
      </c>
      <c r="AK43" s="310">
        <f>SUM(AK44:AK46)</f>
        <v>0</v>
      </c>
      <c r="AL43" s="310">
        <f>IF(AI43=0,0,(AK43-AI43)/AI43*100)</f>
        <v>0</v>
      </c>
      <c r="AM43" s="73"/>
      <c r="AN43" s="73"/>
      <c r="AO43" s="73"/>
      <c r="AR43" s="1235" t="s">
        <v>1270</v>
      </c>
    </row>
    <row customHeight="1" ht="11.25" hidden="1">
      <c r="E44" s="797">
        <v>0</v>
      </c>
      <c r="F44" s="922" cm="1" t="str">
        <f t="array" ref="F44:F44">OFFSET(G44,-1,-1)</f>
        <v>0</v>
      </c>
      <c r="T44" s="808" cm="1" t="str">
        <f t="array" ref="T44:T44">T43</f>
        <v>false</v>
      </c>
      <c r="AB44" s="160"/>
      <c r="AC44" s="165"/>
      <c r="AD44" s="488"/>
      <c r="AE44" s="488"/>
      <c r="AF44" s="488"/>
      <c r="AG44" s="488"/>
      <c r="AH44" s="488"/>
      <c r="AI44" s="488"/>
      <c r="AJ44" s="488"/>
      <c r="AK44" s="488"/>
      <c r="AL44" s="488"/>
      <c r="AM44" s="172"/>
      <c r="AN44" s="172"/>
      <c r="AO44" s="172"/>
      <c r="AR44" s="1235" t="str">
        <f>IF(AND(ISNUMBER(VALUE(TRIM(SUBSTITUTE(AB44,".","")))),TRIM(SUBSTITUTE(AB44,".",""))&lt;&gt;""),"P"&amp;SUBSTITUTE(AB44,".",""),"")</f>
        <v/>
      </c>
    </row>
    <row customHeight="1" ht="14.625" hidden="1">
      <c r="E45" s="797">
        <v>15</v>
      </c>
      <c r="F45" s="922" cm="1" t="str">
        <f t="array" ref="F45:F45">OFFSET(G45,-1,-1)</f>
        <v>0</v>
      </c>
      <c r="T45" s="808">
        <f>AND(F45&gt;0,Y45&gt;0)</f>
        <v>0</v>
      </c>
      <c r="W45" s="175" t="s">
        <v>234</v>
      </c>
      <c r="Y45" s="175">
        <v>0</v>
      </c>
      <c r="AA45" s="1123" t="s">
        <v>218</v>
      </c>
      <c r="AB45" s="642" t="str">
        <f>"10."&amp;Y45</f>
        <v>10.0</v>
      </c>
      <c r="AC45" s="115"/>
      <c r="AD45" s="499" t="s">
        <v>1023</v>
      </c>
      <c r="AE45" s="116"/>
      <c r="AF45" s="116"/>
      <c r="AG45" s="116"/>
      <c r="AH45" s="551">
        <f>AG45-AF45</f>
        <v>0</v>
      </c>
      <c r="AI45" s="116"/>
      <c r="AJ45" s="116"/>
      <c r="AK45" s="116"/>
      <c r="AL45" s="551">
        <f>IF(AI45=0,0,(AK45-AI45)/AI45*100)</f>
        <v>0</v>
      </c>
      <c r="AM45" s="69"/>
      <c r="AN45" s="69"/>
      <c r="AO45" s="69"/>
      <c r="AR45" s="1235" t="s">
        <v>1270</v>
      </c>
      <c r="AS45" s="1235" t="s">
        <v>1200</v>
      </c>
      <c r="AT45" s="1245" cm="1" t="str">
        <f t="array" ref="AT45:AT45">AC45</f>
        <v>0</v>
      </c>
      <c r="AV45" s="1236" t="b">
        <v>1</v>
      </c>
    </row>
    <row customHeight="1" ht="13.747500000000002" hidden="1">
      <c r="E46" s="797">
        <v>14.1</v>
      </c>
      <c r="F46" s="922" cm="1" t="str">
        <f t="array" ref="F46:F46">OFFSET(G46,-1,-1)</f>
        <v>0</v>
      </c>
      <c r="T46" s="808">
        <f>F46&gt;0</f>
        <v>0</v>
      </c>
      <c r="W46" s="374" t="s">
        <v>509</v>
      </c>
      <c r="AB46" s="731"/>
      <c r="AC46" s="735" t="s">
        <v>236</v>
      </c>
      <c r="AD46" s="732"/>
      <c r="AE46" s="733"/>
      <c r="AF46" s="733"/>
      <c r="AG46" s="733"/>
      <c r="AH46" s="733"/>
      <c r="AI46" s="733"/>
      <c r="AJ46" s="733"/>
      <c r="AK46" s="733"/>
      <c r="AL46" s="733"/>
      <c r="AM46" s="1103"/>
      <c r="AN46" s="1103"/>
      <c r="AO46" s="1104"/>
      <c r="AR46" s="1235" t="str">
        <f>IF(AND(ISNUMBER(VALUE(TRIM(SUBSTITUTE(AB46,".","")))),TRIM(SUBSTITUTE(AB46,".",""))&lt;&gt;""),"P"&amp;SUBSTITUTE(AB46,".",""),"")</f>
        <v/>
      </c>
      <c r="AU46" s="1236" t="s">
        <v>1200</v>
      </c>
    </row>
    <row customHeight="1" ht="13.747500000000002" hidden="1">
      <c r="E47" s="797">
        <v>14.1</v>
      </c>
      <c r="F47" s="922" cm="1" t="str">
        <f t="array" ref="F47:F47">OFFSET(G47,-1,-1)</f>
        <v>0</v>
      </c>
      <c r="T47" s="808">
        <f>F47&gt;0</f>
        <v>0</v>
      </c>
      <c r="AB47" s="643" t="s">
        <v>701</v>
      </c>
      <c r="AC47" s="729" t="s">
        <v>1328</v>
      </c>
      <c r="AD47" s="558" t="s">
        <v>1023</v>
      </c>
      <c r="AE47" s="645">
        <f>SUM(AE48:AE50)</f>
        <v>0</v>
      </c>
      <c r="AF47" s="645">
        <f>SUM(AF48:AF50)</f>
        <v>0</v>
      </c>
      <c r="AG47" s="117">
        <f>SUM(AG48:AG50)</f>
        <v>0</v>
      </c>
      <c r="AH47" s="645">
        <f>AG47-AF47</f>
        <v>0</v>
      </c>
      <c r="AI47" s="645">
        <f>SUM(AI48:AI50)</f>
        <v>0</v>
      </c>
      <c r="AJ47" s="645">
        <f>SUM(AJ48:AJ50)</f>
        <v>0</v>
      </c>
      <c r="AK47" s="645">
        <f>SUM(AK48:AK50)</f>
        <v>0</v>
      </c>
      <c r="AL47" s="645">
        <f>IF(AI47=0,0,(AK47-AI47)/AI47*100)</f>
        <v>0</v>
      </c>
      <c r="AM47" s="80"/>
      <c r="AN47" s="80"/>
      <c r="AO47" s="80"/>
      <c r="AR47" s="1235" t="s">
        <v>1329</v>
      </c>
    </row>
    <row customHeight="1" ht="11.25" hidden="1">
      <c r="E48" s="797">
        <v>0</v>
      </c>
      <c r="F48" s="922" cm="1" t="str">
        <f t="array" ref="F48:F48">OFFSET(G48,-1,-1)</f>
        <v>0</v>
      </c>
      <c r="T48" s="808">
        <f>F48&gt;0</f>
        <v>0</v>
      </c>
      <c r="AB48" s="642"/>
      <c r="AC48" s="672"/>
      <c r="AD48" s="673"/>
      <c r="AE48" s="488"/>
      <c r="AF48" s="488"/>
      <c r="AG48" s="488"/>
      <c r="AI48" s="488"/>
      <c r="AJ48" s="488"/>
      <c r="AK48" s="488"/>
      <c r="AR48" s="1235" t="str">
        <f>IF(AND(ISNUMBER(VALUE(TRIM(SUBSTITUTE(AB48,".","")))),TRIM(SUBSTITUTE(AB48,".",""))&lt;&gt;""),"P"&amp;SUBSTITUTE(AB48,".",""),"")</f>
        <v/>
      </c>
    </row>
    <row customHeight="1" ht="13.747500000000002" hidden="1">
      <c r="E49" s="797">
        <v>14.1</v>
      </c>
      <c r="F49" s="922" cm="1" t="str">
        <f t="array" ref="F49:F49">OFFSET(G49,-1,-1)</f>
        <v>0</v>
      </c>
      <c r="T49" s="808">
        <f>AND(F49&gt;0,Y49&gt;0)</f>
        <v>0</v>
      </c>
      <c r="W49" s="175" t="s">
        <v>234</v>
      </c>
      <c r="Y49" s="175">
        <v>0</v>
      </c>
      <c r="AA49" s="1123" t="s">
        <v>218</v>
      </c>
      <c r="AB49" s="642" t="str">
        <f>"11."&amp;Y49</f>
        <v>11.0</v>
      </c>
      <c r="AC49" s="109"/>
      <c r="AD49" s="173" t="s">
        <v>1023</v>
      </c>
      <c r="AE49" s="98"/>
      <c r="AF49" s="98"/>
      <c r="AG49" s="98"/>
      <c r="AH49" s="310">
        <f>AG49-AF49</f>
        <v>0</v>
      </c>
      <c r="AI49" s="98"/>
      <c r="AJ49" s="98"/>
      <c r="AK49" s="98"/>
      <c r="AL49" s="310">
        <f>IF(AI49=0,0,(AK49-AI49)/AI49*100)</f>
        <v>0</v>
      </c>
      <c r="AM49" s="73"/>
      <c r="AN49" s="73"/>
      <c r="AO49" s="73"/>
      <c r="AR49" s="1235" t="s">
        <v>1329</v>
      </c>
      <c r="AS49" s="1235" t="s">
        <v>1330</v>
      </c>
      <c r="AT49" s="1245" cm="1" t="str">
        <f t="array" ref="AT49:AT49">AC49</f>
        <v>0</v>
      </c>
      <c r="AV49" s="1236" t="b">
        <v>1</v>
      </c>
    </row>
    <row customHeight="1" ht="13.747500000000002" hidden="1">
      <c r="E50" s="797">
        <v>14.1</v>
      </c>
      <c r="F50" s="922" cm="1" t="str">
        <f t="array" ref="F50:F50">OFFSET(G50,-1,-1)</f>
        <v>0</v>
      </c>
      <c r="T50" s="808">
        <f>F50&gt;0</f>
        <v>0</v>
      </c>
      <c r="W50" s="374" t="s">
        <v>1331</v>
      </c>
      <c r="AB50" s="731"/>
      <c r="AC50" s="735" t="s">
        <v>236</v>
      </c>
      <c r="AD50" s="732"/>
      <c r="AE50" s="734"/>
      <c r="AF50" s="734"/>
      <c r="AG50" s="734"/>
      <c r="AH50" s="734"/>
      <c r="AI50" s="734"/>
      <c r="AJ50" s="734"/>
      <c r="AK50" s="734"/>
      <c r="AL50" s="734"/>
      <c r="AM50" s="734"/>
      <c r="AN50" s="734"/>
      <c r="AO50" s="734"/>
      <c r="AU50" s="1236" t="s">
        <v>1330</v>
      </c>
    </row>
    <row s="1934" customFormat="1" customHeight="1" ht="13.5">
      <c r="A51" s="220"/>
      <c r="B51" s="220"/>
      <c r="C51" s="220"/>
      <c r="D51" s="220"/>
      <c r="E51" s="797">
        <v>14.1</v>
      </c>
      <c r="F51" s="922" cm="1" t="str">
        <f t="array" ref="F51:F51">X51</f>
        <v>1</v>
      </c>
      <c r="G51" s="193" cm="1" t="str">
        <f t="array" ref="G51:G51">INDEX('Общие сведения'!$AK$169:$AK$202,MATCH($F51,'Общие сведения'!$Z$169:$Z$202,0))</f>
        <v>одноставочный</v>
      </c>
      <c r="H51" s="220"/>
      <c r="I51" s="213" cm="1" t="str">
        <f t="array" ref="I51:I51">INDEX('Общие сведения'!$AE$169:$AE$202,MATCH($F51,'Общие сведения'!$Z$169:$Z$202,0))</f>
        <v>Теплоснабжение</v>
      </c>
      <c r="J51" s="220"/>
      <c r="K51" s="220"/>
      <c r="L51" s="220"/>
      <c r="M51" s="220"/>
      <c r="N51" s="220"/>
      <c r="O51" s="220"/>
      <c r="P51" s="220"/>
      <c r="Q51" s="220"/>
      <c r="R51" s="220"/>
      <c r="S51" s="220"/>
      <c r="T51" s="819">
        <f>X51&gt;0</f>
        <v>1</v>
      </c>
      <c r="U51" s="220"/>
      <c r="V51" s="175" cm="1" t="str">
        <f t="array" ref="V51:V51">Экономия_корр!$AB$35</f>
        <v>Тариф 1 (Теплоснабжение) - Тариф на тепловую энергию (мощность), поставляемую потребителям (Не определено)</v>
      </c>
      <c r="W51" s="220"/>
      <c r="X51" s="175" t="s">
        <v>336</v>
      </c>
      <c r="Y51" s="220"/>
      <c r="Z51" s="220"/>
      <c r="AA51" s="220"/>
      <c r="AB51" s="330"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1"/>
      <c r="AD51" s="331"/>
      <c r="AE51" s="331"/>
      <c r="AF51" s="331"/>
      <c r="AG51" s="331"/>
      <c r="AH51" s="331"/>
      <c r="AI51" s="331"/>
      <c r="AJ51" s="331"/>
      <c r="AK51" s="331"/>
      <c r="AL51" s="331"/>
      <c r="AM51" s="331"/>
      <c r="AN51" s="331"/>
      <c r="AO51" s="331"/>
      <c r="AP51" s="220"/>
      <c r="AQ51" s="220"/>
      <c r="AR51" s="1184"/>
      <c r="AS51" s="1184"/>
      <c r="AT51" s="1184"/>
      <c r="AU51" s="1187"/>
      <c r="AV51" s="1187"/>
    </row>
    <row s="1935" customFormat="1" customHeight="1" ht="13.5">
      <c r="A52" s="234"/>
      <c r="B52" s="234"/>
      <c r="C52" s="234"/>
      <c r="D52" s="234"/>
      <c r="E52" s="803">
        <v>14.1</v>
      </c>
      <c r="F52" s="922" cm="1" t="str">
        <f t="array" ref="F52:F52">OFFSET(G52,-1,-1)</f>
        <v>1</v>
      </c>
      <c r="G52" s="932" t="s">
        <v>1294</v>
      </c>
      <c r="H52" s="234"/>
      <c r="I52" s="234"/>
      <c r="J52" s="234"/>
      <c r="K52" s="234"/>
      <c r="L52" s="234"/>
      <c r="M52" s="234"/>
      <c r="N52" s="234"/>
      <c r="O52" s="234"/>
      <c r="P52" s="234"/>
      <c r="Q52" s="234"/>
      <c r="R52" s="234"/>
      <c r="S52" s="234"/>
      <c r="T52" s="808" cm="1" t="str">
        <f t="array" ref="T52:T52">T51</f>
        <v>true</v>
      </c>
      <c r="U52" s="234"/>
      <c r="V52" s="234"/>
      <c r="W52" s="234"/>
      <c r="X52" s="234"/>
      <c r="Y52" s="234"/>
      <c r="Z52" s="234"/>
      <c r="AA52" s="234"/>
      <c r="AB52" s="1548" t="s">
        <v>1295</v>
      </c>
      <c r="AC52" s="1549"/>
      <c r="AD52" s="305" t="s">
        <v>810</v>
      </c>
      <c r="AE52" s="1936">
        <f>SUM(AE53:AE57)+SUM(AE63:AE67)+AE71</f>
        <v>13072.26</v>
      </c>
      <c r="AF52" s="1936">
        <f>SUM(AF53:AF57)+SUM(AF63:AF67)+AF71</f>
        <v>18281.53</v>
      </c>
      <c r="AG52" s="1936">
        <f>SUM(AG53:AG57)+SUM(AG63:AG67)+AG71</f>
        <v>14992.48</v>
      </c>
      <c r="AH52" s="1936">
        <f>AG52-AF52</f>
        <v>-3289.05</v>
      </c>
      <c r="AI52" s="1936">
        <f>SUM(AI53:AI57)+SUM(AI63:AI67)+AI71</f>
        <v>13692.15</v>
      </c>
      <c r="AJ52" s="1936">
        <f>SUM(AJ53:AJ57)+SUM(AJ63:AJ67)+AJ71</f>
        <v>26597.17024</v>
      </c>
      <c r="AK52" s="1936">
        <f>SUM(AK53:AK57)+SUM(AK63:AK67)+AK71</f>
        <v>14246.54184</v>
      </c>
      <c r="AL52" s="309">
        <f>IF(AI52=0,0,(AK52-AI52)/AI52*100)</f>
        <v>4.04897580000219</v>
      </c>
      <c r="AM52" s="1719"/>
      <c r="AN52" s="1719"/>
      <c r="AO52" s="1719"/>
      <c r="AP52" s="234"/>
      <c r="AQ52" s="234"/>
      <c r="AR52" s="1235" t="s">
        <v>1296</v>
      </c>
      <c r="AS52" s="1241"/>
      <c r="AT52" s="1241"/>
      <c r="AU52" s="1242"/>
      <c r="AV52" s="1242"/>
    </row>
    <row s="1632" customFormat="1" customHeight="1" ht="29.25">
      <c r="A53" s="228"/>
      <c r="B53" s="927"/>
      <c r="C53" s="228"/>
      <c r="D53" s="228"/>
      <c r="E53" s="797">
        <v>30</v>
      </c>
      <c r="F53" s="922" cm="1" t="str">
        <f t="array" ref="F53:F53">OFFSET(G53,-1,-1)</f>
        <v>1</v>
      </c>
      <c r="G53" s="230"/>
      <c r="H53" s="230"/>
      <c r="I53" s="230"/>
      <c r="J53" s="230"/>
      <c r="K53" s="230"/>
      <c r="L53" s="230"/>
      <c r="M53" s="230"/>
      <c r="N53" s="230"/>
      <c r="O53" s="230"/>
      <c r="P53" s="230"/>
      <c r="Q53" s="193"/>
      <c r="R53" s="193"/>
      <c r="S53" s="230"/>
      <c r="T53" s="808" cm="1" t="str">
        <f t="array" ref="T53:T53">T52</f>
        <v>true</v>
      </c>
      <c r="U53" s="1582"/>
      <c r="V53" s="1582"/>
      <c r="W53" s="1582"/>
      <c r="X53" s="1582"/>
      <c r="Y53" s="1582"/>
      <c r="Z53" s="1582"/>
      <c r="AA53" s="230"/>
      <c r="AB53" s="160">
        <v>1</v>
      </c>
      <c r="AC53" s="168" t="s">
        <v>1297</v>
      </c>
      <c r="AD53" s="558" t="s">
        <v>1023</v>
      </c>
      <c r="AE53" s="1937">
        <v>798.89</v>
      </c>
      <c r="AF53" s="1937">
        <v>2766.54</v>
      </c>
      <c r="AG53" s="1937">
        <v>916.24</v>
      </c>
      <c r="AH53" s="382">
        <f>AG53-AF53</f>
        <v>-1850.3</v>
      </c>
      <c r="AI53" s="1937">
        <v>836.77</v>
      </c>
      <c r="AJ53" s="1937">
        <v>529.95</v>
      </c>
      <c r="AK53" s="1937">
        <v>870.65</v>
      </c>
      <c r="AL53" s="310">
        <f>IF(AI53=0,0,(AK53-AI53)/AI53*100)</f>
        <v>4.04890232680426</v>
      </c>
      <c r="AM53" s="1719"/>
      <c r="AN53" s="1719"/>
      <c r="AO53" s="1719"/>
      <c r="AP53" s="230"/>
      <c r="AQ53" s="230"/>
      <c r="AR53" s="1235" t="s">
        <v>1298</v>
      </c>
      <c r="AS53" s="1235"/>
      <c r="AT53" s="1235"/>
      <c r="AU53" s="1236"/>
      <c r="AV53" s="1236"/>
    </row>
    <row s="1938" customFormat="1" customHeight="1" ht="14.25">
      <c r="A54" s="233"/>
      <c r="B54" s="233"/>
      <c r="C54" s="233"/>
      <c r="D54" s="233"/>
      <c r="E54" s="803">
        <v>15</v>
      </c>
      <c r="F54" s="922" cm="1" t="str">
        <f t="array" ref="F54:F54">OFFSET(G54,-1,-1)</f>
        <v>1</v>
      </c>
      <c r="G54" s="233"/>
      <c r="H54" s="233"/>
      <c r="I54" s="233"/>
      <c r="J54" s="233"/>
      <c r="K54" s="233"/>
      <c r="L54" s="233"/>
      <c r="M54" s="233"/>
      <c r="N54" s="233"/>
      <c r="O54" s="233"/>
      <c r="P54" s="233"/>
      <c r="Q54" s="233"/>
      <c r="R54" s="233"/>
      <c r="S54" s="233"/>
      <c r="T54" s="808" cm="1" t="str">
        <f t="array" ref="T54:T54">T53</f>
        <v>true</v>
      </c>
      <c r="U54" s="233"/>
      <c r="V54" s="233"/>
      <c r="W54" s="233"/>
      <c r="X54" s="233"/>
      <c r="Y54" s="233"/>
      <c r="Z54" s="233"/>
      <c r="AA54" s="233"/>
      <c r="AB54" s="160">
        <v>2</v>
      </c>
      <c r="AC54" s="168" t="s">
        <v>1299</v>
      </c>
      <c r="AD54" s="558" t="s">
        <v>1023</v>
      </c>
      <c r="AE54" s="1937">
        <v>2001.85</v>
      </c>
      <c r="AF54" s="1937">
        <v>2001.92</v>
      </c>
      <c r="AG54" s="1937">
        <v>2295.91</v>
      </c>
      <c r="AH54" s="310">
        <f>AG54-AF54</f>
        <v>293.99</v>
      </c>
      <c r="AI54" s="1937">
        <v>2096.78</v>
      </c>
      <c r="AJ54" s="1937">
        <v>11761.2</v>
      </c>
      <c r="AK54" s="1937">
        <v>2181.68</v>
      </c>
      <c r="AL54" s="310">
        <f>IF(AI54=0,0,(AK54-AI54)/AI54*100)</f>
        <v>4.04906571027955</v>
      </c>
      <c r="AM54" s="1719"/>
      <c r="AN54" s="1719"/>
      <c r="AO54" s="1719"/>
      <c r="AP54" s="233"/>
      <c r="AQ54" s="233"/>
      <c r="AR54" s="1235" t="s">
        <v>1300</v>
      </c>
      <c r="AS54" s="1241"/>
      <c r="AT54" s="1241"/>
      <c r="AU54" s="1242"/>
      <c r="AV54" s="1242"/>
    </row>
    <row s="1632" customFormat="1" customHeight="1" ht="14.25">
      <c r="A55" s="228"/>
      <c r="B55" s="927"/>
      <c r="C55" s="228"/>
      <c r="D55" s="228"/>
      <c r="E55" s="797">
        <v>15</v>
      </c>
      <c r="F55" s="922" cm="1" t="str">
        <f t="array" ref="F55:F55">OFFSET(G55,-1,-1)</f>
        <v>1</v>
      </c>
      <c r="G55" s="193" t="s">
        <v>48</v>
      </c>
      <c r="H55" s="230"/>
      <c r="I55" s="230"/>
      <c r="J55" s="230"/>
      <c r="K55" s="230"/>
      <c r="L55" s="230"/>
      <c r="M55" s="230"/>
      <c r="N55" s="230"/>
      <c r="O55" s="230"/>
      <c r="P55" s="230"/>
      <c r="Q55" s="193"/>
      <c r="R55" s="193"/>
      <c r="S55" s="230"/>
      <c r="T55" s="808" cm="1" t="str">
        <f t="array" ref="T55:T55">T54</f>
        <v>true</v>
      </c>
      <c r="U55" s="1582"/>
      <c r="V55" s="1582"/>
      <c r="W55" s="1582"/>
      <c r="X55" s="1582"/>
      <c r="Y55" s="1582"/>
      <c r="Z55" s="1582"/>
      <c r="AA55" s="230"/>
      <c r="AB55" s="160">
        <v>3</v>
      </c>
      <c r="AC55" s="167" t="s">
        <v>49</v>
      </c>
      <c r="AD55" s="488" t="s">
        <v>1023</v>
      </c>
      <c r="AE55" s="1868">
        <f>_xlfn.SUMIFS(ФОТ!AE$26:AE$83,ФОТ!$F$26:$F$83,$F55,ФОТ!$G$26:$G$83,$G55)</f>
        <v>9890.41</v>
      </c>
      <c r="AF55" s="1868">
        <f>_xlfn.SUMIFS(ФОТ!AF$26:AF$83,ФОТ!$F$26:$F$83,$F55,ФОТ!$G$26:$G$83,$G55)</f>
        <v>9875.04</v>
      </c>
      <c r="AG55" s="1868">
        <f>_xlfn.SUMIFS(ФОТ!AG$26:AG$83,ФОТ!$F$26:$F$83,$F55,ФОТ!$G$26:$G$83,$G55)</f>
        <v>11343.24</v>
      </c>
      <c r="AH55" s="310">
        <f>AG55-AF55</f>
        <v>1468.2</v>
      </c>
      <c r="AI55" s="1868">
        <f>_xlfn.SUMIFS(ФОТ!AH$26:AH$83,ФОТ!$F$26:$F$83,$F55,ФОТ!$G$26:$G$83,$G55)</f>
        <v>10359.42</v>
      </c>
      <c r="AJ55" s="310">
        <f>_xlfn.SUMIFS(ФОТ!AI$26:AI$83,ФОТ!$F$26:$F$83,$F55,ФОТ!$G$26:$G$83,$G55)</f>
        <v>13540.41024</v>
      </c>
      <c r="AK55" s="310">
        <f>_xlfn.SUMIFS(ФОТ!AJ$26:AJ$83,ФОТ!$F$26:$F$83,$F55,ФОТ!$G$26:$G$83,$G55)</f>
        <v>10778.87184</v>
      </c>
      <c r="AL55" s="310">
        <f>IF(AI55=0,0,(AK55-AI55)/AI55*100)</f>
        <v>4.04898961524873</v>
      </c>
      <c r="AM55" s="1719"/>
      <c r="AN55" s="1719"/>
      <c r="AO55" s="1719"/>
      <c r="AP55" s="230"/>
      <c r="AQ55" s="230"/>
      <c r="AR55" s="1235" t="s">
        <v>1301</v>
      </c>
      <c r="AS55" s="1235"/>
      <c r="AT55" s="1235"/>
      <c r="AU55" s="1236"/>
      <c r="AV55" s="1236"/>
    </row>
    <row s="1632" customFormat="1" customHeight="1" ht="52.5">
      <c r="A56" s="228"/>
      <c r="B56" s="927"/>
      <c r="C56" s="228"/>
      <c r="D56" s="228"/>
      <c r="E56" s="797">
        <v>54</v>
      </c>
      <c r="F56" s="922" cm="1" t="str">
        <f t="array" ref="F56:F56">OFFSET(G56,-1,-1)</f>
        <v>1</v>
      </c>
      <c r="G56" s="230"/>
      <c r="H56" s="230"/>
      <c r="I56" s="230"/>
      <c r="J56" s="230"/>
      <c r="K56" s="230"/>
      <c r="L56" s="230"/>
      <c r="M56" s="230"/>
      <c r="N56" s="230"/>
      <c r="O56" s="230"/>
      <c r="P56" s="230"/>
      <c r="Q56" s="193"/>
      <c r="R56" s="193"/>
      <c r="S56" s="230"/>
      <c r="T56" s="808" cm="1" t="str">
        <f t="array" ref="T56:T56">T55</f>
        <v>true</v>
      </c>
      <c r="U56" s="1582"/>
      <c r="V56" s="1582"/>
      <c r="W56" s="1582"/>
      <c r="X56" s="1582"/>
      <c r="Y56" s="1582"/>
      <c r="Z56" s="1582"/>
      <c r="AA56" s="230"/>
      <c r="AB56" s="160">
        <v>4</v>
      </c>
      <c r="AC56" s="168" t="s">
        <v>1302</v>
      </c>
      <c r="AD56" s="488" t="s">
        <v>1023</v>
      </c>
      <c r="AE56" s="1868">
        <v>227.54</v>
      </c>
      <c r="AF56" s="1868">
        <v>3469.46</v>
      </c>
      <c r="AG56" s="1868">
        <v>260.96</v>
      </c>
      <c r="AH56" s="310">
        <f>AG56-AF56</f>
        <v>-3208.5</v>
      </c>
      <c r="AI56" s="1868">
        <v>238.33</v>
      </c>
      <c r="AJ56" s="1868">
        <v>251.2</v>
      </c>
      <c r="AK56" s="1868">
        <v>247.98</v>
      </c>
      <c r="AL56" s="310">
        <f>IF(AI56=0,0,(AK56-AI56)/AI56*100)</f>
        <v>4.04900767842906</v>
      </c>
      <c r="AM56" s="1719"/>
      <c r="AN56" s="1719"/>
      <c r="AO56" s="1719"/>
      <c r="AP56" s="230"/>
      <c r="AQ56" s="230"/>
      <c r="AR56" s="1235" t="s">
        <v>1303</v>
      </c>
      <c r="AS56" s="1235"/>
      <c r="AT56" s="1235"/>
      <c r="AU56" s="1236"/>
      <c r="AV56" s="1236"/>
    </row>
    <row s="1632" customFormat="1" customHeight="1" ht="30">
      <c r="A57" s="228"/>
      <c r="B57" s="927"/>
      <c r="C57" s="228"/>
      <c r="D57" s="228"/>
      <c r="E57" s="797">
        <v>31.5</v>
      </c>
      <c r="F57" s="922" cm="1" t="str">
        <f t="array" ref="F57:F57">OFFSET(G57,-1,-1)</f>
        <v>1</v>
      </c>
      <c r="G57" s="230"/>
      <c r="H57" s="230"/>
      <c r="I57" s="230"/>
      <c r="J57" s="230"/>
      <c r="K57" s="230"/>
      <c r="L57" s="230"/>
      <c r="M57" s="230"/>
      <c r="N57" s="230"/>
      <c r="O57" s="230"/>
      <c r="P57" s="230"/>
      <c r="Q57" s="193"/>
      <c r="R57" s="193"/>
      <c r="S57" s="230"/>
      <c r="T57" s="808" cm="1" t="str">
        <f t="array" ref="T57:T57">T56</f>
        <v>true</v>
      </c>
      <c r="U57" s="1582"/>
      <c r="V57" s="1582"/>
      <c r="W57" s="1582"/>
      <c r="X57" s="1582"/>
      <c r="Y57" s="1582"/>
      <c r="Z57" s="1582"/>
      <c r="AA57" s="230"/>
      <c r="AB57" s="160">
        <v>5</v>
      </c>
      <c r="AC57" s="168" t="s">
        <v>1304</v>
      </c>
      <c r="AD57" s="488" t="s">
        <v>1023</v>
      </c>
      <c r="AE57" s="310">
        <f>SUM(AE58:AE62)</f>
        <v>114</v>
      </c>
      <c r="AF57" s="310">
        <f>SUM(AF58:AF62)</f>
        <v>129</v>
      </c>
      <c r="AG57" s="1868">
        <f>SUM(AG58:AG62)</f>
        <v>130.74</v>
      </c>
      <c r="AH57" s="310">
        <f>AG57-AF57</f>
        <v>1.74</v>
      </c>
      <c r="AI57" s="310">
        <f>SUM(AI58:AI62)</f>
        <v>119.4</v>
      </c>
      <c r="AJ57" s="310">
        <f>SUM(AJ58:AJ62)</f>
        <v>447.73</v>
      </c>
      <c r="AK57" s="310">
        <f>SUM(AK58:AK62)</f>
        <v>124.23</v>
      </c>
      <c r="AL57" s="310">
        <f>IF(AI57=0,0,(AK57-AI57)/AI57*100)</f>
        <v>4.04522613065326</v>
      </c>
      <c r="AM57" s="1719"/>
      <c r="AN57" s="1719"/>
      <c r="AO57" s="1719"/>
      <c r="AP57" s="230"/>
      <c r="AQ57" s="230"/>
      <c r="AR57" s="1235" t="s">
        <v>1305</v>
      </c>
      <c r="AS57" s="1235"/>
      <c r="AT57" s="1235"/>
      <c r="AU57" s="1236"/>
      <c r="AV57" s="1236"/>
    </row>
    <row s="1632" customFormat="1" customHeight="1" ht="14.25">
      <c r="A58" s="228"/>
      <c r="B58" s="927"/>
      <c r="C58" s="228"/>
      <c r="D58" s="228"/>
      <c r="E58" s="797">
        <v>15</v>
      </c>
      <c r="F58" s="922" cm="1" t="str">
        <f t="array" ref="F58:F58">OFFSET(G58,-1,-1)</f>
        <v>1</v>
      </c>
      <c r="G58" s="230"/>
      <c r="H58" s="230"/>
      <c r="I58" s="230"/>
      <c r="J58" s="230"/>
      <c r="K58" s="230"/>
      <c r="L58" s="230"/>
      <c r="M58" s="230"/>
      <c r="N58" s="230"/>
      <c r="O58" s="230"/>
      <c r="P58" s="230"/>
      <c r="Q58" s="193"/>
      <c r="R58" s="193"/>
      <c r="S58" s="230"/>
      <c r="T58" s="808" cm="1" t="str">
        <f t="array" ref="T58:T58">T57</f>
        <v>true</v>
      </c>
      <c r="U58" s="1582"/>
      <c r="V58" s="1582"/>
      <c r="W58" s="1582"/>
      <c r="X58" s="1582"/>
      <c r="Y58" s="1582"/>
      <c r="Z58" s="1582"/>
      <c r="AA58" s="230"/>
      <c r="AB58" s="160" t="s">
        <v>756</v>
      </c>
      <c r="AC58" s="168" t="s">
        <v>1306</v>
      </c>
      <c r="AD58" s="488" t="s">
        <v>1023</v>
      </c>
      <c r="AE58" s="1868">
        <v>37.57</v>
      </c>
      <c r="AF58" s="1868">
        <v>40</v>
      </c>
      <c r="AG58" s="1868">
        <v>43.08</v>
      </c>
      <c r="AH58" s="310">
        <f>AG58-AF58</f>
        <v>3.08</v>
      </c>
      <c r="AI58" s="1868">
        <v>39.35</v>
      </c>
      <c r="AJ58" s="1868">
        <v>41.43</v>
      </c>
      <c r="AK58" s="1868">
        <v>40.94</v>
      </c>
      <c r="AL58" s="310">
        <f>IF(AI58=0,0,(AK58-AI58)/AI58*100)</f>
        <v>4.04066073697585</v>
      </c>
      <c r="AM58" s="1719"/>
      <c r="AN58" s="1719"/>
      <c r="AO58" s="1719"/>
      <c r="AP58" s="230"/>
      <c r="AQ58" s="230"/>
      <c r="AR58" s="1235" t="s">
        <v>1307</v>
      </c>
      <c r="AS58" s="1235"/>
      <c r="AT58" s="1235"/>
      <c r="AU58" s="1236"/>
      <c r="AV58" s="1236"/>
    </row>
    <row s="1632" customFormat="1" customHeight="1" ht="14.25">
      <c r="A59" s="228"/>
      <c r="B59" s="927"/>
      <c r="C59" s="228"/>
      <c r="D59" s="228"/>
      <c r="E59" s="797">
        <v>15</v>
      </c>
      <c r="F59" s="922" cm="1" t="str">
        <f t="array" ref="F59:F59">OFFSET(G59,-1,-1)</f>
        <v>1</v>
      </c>
      <c r="G59" s="230"/>
      <c r="H59" s="230"/>
      <c r="I59" s="230"/>
      <c r="J59" s="230"/>
      <c r="K59" s="230"/>
      <c r="L59" s="230"/>
      <c r="M59" s="230"/>
      <c r="N59" s="230"/>
      <c r="O59" s="230"/>
      <c r="P59" s="230"/>
      <c r="Q59" s="193"/>
      <c r="R59" s="193"/>
      <c r="S59" s="230"/>
      <c r="T59" s="808" cm="1" t="str">
        <f t="array" ref="T59:T59">T58</f>
        <v>true</v>
      </c>
      <c r="U59" s="1582"/>
      <c r="V59" s="1582"/>
      <c r="W59" s="1582"/>
      <c r="X59" s="1582"/>
      <c r="Y59" s="1582"/>
      <c r="Z59" s="1582"/>
      <c r="AA59" s="230"/>
      <c r="AB59" s="160" t="s">
        <v>1308</v>
      </c>
      <c r="AC59" s="168" t="s">
        <v>1309</v>
      </c>
      <c r="AD59" s="488" t="s">
        <v>1023</v>
      </c>
      <c r="AE59" s="1868"/>
      <c r="AF59" s="1868"/>
      <c r="AG59" s="1868"/>
      <c r="AH59" s="310">
        <f>AG59-AF59</f>
        <v>0</v>
      </c>
      <c r="AI59" s="1868"/>
      <c r="AJ59" s="1868"/>
      <c r="AK59" s="1868"/>
      <c r="AL59" s="310">
        <f>IF(AI59=0,0,(AK59-AI59)/AI59*100)</f>
        <v>0</v>
      </c>
      <c r="AM59" s="1719"/>
      <c r="AN59" s="1719"/>
      <c r="AO59" s="1719"/>
      <c r="AP59" s="230"/>
      <c r="AQ59" s="230"/>
      <c r="AR59" s="1235" t="s">
        <v>1310</v>
      </c>
      <c r="AS59" s="1235"/>
      <c r="AT59" s="1235"/>
      <c r="AU59" s="1236"/>
      <c r="AV59" s="1236"/>
    </row>
    <row s="1632" customFormat="1" customHeight="1" ht="14.25">
      <c r="A60" s="228"/>
      <c r="B60" s="927"/>
      <c r="C60" s="228"/>
      <c r="D60" s="228"/>
      <c r="E60" s="797">
        <v>15</v>
      </c>
      <c r="F60" s="922" cm="1" t="str">
        <f t="array" ref="F60:F60">OFFSET(G60,-1,-1)</f>
        <v>1</v>
      </c>
      <c r="G60" s="230"/>
      <c r="H60" s="230"/>
      <c r="I60" s="230"/>
      <c r="J60" s="230"/>
      <c r="K60" s="230"/>
      <c r="L60" s="230"/>
      <c r="M60" s="230"/>
      <c r="N60" s="230"/>
      <c r="O60" s="230"/>
      <c r="P60" s="230"/>
      <c r="Q60" s="193"/>
      <c r="R60" s="193"/>
      <c r="S60" s="230"/>
      <c r="T60" s="808" cm="1" t="str">
        <f t="array" ref="T60:T60">T59</f>
        <v>true</v>
      </c>
      <c r="U60" s="1582"/>
      <c r="V60" s="1582"/>
      <c r="W60" s="1582"/>
      <c r="X60" s="1582"/>
      <c r="Y60" s="1582"/>
      <c r="Z60" s="1582"/>
      <c r="AA60" s="230"/>
      <c r="AB60" s="160" t="s">
        <v>1311</v>
      </c>
      <c r="AC60" s="168" t="s">
        <v>1312</v>
      </c>
      <c r="AD60" s="488" t="s">
        <v>1023</v>
      </c>
      <c r="AE60" s="1868"/>
      <c r="AF60" s="1868"/>
      <c r="AG60" s="1868"/>
      <c r="AH60" s="310">
        <f>AG60-AF60</f>
        <v>0</v>
      </c>
      <c r="AI60" s="1868"/>
      <c r="AJ60" s="1868"/>
      <c r="AK60" s="1868"/>
      <c r="AL60" s="310">
        <f>IF(AI60=0,0,(AK60-AI60)/AI60*100)</f>
        <v>0</v>
      </c>
      <c r="AM60" s="1719"/>
      <c r="AN60" s="1719"/>
      <c r="AO60" s="1719"/>
      <c r="AP60" s="230"/>
      <c r="AQ60" s="230"/>
      <c r="AR60" s="1235" t="s">
        <v>1313</v>
      </c>
      <c r="AS60" s="1235"/>
      <c r="AT60" s="1235"/>
      <c r="AU60" s="1236"/>
      <c r="AV60" s="1236"/>
    </row>
    <row s="1632" customFormat="1" customHeight="1" ht="23.25">
      <c r="A61" s="228"/>
      <c r="B61" s="927"/>
      <c r="C61" s="228"/>
      <c r="D61" s="228"/>
      <c r="E61" s="797">
        <v>24</v>
      </c>
      <c r="F61" s="922" cm="1" t="str">
        <f t="array" ref="F61:F61">OFFSET(G61,-1,-1)</f>
        <v>1</v>
      </c>
      <c r="G61" s="230"/>
      <c r="H61" s="230"/>
      <c r="I61" s="230"/>
      <c r="J61" s="230"/>
      <c r="K61" s="230"/>
      <c r="L61" s="230"/>
      <c r="M61" s="230"/>
      <c r="N61" s="230"/>
      <c r="O61" s="230"/>
      <c r="P61" s="230"/>
      <c r="Q61" s="193"/>
      <c r="R61" s="193"/>
      <c r="S61" s="230"/>
      <c r="T61" s="808" cm="1" t="str">
        <f t="array" ref="T61:T61">T60</f>
        <v>true</v>
      </c>
      <c r="U61" s="1582"/>
      <c r="V61" s="1582"/>
      <c r="W61" s="1582"/>
      <c r="X61" s="1582"/>
      <c r="Y61" s="1582"/>
      <c r="Z61" s="1582"/>
      <c r="AA61" s="230"/>
      <c r="AB61" s="160" t="s">
        <v>1314</v>
      </c>
      <c r="AC61" s="168" t="s">
        <v>1315</v>
      </c>
      <c r="AD61" s="488" t="s">
        <v>1023</v>
      </c>
      <c r="AE61" s="1868">
        <v>76.43</v>
      </c>
      <c r="AF61" s="1868">
        <v>74</v>
      </c>
      <c r="AG61" s="1868">
        <v>87.66</v>
      </c>
      <c r="AH61" s="310">
        <f>AG61-AF61</f>
        <v>13.66</v>
      </c>
      <c r="AI61" s="1868">
        <v>80.05</v>
      </c>
      <c r="AJ61" s="1868"/>
      <c r="AK61" s="1868">
        <v>83.29</v>
      </c>
      <c r="AL61" s="310">
        <f>IF(AI61=0,0,(AK61-AI61)/AI61*100)</f>
        <v>4.04747033104311</v>
      </c>
      <c r="AM61" s="1719"/>
      <c r="AN61" s="1719"/>
      <c r="AO61" s="1719"/>
      <c r="AP61" s="230"/>
      <c r="AQ61" s="230"/>
      <c r="AR61" s="1235" t="s">
        <v>1316</v>
      </c>
      <c r="AS61" s="1235"/>
      <c r="AT61" s="1235"/>
      <c r="AU61" s="1236"/>
      <c r="AV61" s="1236"/>
    </row>
    <row s="1632" customFormat="1" customHeight="1" ht="14.25">
      <c r="A62" s="228"/>
      <c r="B62" s="927"/>
      <c r="C62" s="228"/>
      <c r="D62" s="228"/>
      <c r="E62" s="797">
        <v>15</v>
      </c>
      <c r="F62" s="922" cm="1" t="str">
        <f t="array" ref="F62:F62">OFFSET(G62,-1,-1)</f>
        <v>1</v>
      </c>
      <c r="G62" s="230"/>
      <c r="H62" s="230"/>
      <c r="I62" s="230"/>
      <c r="J62" s="230"/>
      <c r="K62" s="230"/>
      <c r="L62" s="230"/>
      <c r="M62" s="230"/>
      <c r="N62" s="230"/>
      <c r="O62" s="230"/>
      <c r="P62" s="230"/>
      <c r="Q62" s="193"/>
      <c r="R62" s="193"/>
      <c r="S62" s="230"/>
      <c r="T62" s="808" cm="1" t="str">
        <f t="array" ref="T62:T62">T61</f>
        <v>true</v>
      </c>
      <c r="U62" s="1582"/>
      <c r="V62" s="1582"/>
      <c r="W62" s="1582"/>
      <c r="X62" s="1582"/>
      <c r="Y62" s="1582"/>
      <c r="Z62" s="1582"/>
      <c r="AA62" s="230"/>
      <c r="AB62" s="160" t="s">
        <v>1317</v>
      </c>
      <c r="AC62" s="168" t="s">
        <v>1318</v>
      </c>
      <c r="AD62" s="488" t="s">
        <v>1023</v>
      </c>
      <c r="AE62" s="1868"/>
      <c r="AF62" s="1868">
        <v>15</v>
      </c>
      <c r="AG62" s="1868"/>
      <c r="AH62" s="310">
        <f>AG62-AF62</f>
        <v>-15</v>
      </c>
      <c r="AI62" s="1868"/>
      <c r="AJ62" s="1868">
        <v>406.3</v>
      </c>
      <c r="AK62" s="1868"/>
      <c r="AL62" s="310">
        <f>IF(AI62=0,0,(AK62-AI62)/AI62*100)</f>
        <v>0</v>
      </c>
      <c r="AM62" s="1719"/>
      <c r="AN62" s="1719"/>
      <c r="AO62" s="1719"/>
      <c r="AP62" s="230"/>
      <c r="AQ62" s="230"/>
      <c r="AR62" s="1235" t="s">
        <v>1319</v>
      </c>
      <c r="AS62" s="1235"/>
      <c r="AT62" s="1235"/>
      <c r="AU62" s="1236"/>
      <c r="AV62" s="1236"/>
    </row>
    <row s="1939" customFormat="1" customHeight="1" ht="14.25">
      <c r="A63" s="235"/>
      <c r="B63" s="235"/>
      <c r="C63" s="235"/>
      <c r="D63" s="235"/>
      <c r="E63" s="797">
        <v>15</v>
      </c>
      <c r="F63" s="922" cm="1" t="str">
        <f t="array" ref="F63:F63">OFFSET(G63,-1,-1)</f>
        <v>1</v>
      </c>
      <c r="G63" s="235"/>
      <c r="H63" s="235"/>
      <c r="I63" s="235"/>
      <c r="J63" s="235"/>
      <c r="K63" s="235"/>
      <c r="L63" s="235"/>
      <c r="M63" s="235"/>
      <c r="N63" s="235"/>
      <c r="O63" s="235"/>
      <c r="P63" s="235"/>
      <c r="Q63" s="235"/>
      <c r="R63" s="235"/>
      <c r="S63" s="235"/>
      <c r="T63" s="808" cm="1" t="str">
        <f t="array" ref="T63:T63">T62</f>
        <v>true</v>
      </c>
      <c r="U63" s="235"/>
      <c r="V63" s="235"/>
      <c r="W63" s="235"/>
      <c r="X63" s="235"/>
      <c r="Y63" s="235"/>
      <c r="Z63" s="235"/>
      <c r="AA63" s="235"/>
      <c r="AB63" s="160" t="s">
        <v>637</v>
      </c>
      <c r="AC63" s="168" t="s">
        <v>1320</v>
      </c>
      <c r="AD63" s="488" t="s">
        <v>1023</v>
      </c>
      <c r="AE63" s="1868"/>
      <c r="AF63" s="1868"/>
      <c r="AG63" s="1868"/>
      <c r="AH63" s="310">
        <f>AG63-AF63</f>
        <v>0</v>
      </c>
      <c r="AI63" s="1868"/>
      <c r="AJ63" s="1868"/>
      <c r="AK63" s="1868"/>
      <c r="AL63" s="310">
        <f>IF(AI63=0,0,(AK63-AI63)/AI63*100)</f>
        <v>0</v>
      </c>
      <c r="AM63" s="1719"/>
      <c r="AN63" s="1719"/>
      <c r="AO63" s="1719"/>
      <c r="AP63" s="235"/>
      <c r="AQ63" s="235"/>
      <c r="AR63" s="1235" t="s">
        <v>1321</v>
      </c>
      <c r="AS63" s="1243"/>
      <c r="AT63" s="1243"/>
      <c r="AU63" s="1244"/>
      <c r="AV63" s="1244"/>
    </row>
    <row s="1632" customFormat="1" customHeight="1" ht="14.25">
      <c r="A64" s="228"/>
      <c r="B64" s="927"/>
      <c r="C64" s="228"/>
      <c r="D64" s="228"/>
      <c r="E64" s="797">
        <v>15</v>
      </c>
      <c r="F64" s="922" cm="1" t="str">
        <f t="array" ref="F64:F64">OFFSET(G64,-1,-1)</f>
        <v>1</v>
      </c>
      <c r="G64" s="230"/>
      <c r="H64" s="230"/>
      <c r="I64" s="230"/>
      <c r="J64" s="230"/>
      <c r="K64" s="230"/>
      <c r="L64" s="230"/>
      <c r="M64" s="230"/>
      <c r="N64" s="230"/>
      <c r="O64" s="230"/>
      <c r="P64" s="230"/>
      <c r="Q64" s="193"/>
      <c r="R64" s="193"/>
      <c r="S64" s="230"/>
      <c r="T64" s="808" cm="1" t="str">
        <f t="array" ref="T64:T64">T63</f>
        <v>true</v>
      </c>
      <c r="U64" s="1582"/>
      <c r="V64" s="1582"/>
      <c r="W64" s="1582"/>
      <c r="X64" s="1582"/>
      <c r="Y64" s="1582"/>
      <c r="Z64" s="1582"/>
      <c r="AA64" s="230"/>
      <c r="AB64" s="160" t="s">
        <v>656</v>
      </c>
      <c r="AC64" s="168" t="s">
        <v>1322</v>
      </c>
      <c r="AD64" s="488" t="s">
        <v>1023</v>
      </c>
      <c r="AE64" s="1868">
        <v>39.57</v>
      </c>
      <c r="AF64" s="1868">
        <v>39.57</v>
      </c>
      <c r="AG64" s="1868">
        <v>45.39</v>
      </c>
      <c r="AH64" s="310">
        <f>AG64-AF64</f>
        <v>5.82</v>
      </c>
      <c r="AI64" s="1868">
        <v>41.45</v>
      </c>
      <c r="AJ64" s="1868">
        <v>66.68</v>
      </c>
      <c r="AK64" s="1868">
        <v>43.13</v>
      </c>
      <c r="AL64" s="310">
        <f>IF(AI64=0,0,(AK64-AI64)/AI64*100)</f>
        <v>4.05307599517491</v>
      </c>
      <c r="AM64" s="1719"/>
      <c r="AN64" s="1719"/>
      <c r="AO64" s="1719"/>
      <c r="AP64" s="230"/>
      <c r="AQ64" s="230"/>
      <c r="AR64" s="1235" t="s">
        <v>1323</v>
      </c>
      <c r="AS64" s="1235"/>
      <c r="AT64" s="1235"/>
      <c r="AU64" s="1236"/>
      <c r="AV64" s="1236"/>
    </row>
    <row s="1632" customFormat="1" customHeight="1" ht="14.25">
      <c r="A65" s="228"/>
      <c r="B65" s="927"/>
      <c r="C65" s="228"/>
      <c r="D65" s="228"/>
      <c r="E65" s="797">
        <v>15</v>
      </c>
      <c r="F65" s="922" cm="1" t="str">
        <f t="array" ref="F65:F65">OFFSET(G65,-1,-1)</f>
        <v>1</v>
      </c>
      <c r="G65" s="193" t="s">
        <v>1168</v>
      </c>
      <c r="H65" s="230"/>
      <c r="I65" s="230"/>
      <c r="J65" s="230"/>
      <c r="K65" s="230"/>
      <c r="L65" s="230"/>
      <c r="M65" s="230"/>
      <c r="N65" s="230"/>
      <c r="O65" s="230"/>
      <c r="P65" s="230"/>
      <c r="Q65" s="193"/>
      <c r="R65" s="193"/>
      <c r="S65" s="230"/>
      <c r="T65" s="808" cm="1" t="str">
        <f t="array" ref="T65:T65">T64</f>
        <v>true</v>
      </c>
      <c r="U65" s="1582"/>
      <c r="V65" s="1582"/>
      <c r="W65" s="1582"/>
      <c r="X65" s="1582"/>
      <c r="Y65" s="1582"/>
      <c r="Z65" s="1582"/>
      <c r="AA65" s="230"/>
      <c r="AB65" s="160" t="s">
        <v>661</v>
      </c>
      <c r="AC65" s="167" t="s">
        <v>1324</v>
      </c>
      <c r="AD65" s="488" t="s">
        <v>1023</v>
      </c>
      <c r="AE65" s="310">
        <f>_xlfn.SUMIFS(Аренда!AE$26:AE$51,Аренда!$F$26:$F$51,$F65,Аренда!$G$26:$G$51,$G65)</f>
        <v>0</v>
      </c>
      <c r="AF65" s="310">
        <f>_xlfn.SUMIFS(Аренда!AF$26:AF$51,Аренда!$F$26:$F$51,$F65,Аренда!$G$26:$G$51,$G65)</f>
        <v>0</v>
      </c>
      <c r="AG65" s="1868">
        <f>_xlfn.SUMIFS(Аренда!AG$26:AG$51,Аренда!$F$26:$F$51,$F65,Аренда!$G$26:$G$51,$G65)</f>
        <v>0</v>
      </c>
      <c r="AH65" s="310">
        <f>AG65-AF65</f>
        <v>0</v>
      </c>
      <c r="AI65" s="310">
        <f>_xlfn.SUMIFS(Аренда!AH$26:AH$51,Аренда!$F$26:$F$51,$F65,Аренда!$G$26:$G$51,$G65)</f>
        <v>0</v>
      </c>
      <c r="AJ65" s="310">
        <f>_xlfn.SUMIFS(Аренда!AI$26:AI$51,Аренда!$F$26:$F$51,$F65,Аренда!$G$26:$G$51,$G65)</f>
        <v>0</v>
      </c>
      <c r="AK65" s="310">
        <f>_xlfn.SUMIFS(Аренда!AS$26:AS$51,Аренда!$F$26:$F$51,$F65,Аренда!$G$26:$G$51,$G65)</f>
        <v>0</v>
      </c>
      <c r="AL65" s="310">
        <f>IF(AI65=0,0,(AK65-AI65)/AI65*100)</f>
        <v>0</v>
      </c>
      <c r="AM65" s="1719"/>
      <c r="AN65" s="1719"/>
      <c r="AO65" s="1719"/>
      <c r="AP65" s="230"/>
      <c r="AQ65" s="230"/>
      <c r="AR65" s="1235" t="s">
        <v>1325</v>
      </c>
      <c r="AS65" s="1235"/>
      <c r="AT65" s="1235"/>
      <c r="AU65" s="1236"/>
      <c r="AV65" s="1236"/>
    </row>
    <row s="1940" customFormat="1" customHeight="1" ht="14.25">
      <c r="A66" s="235"/>
      <c r="B66" s="235"/>
      <c r="C66" s="235"/>
      <c r="D66" s="235"/>
      <c r="E66" s="797">
        <v>15</v>
      </c>
      <c r="F66" s="922" cm="1" t="str">
        <f t="array" ref="F66:F66">OFFSET(G66,-1,-1)</f>
        <v>1</v>
      </c>
      <c r="G66" s="193" t="s">
        <v>1155</v>
      </c>
      <c r="H66" s="235"/>
      <c r="I66" s="235"/>
      <c r="J66" s="235"/>
      <c r="K66" s="235"/>
      <c r="L66" s="235"/>
      <c r="M66" s="235"/>
      <c r="N66" s="235"/>
      <c r="O66" s="235"/>
      <c r="P66" s="235"/>
      <c r="Q66" s="235"/>
      <c r="R66" s="235"/>
      <c r="S66" s="235"/>
      <c r="T66" s="808" cm="1" t="str">
        <f t="array" ref="T66:T66">T65</f>
        <v>true</v>
      </c>
      <c r="U66" s="235"/>
      <c r="V66" s="235"/>
      <c r="W66" s="235"/>
      <c r="X66" s="235"/>
      <c r="Y66" s="235"/>
      <c r="Z66" s="235"/>
      <c r="AA66" s="235"/>
      <c r="AB66" s="160" t="s">
        <v>669</v>
      </c>
      <c r="AC66" s="167" t="s">
        <v>1326</v>
      </c>
      <c r="AD66" s="488" t="s">
        <v>1023</v>
      </c>
      <c r="AE66" s="310">
        <f>_xlfn.SUMIFS(Аренда!AE$26:AE$51,Аренда!$F$26:$F$51,$F66,Аренда!$G$26:$G$51,$G66)</f>
        <v>0</v>
      </c>
      <c r="AF66" s="310">
        <f>_xlfn.SUMIFS(Аренда!AF$26:AF$51,Аренда!$F$26:$F$51,$F66,Аренда!$G$26:$G$51,$G66)</f>
        <v>0</v>
      </c>
      <c r="AG66" s="1868">
        <f>_xlfn.SUMIFS(Аренда!AG$26:AG$51,Аренда!$F$26:$F$51,$F66,Аренда!$G$26:$G$51,$G66)</f>
        <v>0</v>
      </c>
      <c r="AH66" s="310">
        <f>AG66-AF66</f>
        <v>0</v>
      </c>
      <c r="AI66" s="310">
        <f>_xlfn.SUMIFS(Аренда!AH$26:AH$51,Аренда!$F$26:$F$51,$F66,Аренда!$G$26:$G$51,$G66)</f>
        <v>0</v>
      </c>
      <c r="AJ66" s="310">
        <f>_xlfn.SUMIFS(Аренда!AI$26:AI$51,Аренда!$F$26:$F$51,$F66,Аренда!$G$26:$G$51,$G66)</f>
        <v>0</v>
      </c>
      <c r="AK66" s="310">
        <f>_xlfn.SUMIFS(Аренда!AS$26:AS$51,Аренда!$F$26:$F$51,$F66,Аренда!$G$26:$G$51,$G66)</f>
        <v>0</v>
      </c>
      <c r="AL66" s="310">
        <f>IF(AI66=0,0,(AK66-AI66)/AI66*100)</f>
        <v>0</v>
      </c>
      <c r="AM66" s="1719"/>
      <c r="AN66" s="1719"/>
      <c r="AO66" s="1719"/>
      <c r="AP66" s="235"/>
      <c r="AQ66" s="235"/>
      <c r="AR66" s="1235" t="s">
        <v>1158</v>
      </c>
      <c r="AS66" s="1243"/>
      <c r="AT66" s="1243"/>
      <c r="AU66" s="1244"/>
      <c r="AV66" s="1244"/>
    </row>
    <row s="1632" customFormat="1" customHeight="1" ht="29.25">
      <c r="A67" s="228"/>
      <c r="B67" s="927"/>
      <c r="C67" s="228"/>
      <c r="D67" s="228"/>
      <c r="E67" s="797">
        <v>30</v>
      </c>
      <c r="F67" s="922" cm="1" t="str">
        <f t="array" ref="F67:F67">OFFSET(G67,-1,-1)</f>
        <v>1</v>
      </c>
      <c r="G67" s="230"/>
      <c r="H67" s="230"/>
      <c r="I67" s="230"/>
      <c r="J67" s="230"/>
      <c r="K67" s="230"/>
      <c r="L67" s="230"/>
      <c r="M67" s="230"/>
      <c r="N67" s="230"/>
      <c r="O67" s="230"/>
      <c r="P67" s="230"/>
      <c r="Q67" s="193"/>
      <c r="R67" s="193"/>
      <c r="S67" s="230"/>
      <c r="T67" s="808" cm="1" t="str">
        <f t="array" ref="T67:T67">T66</f>
        <v>true</v>
      </c>
      <c r="U67" s="1582"/>
      <c r="V67" s="1582"/>
      <c r="W67" s="1582"/>
      <c r="X67" s="1582"/>
      <c r="Y67" s="1582"/>
      <c r="Z67" s="1582"/>
      <c r="AA67" s="230"/>
      <c r="AB67" s="160" t="s">
        <v>693</v>
      </c>
      <c r="AC67" s="168" t="s">
        <v>1327</v>
      </c>
      <c r="AD67" s="488" t="s">
        <v>1023</v>
      </c>
      <c r="AE67" s="310">
        <f>SUM(AE68:AE70)</f>
        <v>0</v>
      </c>
      <c r="AF67" s="310">
        <f>SUM(AF68:AF70)</f>
        <v>0</v>
      </c>
      <c r="AG67" s="1868">
        <f>SUM(AG68:AG70)</f>
        <v>0</v>
      </c>
      <c r="AH67" s="310">
        <f>AG67-AF67</f>
        <v>0</v>
      </c>
      <c r="AI67" s="310">
        <f>SUM(AI68:AI70)</f>
        <v>0</v>
      </c>
      <c r="AJ67" s="310">
        <f>SUM(AJ68:AJ70)</f>
        <v>0</v>
      </c>
      <c r="AK67" s="310">
        <f>SUM(AK68:AK70)</f>
        <v>0</v>
      </c>
      <c r="AL67" s="310">
        <f>IF(AI67=0,0,(AK67-AI67)/AI67*100)</f>
        <v>0</v>
      </c>
      <c r="AM67" s="1719"/>
      <c r="AN67" s="1719"/>
      <c r="AO67" s="1719"/>
      <c r="AP67" s="230"/>
      <c r="AQ67" s="230"/>
      <c r="AR67" s="1235" t="s">
        <v>1270</v>
      </c>
      <c r="AS67" s="1235"/>
      <c r="AT67" s="1235"/>
      <c r="AU67" s="1236"/>
      <c r="AV67" s="1236"/>
    </row>
    <row s="1632" customFormat="1" customHeight="1" ht="11.25" hidden="1">
      <c r="A68" s="228"/>
      <c r="B68" s="927"/>
      <c r="C68" s="228"/>
      <c r="D68" s="228"/>
      <c r="E68" s="797">
        <v>0</v>
      </c>
      <c r="F68" s="922" cm="1" t="str">
        <f t="array" ref="F68:F68">OFFSET(G68,-1,-1)</f>
        <v>1</v>
      </c>
      <c r="G68" s="230"/>
      <c r="H68" s="230"/>
      <c r="I68" s="230"/>
      <c r="J68" s="230"/>
      <c r="K68" s="230"/>
      <c r="L68" s="230"/>
      <c r="M68" s="230"/>
      <c r="N68" s="230"/>
      <c r="O68" s="230"/>
      <c r="P68" s="230"/>
      <c r="Q68" s="193"/>
      <c r="R68" s="193"/>
      <c r="S68" s="230"/>
      <c r="T68" s="808" cm="1" t="str">
        <f t="array" ref="T68:T68">T67</f>
        <v>true</v>
      </c>
      <c r="U68" s="1582"/>
      <c r="V68" s="1582"/>
      <c r="W68" s="1582"/>
      <c r="X68" s="1582"/>
      <c r="Y68" s="1582"/>
      <c r="Z68" s="1582"/>
      <c r="AA68" s="230"/>
      <c r="AB68" s="160"/>
      <c r="AC68" s="165"/>
      <c r="AD68" s="488"/>
      <c r="AE68" s="488"/>
      <c r="AF68" s="488"/>
      <c r="AG68" s="488"/>
      <c r="AH68" s="488"/>
      <c r="AI68" s="488"/>
      <c r="AJ68" s="488"/>
      <c r="AK68" s="488"/>
      <c r="AL68" s="488"/>
      <c r="AM68" s="172"/>
      <c r="AN68" s="172"/>
      <c r="AO68" s="172"/>
      <c r="AP68" s="230"/>
      <c r="AQ68" s="230"/>
      <c r="AR68" s="1235" t="str">
        <f>IF(AND(ISNUMBER(VALUE(TRIM(SUBSTITUTE(AB68,".","")))),TRIM(SUBSTITUTE(AB68,".",""))&lt;&gt;""),"P"&amp;SUBSTITUTE(AB68,".",""),"")</f>
        <v/>
      </c>
      <c r="AS68" s="1235"/>
      <c r="AT68" s="1235"/>
      <c r="AU68" s="1236"/>
      <c r="AV68" s="1236"/>
    </row>
    <row s="1632" customFormat="1" customHeight="1" ht="14.25" hidden="1">
      <c r="A69" s="228"/>
      <c r="B69" s="927"/>
      <c r="C69" s="228"/>
      <c r="D69" s="228"/>
      <c r="E69" s="797">
        <v>15</v>
      </c>
      <c r="F69" s="922" cm="1" t="str">
        <f t="array" ref="F69:F69">OFFSET(G69,-1,-1)</f>
        <v>1</v>
      </c>
      <c r="G69" s="230"/>
      <c r="H69" s="230"/>
      <c r="I69" s="230"/>
      <c r="J69" s="230"/>
      <c r="K69" s="230"/>
      <c r="L69" s="230"/>
      <c r="M69" s="230"/>
      <c r="N69" s="230"/>
      <c r="O69" s="230"/>
      <c r="P69" s="230"/>
      <c r="Q69" s="193"/>
      <c r="R69" s="193"/>
      <c r="S69" s="230"/>
      <c r="T69" s="808">
        <f>AND(F69&gt;0,Y69&gt;0)</f>
        <v>0</v>
      </c>
      <c r="U69" s="1582"/>
      <c r="V69" s="1582"/>
      <c r="W69" s="175" t="s">
        <v>234</v>
      </c>
      <c r="X69" s="1582"/>
      <c r="Y69" s="175">
        <v>0</v>
      </c>
      <c r="Z69" s="1582"/>
      <c r="AA69" s="1123" t="s">
        <v>218</v>
      </c>
      <c r="AB69" s="642" t="str">
        <f>"10."&amp;Y69</f>
        <v>10.0</v>
      </c>
      <c r="AC69" s="115"/>
      <c r="AD69" s="499" t="s">
        <v>1023</v>
      </c>
      <c r="AE69" s="116"/>
      <c r="AF69" s="116"/>
      <c r="AG69" s="116"/>
      <c r="AH69" s="551">
        <f>AG69-AF69</f>
        <v>0</v>
      </c>
      <c r="AI69" s="116"/>
      <c r="AJ69" s="116"/>
      <c r="AK69" s="116"/>
      <c r="AL69" s="551">
        <f>IF(AI69=0,0,(AK69-AI69)/AI69*100)</f>
        <v>0</v>
      </c>
      <c r="AM69" s="69"/>
      <c r="AN69" s="69"/>
      <c r="AO69" s="69"/>
      <c r="AP69" s="230"/>
      <c r="AQ69" s="230"/>
      <c r="AR69" s="1235" t="s">
        <v>1270</v>
      </c>
      <c r="AS69" s="1235" t="s">
        <v>1200</v>
      </c>
      <c r="AT69" s="1245" cm="1" t="str">
        <f t="array" ref="AT69:AT69">AC69</f>
        <v>0</v>
      </c>
      <c r="AU69" s="1236"/>
      <c r="AV69" s="1236" t="b">
        <v>1</v>
      </c>
    </row>
    <row s="1632" customFormat="1" customHeight="1" ht="13.5">
      <c r="A70" s="228"/>
      <c r="B70" s="927"/>
      <c r="C70" s="228"/>
      <c r="D70" s="228"/>
      <c r="E70" s="797">
        <v>14.1</v>
      </c>
      <c r="F70" s="922" cm="1" t="str">
        <f t="array" ref="F70:F70">OFFSET(G70,-1,-1)</f>
        <v>1</v>
      </c>
      <c r="G70" s="230"/>
      <c r="H70" s="230"/>
      <c r="I70" s="230"/>
      <c r="J70" s="230"/>
      <c r="K70" s="230"/>
      <c r="L70" s="230"/>
      <c r="M70" s="230"/>
      <c r="N70" s="230"/>
      <c r="O70" s="230"/>
      <c r="P70" s="230"/>
      <c r="Q70" s="193"/>
      <c r="R70" s="193"/>
      <c r="S70" s="230"/>
      <c r="T70" s="808">
        <f>F70&gt;0</f>
        <v>1</v>
      </c>
      <c r="U70" s="1582"/>
      <c r="V70" s="1582"/>
      <c r="W70" s="374" t="s">
        <v>509</v>
      </c>
      <c r="X70" s="1582"/>
      <c r="Y70" s="1582"/>
      <c r="Z70" s="1582"/>
      <c r="AA70" s="230"/>
      <c r="AB70" s="731"/>
      <c r="AC70" s="735" t="s">
        <v>236</v>
      </c>
      <c r="AD70" s="732"/>
      <c r="AE70" s="733"/>
      <c r="AF70" s="733"/>
      <c r="AG70" s="733"/>
      <c r="AH70" s="733"/>
      <c r="AI70" s="733"/>
      <c r="AJ70" s="733"/>
      <c r="AK70" s="733"/>
      <c r="AL70" s="733"/>
      <c r="AM70" s="1103"/>
      <c r="AN70" s="1103"/>
      <c r="AO70" s="1104"/>
      <c r="AP70" s="230"/>
      <c r="AQ70" s="230"/>
      <c r="AR70" s="1235" t="str">
        <f>IF(AND(ISNUMBER(VALUE(TRIM(SUBSTITUTE(AB70,".","")))),TRIM(SUBSTITUTE(AB70,".",""))&lt;&gt;""),"P"&amp;SUBSTITUTE(AB70,".",""),"")</f>
        <v/>
      </c>
      <c r="AS70" s="1235"/>
      <c r="AT70" s="1235"/>
      <c r="AU70" s="1236" t="s">
        <v>1200</v>
      </c>
      <c r="AV70" s="1236"/>
    </row>
    <row s="1632" customFormat="1" customHeight="1" ht="13.5">
      <c r="A71" s="228"/>
      <c r="B71" s="927"/>
      <c r="C71" s="228"/>
      <c r="D71" s="228"/>
      <c r="E71" s="797">
        <v>14.1</v>
      </c>
      <c r="F71" s="922" cm="1" t="str">
        <f t="array" ref="F71:F71">OFFSET(G71,-1,-1)</f>
        <v>1</v>
      </c>
      <c r="G71" s="230"/>
      <c r="H71" s="230"/>
      <c r="I71" s="230"/>
      <c r="J71" s="230"/>
      <c r="K71" s="230"/>
      <c r="L71" s="230"/>
      <c r="M71" s="230"/>
      <c r="N71" s="230"/>
      <c r="O71" s="230"/>
      <c r="P71" s="230"/>
      <c r="Q71" s="193"/>
      <c r="R71" s="193"/>
      <c r="S71" s="230"/>
      <c r="T71" s="808">
        <f>F71&gt;0</f>
        <v>1</v>
      </c>
      <c r="U71" s="1582"/>
      <c r="V71" s="1582"/>
      <c r="W71" s="1582"/>
      <c r="X71" s="1582"/>
      <c r="Y71" s="1582"/>
      <c r="Z71" s="1582"/>
      <c r="AA71" s="230"/>
      <c r="AB71" s="643" t="s">
        <v>701</v>
      </c>
      <c r="AC71" s="729" t="s">
        <v>1328</v>
      </c>
      <c r="AD71" s="558" t="s">
        <v>1023</v>
      </c>
      <c r="AE71" s="645">
        <f>SUM(AE72:AE74)</f>
        <v>0</v>
      </c>
      <c r="AF71" s="645">
        <f>SUM(AF72:AF74)</f>
        <v>0</v>
      </c>
      <c r="AG71" s="1941">
        <f>SUM(AG72:AG74)</f>
        <v>0</v>
      </c>
      <c r="AH71" s="645">
        <f>AG71-AF71</f>
        <v>0</v>
      </c>
      <c r="AI71" s="645">
        <f>SUM(AI72:AI74)</f>
        <v>0</v>
      </c>
      <c r="AJ71" s="645">
        <f>SUM(AJ72:AJ74)</f>
        <v>0</v>
      </c>
      <c r="AK71" s="645">
        <f>SUM(AK72:AK74)</f>
        <v>0</v>
      </c>
      <c r="AL71" s="645">
        <f>IF(AI71=0,0,(AK71-AI71)/AI71*100)</f>
        <v>0</v>
      </c>
      <c r="AM71" s="1723"/>
      <c r="AN71" s="1723"/>
      <c r="AO71" s="1723"/>
      <c r="AP71" s="230"/>
      <c r="AQ71" s="230"/>
      <c r="AR71" s="1235" t="s">
        <v>1329</v>
      </c>
      <c r="AS71" s="1235"/>
      <c r="AT71" s="1235"/>
      <c r="AU71" s="1236"/>
      <c r="AV71" s="1236"/>
    </row>
    <row s="1632" customFormat="1" customHeight="1" ht="11.25" hidden="1">
      <c r="A72" s="228"/>
      <c r="B72" s="927"/>
      <c r="C72" s="228"/>
      <c r="D72" s="228"/>
      <c r="E72" s="797">
        <v>0</v>
      </c>
      <c r="F72" s="922" cm="1" t="str">
        <f t="array" ref="F72:F72">OFFSET(G72,-1,-1)</f>
        <v>1</v>
      </c>
      <c r="G72" s="230"/>
      <c r="H72" s="230"/>
      <c r="I72" s="230"/>
      <c r="J72" s="230"/>
      <c r="K72" s="230"/>
      <c r="L72" s="230"/>
      <c r="M72" s="230"/>
      <c r="N72" s="230"/>
      <c r="O72" s="230"/>
      <c r="P72" s="230"/>
      <c r="Q72" s="193"/>
      <c r="R72" s="193"/>
      <c r="S72" s="230"/>
      <c r="T72" s="808">
        <f>F72&gt;0</f>
        <v>1</v>
      </c>
      <c r="U72" s="1582"/>
      <c r="V72" s="1582"/>
      <c r="W72" s="1582"/>
      <c r="X72" s="1582"/>
      <c r="Y72" s="1582"/>
      <c r="Z72" s="1582"/>
      <c r="AA72" s="230"/>
      <c r="AB72" s="642"/>
      <c r="AC72" s="672"/>
      <c r="AD72" s="673"/>
      <c r="AE72" s="488"/>
      <c r="AF72" s="488"/>
      <c r="AG72" s="488"/>
      <c r="AH72" s="230"/>
      <c r="AI72" s="488"/>
      <c r="AJ72" s="488"/>
      <c r="AK72" s="488"/>
      <c r="AL72" s="230"/>
      <c r="AM72" s="230"/>
      <c r="AN72" s="230"/>
      <c r="AO72" s="230"/>
      <c r="AP72" s="230"/>
      <c r="AQ72" s="230"/>
      <c r="AR72" s="1235" t="str">
        <f>IF(AND(ISNUMBER(VALUE(TRIM(SUBSTITUTE(AB72,".","")))),TRIM(SUBSTITUTE(AB72,".",""))&lt;&gt;""),"P"&amp;SUBSTITUTE(AB72,".",""),"")</f>
        <v/>
      </c>
      <c r="AS72" s="1235"/>
      <c r="AT72" s="1235"/>
      <c r="AU72" s="1236"/>
      <c r="AV72" s="1236"/>
    </row>
    <row s="1632" customFormat="1" customHeight="1" ht="13.5" hidden="1">
      <c r="A73" s="228"/>
      <c r="B73" s="927"/>
      <c r="C73" s="228"/>
      <c r="D73" s="228"/>
      <c r="E73" s="797">
        <v>14.1</v>
      </c>
      <c r="F73" s="922" cm="1" t="str">
        <f t="array" ref="F73:F73">OFFSET(G73,-1,-1)</f>
        <v>1</v>
      </c>
      <c r="G73" s="230"/>
      <c r="H73" s="230"/>
      <c r="I73" s="230"/>
      <c r="J73" s="230"/>
      <c r="K73" s="230"/>
      <c r="L73" s="230"/>
      <c r="M73" s="230"/>
      <c r="N73" s="230"/>
      <c r="O73" s="230"/>
      <c r="P73" s="230"/>
      <c r="Q73" s="193"/>
      <c r="R73" s="193"/>
      <c r="S73" s="230"/>
      <c r="T73" s="808">
        <f>AND(F73&gt;0,Y73&gt;0)</f>
        <v>0</v>
      </c>
      <c r="U73" s="1582"/>
      <c r="V73" s="1582"/>
      <c r="W73" s="175" t="s">
        <v>234</v>
      </c>
      <c r="X73" s="1582"/>
      <c r="Y73" s="175">
        <v>0</v>
      </c>
      <c r="Z73" s="1582"/>
      <c r="AA73" s="1123" t="s">
        <v>218</v>
      </c>
      <c r="AB73" s="642" t="str">
        <f>"11."&amp;Y73</f>
        <v>11.0</v>
      </c>
      <c r="AC73" s="109"/>
      <c r="AD73" s="173" t="s">
        <v>1023</v>
      </c>
      <c r="AE73" s="98"/>
      <c r="AF73" s="98"/>
      <c r="AG73" s="98"/>
      <c r="AH73" s="310">
        <f>AG73-AF73</f>
        <v>0</v>
      </c>
      <c r="AI73" s="98"/>
      <c r="AJ73" s="98"/>
      <c r="AK73" s="98"/>
      <c r="AL73" s="310">
        <f>IF(AI73=0,0,(AK73-AI73)/AI73*100)</f>
        <v>0</v>
      </c>
      <c r="AM73" s="73"/>
      <c r="AN73" s="73"/>
      <c r="AO73" s="73"/>
      <c r="AP73" s="230"/>
      <c r="AQ73" s="230"/>
      <c r="AR73" s="1235" t="s">
        <v>1329</v>
      </c>
      <c r="AS73" s="1235" t="s">
        <v>1330</v>
      </c>
      <c r="AT73" s="1245" cm="1" t="str">
        <f t="array" ref="AT73:AT73">AC73</f>
        <v>0</v>
      </c>
      <c r="AU73" s="1236"/>
      <c r="AV73" s="1236" t="b">
        <v>1</v>
      </c>
    </row>
    <row s="1632" customFormat="1" customHeight="1" ht="13.5">
      <c r="A74" s="228"/>
      <c r="B74" s="927"/>
      <c r="C74" s="228"/>
      <c r="D74" s="228"/>
      <c r="E74" s="797">
        <v>14.1</v>
      </c>
      <c r="F74" s="922" cm="1" t="str">
        <f t="array" ref="F74:F74">OFFSET(G74,-1,-1)</f>
        <v>1</v>
      </c>
      <c r="G74" s="230"/>
      <c r="H74" s="230"/>
      <c r="I74" s="230"/>
      <c r="J74" s="230"/>
      <c r="K74" s="230"/>
      <c r="L74" s="230"/>
      <c r="M74" s="230"/>
      <c r="N74" s="230"/>
      <c r="O74" s="230"/>
      <c r="P74" s="230"/>
      <c r="Q74" s="193"/>
      <c r="R74" s="193"/>
      <c r="S74" s="230"/>
      <c r="T74" s="808">
        <f>F74&gt;0</f>
        <v>1</v>
      </c>
      <c r="U74" s="1582"/>
      <c r="V74" s="1582"/>
      <c r="W74" s="374" t="s">
        <v>1331</v>
      </c>
      <c r="X74" s="1582"/>
      <c r="Y74" s="1582"/>
      <c r="Z74" s="1582"/>
      <c r="AA74" s="230"/>
      <c r="AB74" s="731"/>
      <c r="AC74" s="735" t="s">
        <v>236</v>
      </c>
      <c r="AD74" s="732"/>
      <c r="AE74" s="734"/>
      <c r="AF74" s="734"/>
      <c r="AG74" s="734"/>
      <c r="AH74" s="734"/>
      <c r="AI74" s="734"/>
      <c r="AJ74" s="734"/>
      <c r="AK74" s="734"/>
      <c r="AL74" s="734"/>
      <c r="AM74" s="734"/>
      <c r="AN74" s="734"/>
      <c r="AO74" s="734"/>
      <c r="AP74" s="230"/>
      <c r="AQ74" s="230"/>
      <c r="AR74" s="1235"/>
      <c r="AS74" s="1235"/>
      <c r="AT74" s="1235"/>
      <c r="AU74" s="1236" t="s">
        <v>1330</v>
      </c>
      <c r="AV74" s="1236"/>
    </row>
    <row customHeight="1" ht="9.945">
      <c r="E75" s="797">
        <v>10.2</v>
      </c>
      <c r="U75" s="179" t="s">
        <v>236</v>
      </c>
      <c r="V75" s="171" t="s">
        <v>1332</v>
      </c>
    </row>
    <row customHeight="1" ht="11.25" hidden="1">
      <c r="E76" s="797">
        <v>0</v>
      </c>
    </row>
    <row customHeight="1" ht="14.625">
      <c r="E77" s="797">
        <v>15</v>
      </c>
      <c r="AB77" s="1530" t="s">
        <v>705</v>
      </c>
      <c r="AC77" s="1530"/>
      <c r="AD77" s="1530"/>
      <c r="AE77" s="1530"/>
      <c r="AF77" s="1530"/>
      <c r="AG77" s="1530"/>
      <c r="AH77" s="1530"/>
      <c r="AI77" s="1530"/>
      <c r="AJ77" s="1530"/>
      <c r="AK77" s="1530"/>
      <c r="AL77" s="1530"/>
      <c r="AM77" s="1530"/>
      <c r="AN77" s="1530"/>
      <c r="AO77" s="1530"/>
    </row>
    <row customHeight="1" ht="14.625">
      <c r="E78" s="797">
        <v>15</v>
      </c>
      <c r="AA78" s="921"/>
      <c r="AB78" s="1543"/>
      <c r="AC78" s="1544"/>
      <c r="AD78" s="1544"/>
      <c r="AE78" s="1544"/>
      <c r="AF78" s="1544"/>
      <c r="AG78" s="1544"/>
      <c r="AH78" s="1544"/>
      <c r="AI78" s="1544"/>
      <c r="AJ78" s="1544"/>
      <c r="AK78" s="1544"/>
      <c r="AL78" s="1544"/>
      <c r="AM78" s="1544"/>
      <c r="AN78" s="1544"/>
      <c r="AO78" s="1544"/>
    </row>
    <row customHeight="1" ht="14.625" hidden="1">
      <c r="A79" s="228"/>
      <c r="B79" s="927"/>
      <c r="C79" s="228"/>
      <c r="D79" s="228"/>
      <c r="E79" s="797">
        <v>15</v>
      </c>
      <c r="F79" s="228"/>
      <c r="G79" s="230"/>
      <c r="H79" s="230"/>
      <c r="I79" s="230"/>
      <c r="J79" s="230"/>
      <c r="K79" s="230"/>
      <c r="L79" s="230"/>
      <c r="M79" s="230"/>
      <c r="N79" s="230"/>
      <c r="O79" s="230"/>
      <c r="P79" s="230"/>
      <c r="Q79" s="193"/>
      <c r="R79" s="193"/>
      <c r="S79" s="230"/>
      <c r="T79" s="808">
        <f>ROW(W79)&gt;ROW(W$79)</f>
        <v>0</v>
      </c>
      <c r="U79" s="1582"/>
      <c r="V79" s="1582"/>
      <c r="W79" s="175" t="s">
        <v>234</v>
      </c>
      <c r="X79" s="1582"/>
      <c r="Y79" s="1582"/>
      <c r="Z79" s="1582"/>
      <c r="AA79" s="917" t="s">
        <v>218</v>
      </c>
      <c r="AB79" s="1932"/>
      <c r="AC79" s="1544"/>
      <c r="AD79" s="1544"/>
      <c r="AE79" s="1544"/>
      <c r="AF79" s="1544"/>
      <c r="AG79" s="1544"/>
      <c r="AH79" s="1544"/>
      <c r="AI79" s="1544"/>
      <c r="AJ79" s="1544"/>
      <c r="AK79" s="1544"/>
      <c r="AL79" s="1544"/>
      <c r="AM79" s="1544"/>
      <c r="AN79" s="1544"/>
      <c r="AO79" s="1544"/>
      <c r="AP79" s="230"/>
      <c r="AQ79" s="230"/>
      <c r="AR79" s="1235"/>
      <c r="AS79" s="1235"/>
      <c r="AT79" s="1235"/>
      <c r="AU79" s="1236"/>
      <c r="AV79" s="1236"/>
    </row>
    <row customHeight="1" ht="14.625">
      <c r="E80" s="797">
        <v>15</v>
      </c>
      <c r="W80" s="171" t="s">
        <v>235</v>
      </c>
      <c r="AA80" s="213"/>
      <c r="AB80" s="1478" t="s">
        <v>706</v>
      </c>
      <c r="AC80" s="1479"/>
      <c r="AD80" s="383"/>
      <c r="AE80" s="383"/>
      <c r="AF80" s="383"/>
      <c r="AG80" s="383"/>
      <c r="AH80" s="383"/>
      <c r="AI80" s="383"/>
      <c r="AJ80" s="383"/>
      <c r="AK80" s="383"/>
      <c r="AL80" s="383"/>
      <c r="AM80" s="383"/>
      <c r="AN80" s="383"/>
      <c r="AO80" s="350"/>
    </row>
    <row customHeight="1" ht="11.25">
      <c r="AP81" s="230"/>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E5379-028D-1F48-C458-962655A5437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6" style="230" width="3.57421875" hidden="1" customWidth="1"/>
    <col min="17" max="18" style="193" width="3.57421875" hidden="1" customWidth="1"/>
    <col min="19" max="19" style="23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3.28125" hidden="1" customWidth="1"/>
    <col min="34" max="34" style="230" width="26.28125" hidden="1"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233"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372</v>
      </c>
      <c r="Z1" s="808" t="s">
        <v>93</v>
      </c>
      <c r="AA1" s="819" t="s">
        <v>90</v>
      </c>
      <c r="AB1" s="819" t="s">
        <v>92</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233" t="s">
        <v>373</v>
      </c>
    </row>
    <row s="927" customFormat="1" customHeight="1" ht="12" hidden="1">
      <c r="B2" s="910" t="s">
        <v>15</v>
      </c>
      <c r="G2" s="930"/>
      <c r="H2" s="930"/>
      <c r="I2" s="930"/>
      <c r="J2" s="930"/>
      <c r="K2" s="930"/>
      <c r="L2" s="930"/>
      <c r="M2" s="930"/>
      <c r="N2" s="930"/>
      <c r="O2" s="930"/>
      <c r="P2" s="930"/>
      <c r="Q2" s="930"/>
      <c r="R2" s="930"/>
      <c r="S2" s="93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60"/>
    </row>
    <row s="228" customFormat="1" customHeight="1" ht="12" hidden="1">
      <c r="B3" s="788"/>
      <c r="E3" s="788"/>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3"/>
    </row>
    <row s="228" customFormat="1" customHeight="1" ht="12" hidden="1">
      <c r="B4" s="788"/>
      <c r="E4" s="788"/>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0</v>
      </c>
      <c r="AF5" s="797">
        <v>0</v>
      </c>
      <c r="AG5" s="797">
        <v>0</v>
      </c>
      <c r="AH5" s="797">
        <v>0</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60"/>
    </row>
    <row s="228" customFormat="1" customHeight="1" ht="12" hidden="1">
      <c r="B6" s="788"/>
      <c r="E6" s="797"/>
      <c r="G6" s="230"/>
      <c r="H6" s="230"/>
      <c r="I6" s="230"/>
      <c r="J6" s="230"/>
      <c r="K6" s="230"/>
      <c r="L6" s="230"/>
      <c r="M6" s="230"/>
      <c r="N6" s="230"/>
      <c r="O6" s="230"/>
      <c r="P6" s="230"/>
      <c r="Q6" s="193"/>
      <c r="R6" s="193"/>
      <c r="S6" s="230"/>
      <c r="T6" s="175"/>
      <c r="U6" s="175"/>
      <c r="V6" s="175"/>
      <c r="W6" s="175"/>
      <c r="X6" s="175"/>
      <c r="Y6" s="175"/>
      <c r="Z6" s="175"/>
      <c r="AC6" s="232"/>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3"/>
    </row>
    <row customHeight="1" ht="12" hidden="1">
      <c r="F7" s="230"/>
      <c r="T7" s="213"/>
      <c r="U7" s="213"/>
      <c r="V7" s="213"/>
      <c r="W7" s="213"/>
      <c r="X7" s="213"/>
      <c r="Y7" s="213"/>
      <c r="Z7" s="213"/>
      <c r="AB7" s="230"/>
      <c r="AD7" s="230"/>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234" customFormat="1" customHeight="1" ht="12" hidden="1">
      <c r="A9" s="1161" t="s">
        <v>437</v>
      </c>
      <c r="B9" s="1154"/>
      <c r="E9" s="1154"/>
      <c r="Q9" s="1212"/>
      <c r="R9" s="1212"/>
      <c r="T9" s="1162"/>
      <c r="U9" s="1162"/>
      <c r="V9" s="1162"/>
      <c r="W9" s="1162"/>
      <c r="X9" s="1162"/>
      <c r="Y9" s="1162"/>
      <c r="Z9" s="1162"/>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3"/>
    </row>
    <row s="1234" customFormat="1" customHeight="1" ht="12" hidden="1">
      <c r="A10" s="1161" t="s">
        <v>438</v>
      </c>
      <c r="B10" s="1154"/>
      <c r="E10" s="1154"/>
      <c r="Q10" s="1212"/>
      <c r="R10" s="1212"/>
      <c r="T10" s="1162"/>
      <c r="U10" s="1162"/>
      <c r="V10" s="1162"/>
      <c r="W10" s="1162"/>
      <c r="X10" s="1162"/>
      <c r="Y10" s="1162"/>
      <c r="Z10" s="1162"/>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 r="BE10" s="1234"/>
      <c r="BF10" s="1234"/>
      <c r="BG10" s="1234"/>
      <c r="BH10" s="1234"/>
      <c r="BI10" s="1234"/>
      <c r="BJ10" s="1234"/>
      <c r="BK10" s="1234"/>
      <c r="BL10" s="1234"/>
      <c r="BM10" s="1234"/>
      <c r="BS10" s="1233"/>
    </row>
    <row s="1234" customFormat="1" customHeight="1" ht="12" hidden="1">
      <c r="A11" s="1161" t="s">
        <v>439</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8" customFormat="1" customHeight="1" ht="12" hidden="1">
      <c r="B12" s="788"/>
      <c r="E12" s="797"/>
      <c r="G12" s="230"/>
      <c r="H12" s="230"/>
      <c r="I12" s="230"/>
      <c r="J12" s="230"/>
      <c r="K12" s="230"/>
      <c r="L12" s="230"/>
      <c r="M12" s="230"/>
      <c r="N12" s="230"/>
      <c r="O12" s="230"/>
      <c r="P12" s="230"/>
      <c r="Q12" s="193"/>
      <c r="R12" s="193"/>
      <c r="S12" s="230"/>
      <c r="T12" s="175"/>
      <c r="U12" s="175"/>
      <c r="V12" s="175"/>
      <c r="W12" s="175"/>
      <c r="X12" s="175"/>
      <c r="Y12" s="175"/>
      <c r="Z12" s="175"/>
      <c r="AC12" s="232"/>
      <c r="AE12" s="228">
        <f>god-2</f>
        <v>2024</v>
      </c>
      <c r="AF12" s="228">
        <f>god-2</f>
        <v>2024</v>
      </c>
      <c r="AG12" s="228">
        <f>god-2</f>
        <v>2024</v>
      </c>
      <c r="AH12" s="228">
        <f>god-2</f>
        <v>2024</v>
      </c>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233"/>
    </row>
    <row s="228" customFormat="1" customHeight="1" ht="12" hidden="1">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E13" s="175" cm="1" t="str">
        <f t="array" ref="AE13:AE13">AE25</f>
        <v>Принято органом регулирования</v>
      </c>
      <c r="AF13" s="175" cm="1" t="str">
        <f t="array" ref="AF13:AF13">AF25</f>
        <v>Факт по данным организации</v>
      </c>
      <c r="AG13" s="175" cm="1" t="str">
        <f t="array" ref="AG13:AG13">AG25</f>
        <v>Факт, принятый органом регулирования</v>
      </c>
      <c r="AH13" s="175" cm="1" t="str">
        <f t="array" ref="AH13:AH13">AH25</f>
        <v>отклонение факта по данным организации к факту принятому органом регулирования</v>
      </c>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233"/>
    </row>
    <row s="228" customFormat="1" customHeight="1" ht="12" hidden="1">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E14" s="175" t="str">
        <f>AE12&amp;AE13</f>
        <v>2024Принято органом регулирования</v>
      </c>
      <c r="AF14" s="175" t="str">
        <f>AF12&amp;AF13</f>
        <v>2024Факт по данным организации</v>
      </c>
      <c r="AG14" s="175" t="str">
        <f>AG12&amp;AG13</f>
        <v>2024Факт, принятый органом регулирования</v>
      </c>
      <c r="AH14" s="175" t="str">
        <f>AH12&amp;AH13</f>
        <v>2024отклонение факта по данным организации к факту принятому органом регулирования</v>
      </c>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175"/>
      <c r="BJ14" s="175"/>
      <c r="BK14" s="175"/>
      <c r="BL14" s="175"/>
      <c r="BM14" s="175"/>
      <c r="BS14" s="1233"/>
    </row>
    <row s="228" customFormat="1" customHeight="1" ht="12" hidden="1">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233"/>
    </row>
    <row s="228" customFormat="1" customHeight="1" ht="12" hidden="1">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233"/>
    </row>
    <row s="228" customFormat="1" customHeight="1" ht="12" hidden="1">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S17" s="1233"/>
    </row>
    <row s="228" customFormat="1" customHeight="1" ht="12" hidden="1">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175"/>
      <c r="BJ18" s="175"/>
      <c r="BK18" s="175"/>
      <c r="BL18" s="175"/>
      <c r="BM18" s="175"/>
      <c r="BS18" s="1233"/>
    </row>
    <row s="228" customFormat="1" customHeight="1" ht="12" hidden="1">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3"/>
    </row>
    <row s="228" customFormat="1" customHeight="1" ht="11.115" hidden="1">
      <c r="B20" s="788"/>
      <c r="E20" s="797">
        <v>11.4</v>
      </c>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3"/>
    </row>
    <row customHeight="1" ht="14.625">
      <c r="E21" s="797">
        <v>15</v>
      </c>
      <c r="AA21" s="820"/>
      <c r="AB21" s="230"/>
      <c r="AC21" s="403" cm="1" t="str">
        <f t="array" ref="AC21:AC21">tpl_title</f>
        <v>Кемеровская область / 2026 / ООО "ВЕЛЕС" (ИНН:4212036655,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83"/>
      <c r="D22" s="183"/>
      <c r="E22" s="797">
        <v>20.1</v>
      </c>
      <c r="F22" s="183"/>
      <c r="Q22" s="193"/>
      <c r="R22" s="193"/>
      <c r="T22" s="179"/>
      <c r="U22" s="179"/>
      <c r="V22" s="179"/>
      <c r="W22" s="179"/>
      <c r="X22" s="179"/>
      <c r="Y22" s="179"/>
      <c r="Z22" s="179"/>
      <c r="AB22" s="392" t="s">
        <v>57</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223"/>
    </row>
    <row s="1535" customFormat="1" customHeight="1" ht="9.945">
      <c r="A23" s="183"/>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223"/>
    </row>
    <row s="229" customFormat="1" customHeight="1" ht="24.180000000000003">
      <c r="A24" s="232"/>
      <c r="B24" s="792"/>
      <c r="C24" s="232"/>
      <c r="D24" s="232"/>
      <c r="E24" s="803">
        <v>24.8</v>
      </c>
      <c r="F24" s="232"/>
      <c r="Q24" s="932"/>
      <c r="R24" s="932"/>
      <c r="T24" s="171"/>
      <c r="U24" s="171"/>
      <c r="V24" s="171"/>
      <c r="W24" s="171"/>
      <c r="X24" s="171"/>
      <c r="Y24" s="171"/>
      <c r="Z24" s="171"/>
      <c r="AB24" s="1550" t="s">
        <v>386</v>
      </c>
      <c r="AC24" s="1550" t="s">
        <v>440</v>
      </c>
      <c r="AD24" s="1550" t="s">
        <v>441</v>
      </c>
      <c r="AE24" s="169" t="str">
        <f>god-2&amp;" год"</f>
        <v>2024 год</v>
      </c>
      <c r="AF24" s="169" t="str">
        <f>god-2&amp;" год"</f>
        <v>2024 год</v>
      </c>
      <c r="AG24" s="169" t="str">
        <f>god-2&amp;" год"</f>
        <v>2024 год</v>
      </c>
      <c r="AH24" s="169"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1290</v>
      </c>
      <c r="BO24" s="1546" t="s">
        <v>595</v>
      </c>
      <c r="BP24" s="1546" t="s">
        <v>1291</v>
      </c>
      <c r="BQ24" s="232"/>
      <c r="BS24" s="1233"/>
    </row>
    <row s="229" customFormat="1" customHeight="1" ht="44.655">
      <c r="A25" s="232"/>
      <c r="B25" s="792"/>
      <c r="C25" s="232"/>
      <c r="D25" s="232"/>
      <c r="E25" s="803">
        <v>45.8</v>
      </c>
      <c r="F25" s="232"/>
      <c r="Q25" s="932"/>
      <c r="R25" s="932"/>
      <c r="T25" s="171"/>
      <c r="U25" s="171"/>
      <c r="V25" s="171"/>
      <c r="W25" s="171"/>
      <c r="X25" s="171"/>
      <c r="Y25" s="171"/>
      <c r="Z25" s="171"/>
      <c r="AB25" s="1550"/>
      <c r="AC25" s="1550"/>
      <c r="AD25" s="1550"/>
      <c r="AE25" s="169" t="s">
        <v>402</v>
      </c>
      <c r="AF25" s="169" t="s">
        <v>596</v>
      </c>
      <c r="AG25" s="169" t="s">
        <v>597</v>
      </c>
      <c r="AH25" s="169" t="s">
        <v>1292</v>
      </c>
      <c r="AI25" s="169" t="s">
        <v>402</v>
      </c>
      <c r="AJ25" s="1357" t="s">
        <v>403</v>
      </c>
      <c r="AK25" s="1357" t="s">
        <v>403</v>
      </c>
      <c r="AL25" s="1357" t="s">
        <v>403</v>
      </c>
      <c r="AM25" s="1357" t="s">
        <v>403</v>
      </c>
      <c r="AN25" s="1357" t="s">
        <v>403</v>
      </c>
      <c r="AO25" s="1357" t="s">
        <v>403</v>
      </c>
      <c r="AP25" s="1357" t="s">
        <v>403</v>
      </c>
      <c r="AQ25" s="1357" t="s">
        <v>403</v>
      </c>
      <c r="AR25" s="1357" t="s">
        <v>403</v>
      </c>
      <c r="AS25" s="1357" t="s">
        <v>403</v>
      </c>
      <c r="AT25" s="413" t="s">
        <v>402</v>
      </c>
      <c r="AU25" s="413" t="s">
        <v>402</v>
      </c>
      <c r="AV25" s="413" t="s">
        <v>402</v>
      </c>
      <c r="AW25" s="413" t="s">
        <v>402</v>
      </c>
      <c r="AX25" s="413" t="s">
        <v>402</v>
      </c>
      <c r="AY25" s="413" t="s">
        <v>402</v>
      </c>
      <c r="AZ25" s="413" t="s">
        <v>402</v>
      </c>
      <c r="BA25" s="413" t="s">
        <v>402</v>
      </c>
      <c r="BB25" s="413" t="s">
        <v>402</v>
      </c>
      <c r="BC25" s="413" t="s">
        <v>402</v>
      </c>
      <c r="BD25" s="1546" t="s">
        <v>1293</v>
      </c>
      <c r="BE25" s="1546"/>
      <c r="BF25" s="1546"/>
      <c r="BG25" s="1546"/>
      <c r="BH25" s="1546"/>
      <c r="BI25" s="1546"/>
      <c r="BJ25" s="1546"/>
      <c r="BK25" s="1546"/>
      <c r="BL25" s="1546"/>
      <c r="BM25" s="1546"/>
      <c r="BN25" s="1546"/>
      <c r="BO25" s="1546"/>
      <c r="BP25" s="1546"/>
      <c r="BQ25" s="232"/>
      <c r="BS25" s="1233"/>
    </row>
    <row s="229" customFormat="1" customHeight="1" ht="16.5" hidden="1">
      <c r="A26" s="232"/>
      <c r="B26" s="792"/>
      <c r="C26" s="232"/>
      <c r="D26" s="232"/>
      <c r="E26" s="803">
        <v>0</v>
      </c>
      <c r="F26" s="232"/>
      <c r="Q26" s="932"/>
      <c r="R26" s="932"/>
      <c r="T26" s="171"/>
      <c r="U26" s="171"/>
      <c r="V26" s="171"/>
      <c r="W26" s="171"/>
      <c r="X26" s="171"/>
      <c r="Y26" s="171"/>
      <c r="Z26" s="171"/>
      <c r="AB26" s="523"/>
      <c r="AC26" s="523"/>
      <c r="AD26" s="523"/>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Q26" s="232"/>
      <c r="BS26" s="1233"/>
    </row>
    <row s="220" customFormat="1" customHeight="1" ht="16.672500000000003" hidden="1">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T27" s="808">
        <f>X27&gt;0</f>
        <v>0</v>
      </c>
      <c r="V27" s="175" t="s">
        <v>310</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206"/>
    </row>
    <row customHeight="1" ht="16.672500000000003" hidden="1">
      <c r="E28" s="797">
        <v>17.1</v>
      </c>
      <c r="F28" s="922" cm="1" t="str">
        <f t="array" ref="F28:F28">OFFSET(G28,-1,-1)</f>
        <v>0</v>
      </c>
      <c r="G28" s="193" t="s">
        <v>510</v>
      </c>
      <c r="T28" s="808" cm="1" t="str">
        <f t="array" ref="T28:T28">T27</f>
        <v>false</v>
      </c>
      <c r="AB28" s="160" t="s">
        <v>336</v>
      </c>
      <c r="AC28" s="742" t="s">
        <v>1333</v>
      </c>
      <c r="AD28" s="160" t="s">
        <v>498</v>
      </c>
      <c r="AE28" s="616"/>
      <c r="AF28" s="614"/>
      <c r="AG28" s="614"/>
      <c r="AH28" s="614"/>
      <c r="AI28" s="118"/>
      <c r="AJ28" s="890">
        <f>_xlfn.SUMIFS(Сценарии!AE$27:AE$82,Сценарии!$F$27:$F$82,$F28,Сценарии!$G$27:$G$82,$G28)</f>
        <v>0</v>
      </c>
      <c r="AK28" s="890">
        <f>_xlfn.SUMIFS(Сценарии!AF$27:AF$82,Сценарии!$F$27:$F$82,$F28,Сценарии!$G$27:$G$82,$G28)</f>
        <v>0</v>
      </c>
      <c r="AL28" s="890">
        <f>_xlfn.SUMIFS(Сценарии!AG$27:AG$82,Сценарии!$F$27:$F$82,$F28,Сценарии!$G$27:$G$82,$G28)</f>
        <v>0</v>
      </c>
      <c r="AM28" s="890">
        <f>_xlfn.SUMIFS(Сценарии!AH$27:AH$82,Сценарии!$F$27:$F$82,$F28,Сценарии!$G$27:$G$82,$G28)</f>
        <v>0</v>
      </c>
      <c r="AN28" s="890">
        <f>_xlfn.SUMIFS(Сценарии!AI$27:AI$82,Сценарии!$F$27:$F$82,$F28,Сценарии!$G$27:$G$82,$G28)</f>
        <v>0</v>
      </c>
      <c r="AO28" s="890">
        <f>_xlfn.SUMIFS(Сценарии!AJ$27:AJ$82,Сценарии!$F$27:$F$82,$F28,Сценарии!$G$27:$G$82,$G28)</f>
        <v>0</v>
      </c>
      <c r="AP28" s="890">
        <f>_xlfn.SUMIFS(Сценарии!AK$27:AK$82,Сценарии!$F$27:$F$82,$F28,Сценарии!$G$27:$G$82,$G28)</f>
        <v>0</v>
      </c>
      <c r="AQ28" s="890">
        <f>_xlfn.SUMIFS(Сценарии!AL$27:AL$82,Сценарии!$F$27:$F$82,$F28,Сценарии!$G$27:$G$82,$G28)</f>
        <v>0</v>
      </c>
      <c r="AR28" s="890">
        <f>_xlfn.SUMIFS(Сценарии!AM$27:AM$82,Сценарии!$F$27:$F$82,$F28,Сценарии!$G$27:$G$82,$G28)</f>
        <v>0</v>
      </c>
      <c r="AS28" s="890">
        <f>_xlfn.SUMIFS(Сценарии!AN$27:AN$82,Сценарии!$F$27:$F$82,$F28,Сценарии!$G$27:$G$82,$G28)</f>
        <v>0</v>
      </c>
      <c r="AT28" s="890">
        <f>_xlfn.SUMIFS(Сценарии!AO$27:AO$82,Сценарии!$F$27:$F$82,$F28,Сценарии!$G$27:$G$82,$G28)</f>
        <v>0</v>
      </c>
      <c r="AU28" s="890">
        <f>_xlfn.SUMIFS(Сценарии!AP$27:AP$82,Сценарии!$F$27:$F$82,$F28,Сценарии!$G$27:$G$82,$G28)</f>
        <v>0</v>
      </c>
      <c r="AV28" s="890">
        <f>_xlfn.SUMIFS(Сценарии!AQ$27:AQ$82,Сценарии!$F$27:$F$82,$F28,Сценарии!$G$27:$G$82,$G28)</f>
        <v>0</v>
      </c>
      <c r="AW28" s="890">
        <f>_xlfn.SUMIFS(Сценарии!AR$27:AR$82,Сценарии!$F$27:$F$82,$F28,Сценарии!$G$27:$G$82,$G28)</f>
        <v>0</v>
      </c>
      <c r="AX28" s="890">
        <f>_xlfn.SUMIFS(Сценарии!AS$27:AS$82,Сценарии!$F$27:$F$82,$F28,Сценарии!$G$27:$G$82,$G28)</f>
        <v>0</v>
      </c>
      <c r="AY28" s="890">
        <f>_xlfn.SUMIFS(Сценарии!AT$27:AT$82,Сценарии!$F$27:$F$82,$F28,Сценарии!$G$27:$G$82,$G28)</f>
        <v>0</v>
      </c>
      <c r="AZ28" s="890">
        <f>_xlfn.SUMIFS(Сценарии!AU$27:AU$82,Сценарии!$F$27:$F$82,$F28,Сценарии!$G$27:$G$82,$G28)</f>
        <v>0</v>
      </c>
      <c r="BA28" s="890">
        <f>_xlfn.SUMIFS(Сценарии!AV$27:AV$82,Сценарии!$F$27:$F$82,$F28,Сценарии!$G$27:$G$82,$G28)</f>
        <v>0</v>
      </c>
      <c r="BB28" s="890">
        <f>_xlfn.SUMIFS(Сценарии!AW$27:AW$82,Сценарии!$F$27:$F$82,$F28,Сценарии!$G$27:$G$82,$G28)</f>
        <v>0</v>
      </c>
      <c r="BC28" s="890">
        <f>_xlfn.SUMIFS(Сценарии!AX$27:AX$82,Сценарии!$F$27:$F$82,$F28,Сценарии!$G$27:$G$82,$G28)</f>
        <v>0</v>
      </c>
      <c r="BD28" s="1136"/>
      <c r="BE28" s="1136"/>
      <c r="BF28" s="1136"/>
      <c r="BG28" s="1136"/>
      <c r="BH28" s="1136"/>
      <c r="BI28" s="1136"/>
      <c r="BJ28" s="1136"/>
      <c r="BK28" s="1136"/>
      <c r="BL28" s="1136"/>
      <c r="BM28" s="1136"/>
      <c r="BN28" s="73"/>
      <c r="BO28" s="73"/>
      <c r="BP28" s="73"/>
      <c r="BS28" s="1233" t="s">
        <v>1334</v>
      </c>
    </row>
    <row s="233" customFormat="1" customHeight="1" ht="16.672500000000003" hidden="1">
      <c r="E29" s="797">
        <v>17.1</v>
      </c>
      <c r="F29" s="922" cm="1" t="str">
        <f t="array" ref="F29:F29">OFFSET(G29,-1,-1)</f>
        <v>0</v>
      </c>
      <c r="G29" s="932" t="s">
        <v>500</v>
      </c>
      <c r="T29" s="808" cm="1" t="str">
        <f t="array" ref="T29:T29">T28</f>
        <v>false</v>
      </c>
      <c r="AB29" s="160" t="s">
        <v>426</v>
      </c>
      <c r="AC29" s="168" t="s">
        <v>1335</v>
      </c>
      <c r="AD29" s="160" t="s">
        <v>498</v>
      </c>
      <c r="AE29" s="616"/>
      <c r="AF29" s="614"/>
      <c r="AG29" s="614"/>
      <c r="AH29" s="614"/>
      <c r="AI29" s="118"/>
      <c r="AJ29" s="890">
        <f>_xlfn.SUMIFS(Сценарии!AE$27:AE$82,Сценарии!$F$27:$F$82,$F29,Сценарии!$G$27:$G$82,$G29)</f>
        <v>1</v>
      </c>
      <c r="AK29" s="890">
        <f>_xlfn.SUMIFS(Сценарии!AF$27:AF$82,Сценарии!$F$27:$F$82,$F29,Сценарии!$G$27:$G$82,$G29)</f>
        <v>1</v>
      </c>
      <c r="AL29" s="890">
        <f>_xlfn.SUMIFS(Сценарии!AG$27:AG$82,Сценарии!$F$27:$F$82,$F29,Сценарии!$G$27:$G$82,$G29)</f>
        <v>1</v>
      </c>
      <c r="AM29" s="890">
        <f>_xlfn.SUMIFS(Сценарии!AH$27:AH$82,Сценарии!$F$27:$F$82,$F29,Сценарии!$G$27:$G$82,$G29)</f>
        <v>1</v>
      </c>
      <c r="AN29" s="890">
        <f>_xlfn.SUMIFS(Сценарии!AI$27:AI$82,Сценарии!$F$27:$F$82,$F29,Сценарии!$G$27:$G$82,$G29)</f>
        <v>1</v>
      </c>
      <c r="AO29" s="890">
        <f>_xlfn.SUMIFS(Сценарии!AJ$27:AJ$82,Сценарии!$F$27:$F$82,$F29,Сценарии!$G$27:$G$82,$G29)</f>
        <v>1</v>
      </c>
      <c r="AP29" s="890">
        <f>_xlfn.SUMIFS(Сценарии!AK$27:AK$82,Сценарии!$F$27:$F$82,$F29,Сценарии!$G$27:$G$82,$G29)</f>
        <v>1</v>
      </c>
      <c r="AQ29" s="890">
        <f>_xlfn.SUMIFS(Сценарии!AL$27:AL$82,Сценарии!$F$27:$F$82,$F29,Сценарии!$G$27:$G$82,$G29)</f>
        <v>1</v>
      </c>
      <c r="AR29" s="890">
        <f>_xlfn.SUMIFS(Сценарии!AM$27:AM$82,Сценарии!$F$27:$F$82,$F29,Сценарии!$G$27:$G$82,$G29)</f>
        <v>1</v>
      </c>
      <c r="AS29" s="890">
        <f>_xlfn.SUMIFS(Сценарии!AN$27:AN$82,Сценарии!$F$27:$F$82,$F29,Сценарии!$G$27:$G$82,$G29)</f>
        <v>1</v>
      </c>
      <c r="AT29" s="1947">
        <v>1</v>
      </c>
      <c r="AU29" s="118">
        <v>1</v>
      </c>
      <c r="AV29" s="118">
        <v>1</v>
      </c>
      <c r="AW29" s="118">
        <v>1</v>
      </c>
      <c r="AX29" s="118">
        <v>1</v>
      </c>
      <c r="AY29" s="118">
        <v>1</v>
      </c>
      <c r="AZ29" s="118">
        <v>1</v>
      </c>
      <c r="BA29" s="118">
        <v>1</v>
      </c>
      <c r="BB29" s="118">
        <v>1</v>
      </c>
      <c r="BC29" s="118">
        <v>1</v>
      </c>
      <c r="BD29" s="1136"/>
      <c r="BE29" s="1136"/>
      <c r="BF29" s="1136"/>
      <c r="BG29" s="1136"/>
      <c r="BH29" s="1136"/>
      <c r="BI29" s="1136"/>
      <c r="BJ29" s="1136"/>
      <c r="BK29" s="1136"/>
      <c r="BL29" s="1136"/>
      <c r="BM29" s="1136"/>
      <c r="BN29" s="73"/>
      <c r="BO29" s="73"/>
      <c r="BP29" s="73"/>
      <c r="BS29" s="1233" t="s">
        <v>1336</v>
      </c>
    </row>
    <row customHeight="1" ht="16.672500000000003" hidden="1">
      <c r="E30" s="797">
        <v>17.1</v>
      </c>
      <c r="F30" s="922" cm="1" t="str">
        <f t="array" ref="F30:F30">OFFSET(G30,-1,-1)</f>
        <v>0</v>
      </c>
      <c r="G30" s="193" t="s">
        <v>553</v>
      </c>
      <c r="T30" s="808" cm="1" t="str">
        <f t="array" ref="T30:T30">T29</f>
        <v>false</v>
      </c>
      <c r="AB30" s="160" t="s">
        <v>429</v>
      </c>
      <c r="AC30" s="168" t="s">
        <v>1337</v>
      </c>
      <c r="AD30" s="160"/>
      <c r="AE30" s="616"/>
      <c r="AF30" s="614"/>
      <c r="AG30" s="614"/>
      <c r="AH30" s="614"/>
      <c r="AI30" s="118"/>
      <c r="AJ30" s="890">
        <f>_xlfn.SUMIFS(Сценарии!AE$27:AE$82,Сценарии!$F$27:$F$82,$F30,Сценарии!$G$27:$G$82,$G30)</f>
        <v>0</v>
      </c>
      <c r="AK30" s="890">
        <f>_xlfn.SUMIFS(Сценарии!AF$27:AF$82,Сценарии!$F$27:$F$82,$F30,Сценарии!$G$27:$G$82,$G30)</f>
        <v>0</v>
      </c>
      <c r="AL30" s="890">
        <f>_xlfn.SUMIFS(Сценарии!AG$27:AG$82,Сценарии!$F$27:$F$82,$F30,Сценарии!$G$27:$G$82,$G30)</f>
        <v>0</v>
      </c>
      <c r="AM30" s="890">
        <f>_xlfn.SUMIFS(Сценарии!AH$27:AH$82,Сценарии!$F$27:$F$82,$F30,Сценарии!$G$27:$G$82,$G30)</f>
        <v>0</v>
      </c>
      <c r="AN30" s="890">
        <f>_xlfn.SUMIFS(Сценарии!AI$27:AI$82,Сценарии!$F$27:$F$82,$F30,Сценарии!$G$27:$G$82,$G30)</f>
        <v>0</v>
      </c>
      <c r="AO30" s="890">
        <f>_xlfn.SUMIFS(Сценарии!AJ$27:AJ$82,Сценарии!$F$27:$F$82,$F30,Сценарии!$G$27:$G$82,$G30)</f>
        <v>0</v>
      </c>
      <c r="AP30" s="890">
        <f>_xlfn.SUMIFS(Сценарии!AK$27:AK$82,Сценарии!$F$27:$F$82,$F30,Сценарии!$G$27:$G$82,$G30)</f>
        <v>0</v>
      </c>
      <c r="AQ30" s="890">
        <f>_xlfn.SUMIFS(Сценарии!AL$27:AL$82,Сценарии!$F$27:$F$82,$F30,Сценарии!$G$27:$G$82,$G30)</f>
        <v>0</v>
      </c>
      <c r="AR30" s="890">
        <f>_xlfn.SUMIFS(Сценарии!AM$27:AM$82,Сценарии!$F$27:$F$82,$F30,Сценарии!$G$27:$G$82,$G30)</f>
        <v>0</v>
      </c>
      <c r="AS30" s="890">
        <f>_xlfn.SUMIFS(Сценарии!AN$27:AN$82,Сценарии!$F$27:$F$82,$F30,Сценарии!$G$27:$G$82,$G30)</f>
        <v>0</v>
      </c>
      <c r="AT30" s="890">
        <f>_xlfn.SUMIFS(Сценарии!AO$27:AO$82,Сценарии!$F$27:$F$82,$F30,Сценарии!$G$27:$G$82,$G30)</f>
        <v>0</v>
      </c>
      <c r="AU30" s="890">
        <f>_xlfn.SUMIFS(Сценарии!AP$27:AP$82,Сценарии!$F$27:$F$82,$F30,Сценарии!$G$27:$G$82,$G30)</f>
        <v>0</v>
      </c>
      <c r="AV30" s="890">
        <f>_xlfn.SUMIFS(Сценарии!AQ$27:AQ$82,Сценарии!$F$27:$F$82,$F30,Сценарии!$G$27:$G$82,$G30)</f>
        <v>0</v>
      </c>
      <c r="AW30" s="890">
        <f>_xlfn.SUMIFS(Сценарии!AR$27:AR$82,Сценарии!$F$27:$F$82,$F30,Сценарии!$G$27:$G$82,$G30)</f>
        <v>0</v>
      </c>
      <c r="AX30" s="890">
        <f>_xlfn.SUMIFS(Сценарии!AS$27:AS$82,Сценарии!$F$27:$F$82,$F30,Сценарии!$G$27:$G$82,$G30)</f>
        <v>0</v>
      </c>
      <c r="AY30" s="890">
        <f>_xlfn.SUMIFS(Сценарии!AT$27:AT$82,Сценарии!$F$27:$F$82,$F30,Сценарии!$G$27:$G$82,$G30)</f>
        <v>0</v>
      </c>
      <c r="AZ30" s="890">
        <f>_xlfn.SUMIFS(Сценарии!AU$27:AU$82,Сценарии!$F$27:$F$82,$F30,Сценарии!$G$27:$G$82,$G30)</f>
        <v>0</v>
      </c>
      <c r="BA30" s="890">
        <f>_xlfn.SUMIFS(Сценарии!AV$27:AV$82,Сценарии!$F$27:$F$82,$F30,Сценарии!$G$27:$G$82,$G30)</f>
        <v>0</v>
      </c>
      <c r="BB30" s="890">
        <f>_xlfn.SUMIFS(Сценарии!AW$27:AW$82,Сценарии!$F$27:$F$82,$F30,Сценарии!$G$27:$G$82,$G30)</f>
        <v>0</v>
      </c>
      <c r="BC30" s="890">
        <f>_xlfn.SUMIFS(Сценарии!AX$27:AX$82,Сценарии!$F$27:$F$82,$F30,Сценарии!$G$27:$G$82,$G30)</f>
        <v>0</v>
      </c>
      <c r="BD30" s="1136"/>
      <c r="BE30" s="1136"/>
      <c r="BF30" s="1136"/>
      <c r="BG30" s="1136"/>
      <c r="BH30" s="1136"/>
      <c r="BI30" s="1136"/>
      <c r="BJ30" s="1136"/>
      <c r="BK30" s="1136"/>
      <c r="BL30" s="1136"/>
      <c r="BM30" s="1136"/>
      <c r="BN30" s="73"/>
      <c r="BO30" s="73"/>
      <c r="BP30" s="73"/>
      <c r="BS30" s="1233" t="s">
        <v>1338</v>
      </c>
    </row>
    <row customHeight="1" ht="29.25" hidden="1">
      <c r="E31" s="797">
        <v>30</v>
      </c>
      <c r="F31" s="922" cm="1" t="str">
        <f t="array" ref="F31:F31">OFFSET(G31,-1,-1)</f>
        <v>0</v>
      </c>
      <c r="G31" s="193" t="s">
        <v>453</v>
      </c>
      <c r="T31" s="808" cm="1" t="str">
        <f t="array" ref="T31:T31">T30</f>
        <v>false</v>
      </c>
      <c r="AB31" s="160" t="s">
        <v>715</v>
      </c>
      <c r="AC31" s="165" t="s">
        <v>1339</v>
      </c>
      <c r="AD31" s="160" t="s">
        <v>1340</v>
      </c>
      <c r="AE31" s="616"/>
      <c r="AF31" s="614"/>
      <c r="AG31" s="614"/>
      <c r="AH31" s="614"/>
      <c r="AI31" s="119">
        <f>_xlfn.SUMIFS('Расчет УЕ'!AE$26:AE$68,'Расчет УЕ'!$F$26:$F$68,$F31,'Расчет УЕ'!$G$26:$G$68,$G31)</f>
        <v>0</v>
      </c>
      <c r="AJ31" s="1079">
        <f>_xlfn.SUMIFS('Расчет УЕ'!AF$26:AF$68,'Расчет УЕ'!$F$26:$F$68,$F31,'Расчет УЕ'!$G$26:$G$68,$G31)</f>
        <v>0</v>
      </c>
      <c r="AK31" s="1079">
        <f>_xlfn.SUMIFS('Расчет УЕ'!AG$26:AG$68,'Расчет УЕ'!$F$26:$F$68,$F31,'Расчет УЕ'!$G$26:$G$68,$G31)</f>
        <v>0</v>
      </c>
      <c r="AL31" s="890">
        <f>_xlfn.SUMIFS('Расчет УЕ'!AH$26:AH$68,'Расчет УЕ'!$F$26:$F$68,$F31,'Расчет УЕ'!$G$26:$G$68,$G31)</f>
        <v>0</v>
      </c>
      <c r="AM31" s="890">
        <f>_xlfn.SUMIFS('Расчет УЕ'!AI$26:AI$68,'Расчет УЕ'!$F$26:$F$68,$F31,'Расчет УЕ'!$G$26:$G$68,$G31)</f>
        <v>0</v>
      </c>
      <c r="AN31" s="890">
        <f>_xlfn.SUMIFS('Расчет УЕ'!AJ$26:AJ$68,'Расчет УЕ'!$F$26:$F$68,$F31,'Расчет УЕ'!$G$26:$G$68,$G31)</f>
        <v>0</v>
      </c>
      <c r="AO31" s="890">
        <f>_xlfn.SUMIFS('Расчет УЕ'!AK$26:AK$68,'Расчет УЕ'!$F$26:$F$68,$F31,'Расчет УЕ'!$G$26:$G$68,$G31)</f>
        <v>0</v>
      </c>
      <c r="AP31" s="890">
        <f>_xlfn.SUMIFS('Расчет УЕ'!AL$26:AL$68,'Расчет УЕ'!$F$26:$F$68,$F31,'Расчет УЕ'!$G$26:$G$68,$G31)</f>
        <v>0</v>
      </c>
      <c r="AQ31" s="890">
        <f>_xlfn.SUMIFS('Расчет УЕ'!AM$26:AM$68,'Расчет УЕ'!$F$26:$F$68,$F31,'Расчет УЕ'!$G$26:$G$68,$G31)</f>
        <v>0</v>
      </c>
      <c r="AR31" s="890">
        <f>_xlfn.SUMIFS('Расчет УЕ'!AN$26:AN$68,'Расчет УЕ'!$F$26:$F$68,$F31,'Расчет УЕ'!$G$26:$G$68,$G31)</f>
        <v>0</v>
      </c>
      <c r="AS31" s="890">
        <f>_xlfn.SUMIFS('Расчет УЕ'!AO$26:AO$68,'Расчет УЕ'!$F$26:$F$68,$F31,'Расчет УЕ'!$G$26:$G$68,$G31)</f>
        <v>0</v>
      </c>
      <c r="AT31" s="890">
        <f>_xlfn.SUMIFS('Расчет УЕ'!AP$26:AP$68,'Расчет УЕ'!$F$26:$F$68,$F31,'Расчет УЕ'!$G$26:$G$68,$G31)</f>
        <v>0</v>
      </c>
      <c r="AU31" s="890">
        <f>_xlfn.SUMIFS('Расчет УЕ'!AQ$26:AQ$68,'Расчет УЕ'!$F$26:$F$68,$F31,'Расчет УЕ'!$G$26:$G$68,$G31)</f>
        <v>0</v>
      </c>
      <c r="AV31" s="890">
        <f>_xlfn.SUMIFS('Расчет УЕ'!AR$26:AR$68,'Расчет УЕ'!$F$26:$F$68,$F31,'Расчет УЕ'!$G$26:$G$68,$G31)</f>
        <v>0</v>
      </c>
      <c r="AW31" s="890">
        <f>_xlfn.SUMIFS('Расчет УЕ'!AS$26:AS$68,'Расчет УЕ'!$F$26:$F$68,$F31,'Расчет УЕ'!$G$26:$G$68,$G31)</f>
        <v>0</v>
      </c>
      <c r="AX31" s="890">
        <f>_xlfn.SUMIFS('Расчет УЕ'!AT$26:AT$68,'Расчет УЕ'!$F$26:$F$68,$F31,'Расчет УЕ'!$G$26:$G$68,$G31)</f>
        <v>0</v>
      </c>
      <c r="AY31" s="890">
        <f>_xlfn.SUMIFS('Расчет УЕ'!AU$26:AU$68,'Расчет УЕ'!$F$26:$F$68,$F31,'Расчет УЕ'!$G$26:$G$68,$G31)</f>
        <v>0</v>
      </c>
      <c r="AZ31" s="890">
        <f>_xlfn.SUMIFS('Расчет УЕ'!AV$26:AV$68,'Расчет УЕ'!$F$26:$F$68,$F31,'Расчет УЕ'!$G$26:$G$68,$G31)</f>
        <v>0</v>
      </c>
      <c r="BA31" s="890">
        <f>_xlfn.SUMIFS('Расчет УЕ'!AW$26:AW$68,'Расчет УЕ'!$F$26:$F$68,$F31,'Расчет УЕ'!$G$26:$G$68,$G31)</f>
        <v>0</v>
      </c>
      <c r="BB31" s="890">
        <f>_xlfn.SUMIFS('Расчет УЕ'!AX$26:AX$68,'Расчет УЕ'!$F$26:$F$68,$F31,'Расчет УЕ'!$G$26:$G$68,$G31)</f>
        <v>0</v>
      </c>
      <c r="BC31" s="890">
        <f>_xlfn.SUMIFS('Расчет УЕ'!AY$26:AY$68,'Расчет УЕ'!$F$26:$F$68,$F31,'Расчет УЕ'!$G$26:$G$68,$G31)</f>
        <v>0</v>
      </c>
      <c r="BD31" s="1136"/>
      <c r="BE31" s="1136"/>
      <c r="BF31" s="1136"/>
      <c r="BG31" s="1136"/>
      <c r="BH31" s="1136"/>
      <c r="BI31" s="1136"/>
      <c r="BJ31" s="1136"/>
      <c r="BK31" s="1136"/>
      <c r="BL31" s="1136"/>
      <c r="BM31" s="1136"/>
      <c r="BN31" s="73"/>
      <c r="BO31" s="73"/>
      <c r="BP31" s="73"/>
      <c r="BS31" s="1233" t="s">
        <v>1341</v>
      </c>
    </row>
    <row customHeight="1" ht="16.672500000000003" hidden="1">
      <c r="E32" s="797">
        <v>17.1</v>
      </c>
      <c r="F32" s="922" cm="1" t="str">
        <f t="array" ref="F32:F32">OFFSET(G32,-1,-1)</f>
        <v>0</v>
      </c>
      <c r="G32" s="193" t="s">
        <v>448</v>
      </c>
      <c r="T32" s="808" cm="1" t="str">
        <f t="array" ref="T32:T32">T31</f>
        <v>false</v>
      </c>
      <c r="AB32" s="160" t="s">
        <v>718</v>
      </c>
      <c r="AC32" s="165" t="s">
        <v>1342</v>
      </c>
      <c r="AD32" s="160" t="s">
        <v>695</v>
      </c>
      <c r="AE32" s="616"/>
      <c r="AF32" s="614"/>
      <c r="AG32" s="614"/>
      <c r="AH32" s="1076"/>
      <c r="AI32" s="1136"/>
      <c r="AJ32" s="890">
        <f>_xlfn.SUMIFS('Расчет УЕ'!AF$26:AF$68,'Расчет УЕ'!$F$26:$F$68,$F32,'Расчет УЕ'!$G$26:$G$68,$G32)</f>
        <v>0</v>
      </c>
      <c r="AK32" s="890">
        <f>_xlfn.SUMIFS('Расчет УЕ'!AG$26:AG$68,'Расчет УЕ'!$F$26:$F$68,$F32,'Расчет УЕ'!$G$26:$G$68,$G32)</f>
        <v>0</v>
      </c>
      <c r="AL32" s="1078">
        <f>_xlfn.SUMIFS('Расчет УЕ'!AH$26:AH$68,'Расчет УЕ'!$F$26:$F$68,$F32,'Расчет УЕ'!$G$26:$G$68,$G32)</f>
        <v>0</v>
      </c>
      <c r="AM32" s="890">
        <f>_xlfn.SUMIFS('Расчет УЕ'!AI$26:AI$68,'Расчет УЕ'!$F$26:$F$68,$F32,'Расчет УЕ'!$G$26:$G$68,$G32)</f>
        <v>0</v>
      </c>
      <c r="AN32" s="890">
        <f>_xlfn.SUMIFS('Расчет УЕ'!AJ$26:AJ$68,'Расчет УЕ'!$F$26:$F$68,$F32,'Расчет УЕ'!$G$26:$G$68,$G32)</f>
        <v>0</v>
      </c>
      <c r="AO32" s="890">
        <f>_xlfn.SUMIFS('Расчет УЕ'!AK$26:AK$68,'Расчет УЕ'!$F$26:$F$68,$F32,'Расчет УЕ'!$G$26:$G$68,$G32)</f>
        <v>0</v>
      </c>
      <c r="AP32" s="890">
        <f>_xlfn.SUMIFS('Расчет УЕ'!AL$26:AL$68,'Расчет УЕ'!$F$26:$F$68,$F32,'Расчет УЕ'!$G$26:$G$68,$G32)</f>
        <v>0</v>
      </c>
      <c r="AQ32" s="890">
        <f>_xlfn.SUMIFS('Расчет УЕ'!AM$26:AM$68,'Расчет УЕ'!$F$26:$F$68,$F32,'Расчет УЕ'!$G$26:$G$68,$G32)</f>
        <v>0</v>
      </c>
      <c r="AR32" s="890">
        <f>_xlfn.SUMIFS('Расчет УЕ'!AN$26:AN$68,'Расчет УЕ'!$F$26:$F$68,$F32,'Расчет УЕ'!$G$26:$G$68,$G32)</f>
        <v>0</v>
      </c>
      <c r="AS32" s="890">
        <f>_xlfn.SUMIFS('Расчет УЕ'!AO$26:AO$68,'Расчет УЕ'!$F$26:$F$68,$F32,'Расчет УЕ'!$G$26:$G$68,$G32)</f>
        <v>0</v>
      </c>
      <c r="AT32" s="890">
        <f>_xlfn.SUMIFS('Расчет УЕ'!AP$26:AP$68,'Расчет УЕ'!$F$26:$F$68,$F32,'Расчет УЕ'!$G$26:$G$68,$G32)</f>
        <v>0</v>
      </c>
      <c r="AU32" s="890">
        <f>_xlfn.SUMIFS('Расчет УЕ'!AQ$26:AQ$68,'Расчет УЕ'!$F$26:$F$68,$F32,'Расчет УЕ'!$G$26:$G$68,$G32)</f>
        <v>0</v>
      </c>
      <c r="AV32" s="890">
        <f>_xlfn.SUMIFS('Расчет УЕ'!AR$26:AR$68,'Расчет УЕ'!$F$26:$F$68,$F32,'Расчет УЕ'!$G$26:$G$68,$G32)</f>
        <v>0</v>
      </c>
      <c r="AW32" s="890">
        <f>_xlfn.SUMIFS('Расчет УЕ'!AS$26:AS$68,'Расчет УЕ'!$F$26:$F$68,$F32,'Расчет УЕ'!$G$26:$G$68,$G32)</f>
        <v>0</v>
      </c>
      <c r="AX32" s="890">
        <f>_xlfn.SUMIFS('Расчет УЕ'!AT$26:AT$68,'Расчет УЕ'!$F$26:$F$68,$F32,'Расчет УЕ'!$G$26:$G$68,$G32)</f>
        <v>0</v>
      </c>
      <c r="AY32" s="890">
        <f>_xlfn.SUMIFS('Расчет УЕ'!AU$26:AU$68,'Расчет УЕ'!$F$26:$F$68,$F32,'Расчет УЕ'!$G$26:$G$68,$G32)</f>
        <v>0</v>
      </c>
      <c r="AZ32" s="890">
        <f>_xlfn.SUMIFS('Расчет УЕ'!AV$26:AV$68,'Расчет УЕ'!$F$26:$F$68,$F32,'Расчет УЕ'!$G$26:$G$68,$G32)</f>
        <v>0</v>
      </c>
      <c r="BA32" s="890">
        <f>_xlfn.SUMIFS('Расчет УЕ'!AW$26:AW$68,'Расчет УЕ'!$F$26:$F$68,$F32,'Расчет УЕ'!$G$26:$G$68,$G32)</f>
        <v>0</v>
      </c>
      <c r="BB32" s="890">
        <f>_xlfn.SUMIFS('Расчет УЕ'!AX$26:AX$68,'Расчет УЕ'!$F$26:$F$68,$F32,'Расчет УЕ'!$G$26:$G$68,$G32)</f>
        <v>0</v>
      </c>
      <c r="BC32" s="890">
        <f>_xlfn.SUMIFS('Расчет УЕ'!AY$26:AY$68,'Расчет УЕ'!$F$26:$F$68,$F32,'Расчет УЕ'!$G$26:$G$68,$G32)</f>
        <v>0</v>
      </c>
      <c r="BD32" s="1136"/>
      <c r="BE32" s="1136"/>
      <c r="BF32" s="1136"/>
      <c r="BG32" s="1136"/>
      <c r="BH32" s="1136"/>
      <c r="BI32" s="1136"/>
      <c r="BJ32" s="1136"/>
      <c r="BK32" s="1136"/>
      <c r="BL32" s="1136"/>
      <c r="BM32" s="1136"/>
      <c r="BN32" s="73"/>
      <c r="BO32" s="73"/>
      <c r="BP32" s="73"/>
      <c r="BS32" s="1233" t="s">
        <v>1343</v>
      </c>
    </row>
    <row customHeight="1" ht="16.672500000000003" hidden="1">
      <c r="E33" s="797">
        <v>17.1</v>
      </c>
      <c r="F33" s="922" cm="1" t="str">
        <f t="array" ref="F33:F33">OFFSET(G33,-1,-1)</f>
        <v>0</v>
      </c>
      <c r="G33" s="739" t="s">
        <v>557</v>
      </c>
      <c r="T33" s="808" cm="1" t="str">
        <f t="array" ref="T33:T33">T32</f>
        <v>false</v>
      </c>
      <c r="AB33" s="160" t="s">
        <v>432</v>
      </c>
      <c r="AC33" s="168" t="s">
        <v>1344</v>
      </c>
      <c r="AD33" s="160"/>
      <c r="AE33" s="738"/>
      <c r="AF33" s="639"/>
      <c r="AG33" s="639"/>
      <c r="AH33" s="640"/>
      <c r="AI33" s="1136"/>
      <c r="AJ33" s="890">
        <f>_xlfn.SUMIFS(Сценарии!AE$27:AE$82,Сценарии!$F$27:$F$82,$F33,Сценарии!$G$27:$G$82,$G33)</f>
        <v>0.75</v>
      </c>
      <c r="AK33" s="890">
        <f>_xlfn.SUMIFS(Сценарии!AF$27:AF$82,Сценарии!$F$27:$F$82,$F33,Сценарии!$G$27:$G$82,$G33)</f>
        <v>0.75</v>
      </c>
      <c r="AL33" s="890">
        <f>_xlfn.SUMIFS(Сценарии!AG$27:AG$82,Сценарии!$F$27:$F$82,$F33,Сценарии!$G$27:$G$82,$G33)</f>
        <v>0.75</v>
      </c>
      <c r="AM33" s="890">
        <f>_xlfn.SUMIFS(Сценарии!AH$27:AH$82,Сценарии!$F$27:$F$82,$F33,Сценарии!$G$27:$G$82,$G33)</f>
        <v>0.75</v>
      </c>
      <c r="AN33" s="890">
        <f>_xlfn.SUMIFS(Сценарии!AI$27:AI$82,Сценарии!$F$27:$F$82,$F33,Сценарии!$G$27:$G$82,$G33)</f>
        <v>0.75</v>
      </c>
      <c r="AO33" s="890">
        <f>_xlfn.SUMIFS(Сценарии!AJ$27:AJ$82,Сценарии!$F$27:$F$82,$F33,Сценарии!$G$27:$G$82,$G33)</f>
        <v>0.75</v>
      </c>
      <c r="AP33" s="890">
        <f>_xlfn.SUMIFS(Сценарии!AK$27:AK$82,Сценарии!$F$27:$F$82,$F33,Сценарии!$G$27:$G$82,$G33)</f>
        <v>0.75</v>
      </c>
      <c r="AQ33" s="890">
        <f>_xlfn.SUMIFS(Сценарии!AL$27:AL$82,Сценарии!$F$27:$F$82,$F33,Сценарии!$G$27:$G$82,$G33)</f>
        <v>0.75</v>
      </c>
      <c r="AR33" s="890">
        <f>_xlfn.SUMIFS(Сценарии!AM$27:AM$82,Сценарии!$F$27:$F$82,$F33,Сценарии!$G$27:$G$82,$G33)</f>
        <v>0.75</v>
      </c>
      <c r="AS33" s="890">
        <f>_xlfn.SUMIFS(Сценарии!AN$27:AN$82,Сценарии!$F$27:$F$82,$F33,Сценарии!$G$27:$G$82,$G33)</f>
        <v>0.75</v>
      </c>
      <c r="AT33" s="890">
        <f>_xlfn.SUMIFS(Сценарии!AO$27:AO$82,Сценарии!$F$27:$F$82,$F33,Сценарии!$G$27:$G$82,$G33)</f>
        <v>0.75</v>
      </c>
      <c r="AU33" s="890">
        <f>_xlfn.SUMIFS(Сценарии!AP$27:AP$82,Сценарии!$F$27:$F$82,$F33,Сценарии!$G$27:$G$82,$G33)</f>
        <v>0.75</v>
      </c>
      <c r="AV33" s="890">
        <f>_xlfn.SUMIFS(Сценарии!AQ$27:AQ$82,Сценарии!$F$27:$F$82,$F33,Сценарии!$G$27:$G$82,$G33)</f>
        <v>0.75</v>
      </c>
      <c r="AW33" s="890">
        <f>_xlfn.SUMIFS(Сценарии!AR$27:AR$82,Сценарии!$F$27:$F$82,$F33,Сценарии!$G$27:$G$82,$G33)</f>
        <v>0.75</v>
      </c>
      <c r="AX33" s="890">
        <f>_xlfn.SUMIFS(Сценарии!AS$27:AS$82,Сценарии!$F$27:$F$82,$F33,Сценарии!$G$27:$G$82,$G33)</f>
        <v>0.75</v>
      </c>
      <c r="AY33" s="890">
        <f>_xlfn.SUMIFS(Сценарии!AT$27:AT$82,Сценарии!$F$27:$F$82,$F33,Сценарии!$G$27:$G$82,$G33)</f>
        <v>0.75</v>
      </c>
      <c r="AZ33" s="890">
        <f>_xlfn.SUMIFS(Сценарии!AU$27:AU$82,Сценарии!$F$27:$F$82,$F33,Сценарии!$G$27:$G$82,$G33)</f>
        <v>0.75</v>
      </c>
      <c r="BA33" s="890">
        <f>_xlfn.SUMIFS(Сценарии!AV$27:AV$82,Сценарии!$F$27:$F$82,$F33,Сценарии!$G$27:$G$82,$G33)</f>
        <v>0.75</v>
      </c>
      <c r="BB33" s="890">
        <f>_xlfn.SUMIFS(Сценарии!AW$27:AW$82,Сценарии!$F$27:$F$82,$F33,Сценарии!$G$27:$G$82,$G33)</f>
        <v>0.75</v>
      </c>
      <c r="BC33" s="890">
        <f>_xlfn.SUMIFS(Сценарии!AX$27:AX$82,Сценарии!$F$27:$F$82,$F33,Сценарии!$G$27:$G$82,$G33)</f>
        <v>0.75</v>
      </c>
      <c r="BD33" s="1137"/>
      <c r="BE33" s="1137"/>
      <c r="BF33" s="1137"/>
      <c r="BG33" s="1137"/>
      <c r="BH33" s="1137"/>
      <c r="BI33" s="1136"/>
      <c r="BJ33" s="1136"/>
      <c r="BK33" s="1136"/>
      <c r="BL33" s="1136"/>
      <c r="BM33" s="1136"/>
      <c r="BN33" s="73"/>
      <c r="BO33" s="73"/>
      <c r="BP33" s="73"/>
      <c r="BS33" s="1233" t="s">
        <v>1345</v>
      </c>
    </row>
    <row customHeight="1" ht="16.672500000000003" hidden="1">
      <c r="E34" s="797">
        <v>17.1</v>
      </c>
      <c r="F34" s="922" cm="1" t="str">
        <f t="array" ref="F34:F34">OFFSET(G34,-1,-1)</f>
        <v>0</v>
      </c>
      <c r="G34" s="739" t="s">
        <v>1294</v>
      </c>
      <c r="K34" s="230" t="str">
        <f>F34&amp;"komm"</f>
        <v>0komm</v>
      </c>
      <c r="L34" s="229" cm="1" t="str">
        <f t="array" ref="L34:L34">BO34</f>
        <v>0</v>
      </c>
      <c r="T34" s="808" cm="1" t="str">
        <f t="array" ref="T34:T34">T33</f>
        <v>false</v>
      </c>
      <c r="AB34" s="637" t="s">
        <v>435</v>
      </c>
      <c r="AC34" s="743" t="s">
        <v>1346</v>
      </c>
      <c r="AD34" s="675" t="s">
        <v>810</v>
      </c>
      <c r="AE34" s="618" cm="1" t="str">
        <f t="array" ref="AE34:AE34">'Операционные (5.1)'!AE28</f>
        <v>0</v>
      </c>
      <c r="AF34" s="618" cm="1" t="str">
        <f t="array" ref="AF34:AF34">'Операционные (5.1)'!AF28</f>
        <v>0</v>
      </c>
      <c r="AG34" s="618" cm="1" t="str">
        <f t="array" ref="AG34:AG34">'Операционные (5.1)'!AG28</f>
        <v>0</v>
      </c>
      <c r="AH34" s="885" cm="1" t="str">
        <f t="array" ref="AH34:AH34">'Операционные (5.1)'!AH28</f>
        <v>0</v>
      </c>
      <c r="AI34" s="618">
        <f>_xlfn.SUMIFS('Операционные (5.1)'!AI$26:AI$75,'Операционные (5.1)'!$F$26:$F$75,$F34,'Операционные (5.1)'!$G$26:$G$75,$G34)</f>
        <v>0</v>
      </c>
      <c r="AJ34" s="1948">
        <f>IF(god=first_year,_xlfn.SUMIFS('Операционные (5.1)'!AJ$26:AJ$75,'Операционные (5.1)'!$F$26:$F$75,$F34,'Операционные (5.1)'!$G$26:$G$75,$G34),AI34*AJ35)</f>
        <v>0</v>
      </c>
      <c r="AK34" s="309">
        <f>AJ34*AK35</f>
        <v>0</v>
      </c>
      <c r="AL34" s="1335">
        <f>AK34*AL35</f>
        <v>0</v>
      </c>
      <c r="AM34" s="309">
        <f>AL34*AM35</f>
        <v>0</v>
      </c>
      <c r="AN34" s="309">
        <f>AM34*AN35</f>
        <v>0</v>
      </c>
      <c r="AO34" s="309">
        <f>AN34*AO35</f>
        <v>0</v>
      </c>
      <c r="AP34" s="309">
        <f>AO34*AP35</f>
        <v>0</v>
      </c>
      <c r="AQ34" s="309">
        <f>AP34*AQ35</f>
        <v>0</v>
      </c>
      <c r="AR34" s="309">
        <f>AQ34*AR35</f>
        <v>0</v>
      </c>
      <c r="AS34" s="309">
        <f>AR34*AS35</f>
        <v>0</v>
      </c>
      <c r="AT34" s="1949">
        <f>IF(god=first_year,_xlfn.SUMIFS('Операционные (5.1)'!AK$26:AK$75,'Операционные (5.1)'!$F$26:$F$75,$F34,'Операционные (5.1)'!$G$26:$G$75,$G34),AI34*AT35)</f>
        <v>0</v>
      </c>
      <c r="AU34" s="309">
        <f>AT34*AU35</f>
        <v>0</v>
      </c>
      <c r="AV34" s="309">
        <f>AU34*AV35</f>
        <v>0</v>
      </c>
      <c r="AW34" s="309">
        <f>AV34*AW35</f>
        <v>0</v>
      </c>
      <c r="AX34" s="309">
        <f>AW34*AX35</f>
        <v>0</v>
      </c>
      <c r="AY34" s="309">
        <f>AX34*AY35</f>
        <v>0</v>
      </c>
      <c r="AZ34" s="309">
        <f>AY34*AZ35</f>
        <v>0</v>
      </c>
      <c r="BA34" s="309">
        <f>AZ34*BA35</f>
        <v>0</v>
      </c>
      <c r="BB34" s="309">
        <f>BA34*BB35</f>
        <v>0</v>
      </c>
      <c r="BC34" s="1337">
        <f>BB34*BC35</f>
        <v>0</v>
      </c>
      <c r="BD34" s="1139"/>
      <c r="BE34" s="1138">
        <f>IF(AT34=0,0,(AU34-AT34)/AT34*100)</f>
        <v>0</v>
      </c>
      <c r="BF34" s="1138">
        <f>IF(AU34=0,0,(AV34-AU34)/AU34*100)</f>
        <v>0</v>
      </c>
      <c r="BG34" s="1138">
        <f>IF(AV34=0,0,(AW34-AV34)/AV34*100)</f>
        <v>0</v>
      </c>
      <c r="BH34" s="1138">
        <f>IF(AW34=0,0,(AX34-AW34)/AW34*100)</f>
        <v>0</v>
      </c>
      <c r="BI34" s="1138">
        <f>IF(AX34=0,0,(AY34-AX34)/AX34*100)</f>
        <v>0</v>
      </c>
      <c r="BJ34" s="1138">
        <f>IF(AY34=0,0,(AZ34-AY34)/AY34*100)</f>
        <v>0</v>
      </c>
      <c r="BK34" s="1138">
        <f>IF(AZ34=0,0,(BA34-AZ34)/AZ34*100)</f>
        <v>0</v>
      </c>
      <c r="BL34" s="1138">
        <f>IF(BA34=0,0,(BB34-BA34)/BA34*100)</f>
        <v>0</v>
      </c>
      <c r="BM34" s="1138">
        <f>IF(BB34=0,0,(BC34-BB34)/BB34*100)</f>
        <v>0</v>
      </c>
      <c r="BN34" s="73"/>
      <c r="BO34" s="73"/>
      <c r="BP34" s="73"/>
      <c r="BS34" s="1233" t="s">
        <v>1347</v>
      </c>
    </row>
    <row s="552" customFormat="1" customHeight="1" ht="16.672500000000003" hidden="1">
      <c r="A35" s="961"/>
      <c r="B35" s="935"/>
      <c r="C35" s="961"/>
      <c r="D35" s="961"/>
      <c r="E35" s="797">
        <v>17.1</v>
      </c>
      <c r="F35" s="922" cm="1" t="str">
        <f t="array" ref="F35:F35">OFFSET(G35,-1,-1)</f>
        <v>0</v>
      </c>
      <c r="G35" s="936"/>
      <c r="T35" s="808" cm="1" t="str">
        <f t="array" ref="T35:T35">T34</f>
        <v>false</v>
      </c>
      <c r="U35" s="961"/>
      <c r="V35" s="961"/>
      <c r="W35" s="962"/>
      <c r="Y35" s="962"/>
      <c r="AB35" s="886" t="s">
        <v>756</v>
      </c>
      <c r="AC35" s="1058" t="s">
        <v>1348</v>
      </c>
      <c r="AD35" s="737"/>
      <c r="AE35" s="122"/>
      <c r="AF35" s="122"/>
      <c r="AG35" s="122"/>
      <c r="AH35" s="1077"/>
      <c r="AI35" s="1142"/>
      <c r="AJ35" s="1950">
        <f>(1+AJ28%)*(1-AJ29%)*(1+AJ30*AJ33)</f>
        <v>0.99</v>
      </c>
      <c r="AK35" s="123">
        <f>(1+AK28%)*(1-AK29%)*(1+AK30*AK33)</f>
        <v>0.99</v>
      </c>
      <c r="AL35" s="123">
        <f>(1+AL28%)*(1-AL29%)*(1+AL30*AL33)</f>
        <v>0.99</v>
      </c>
      <c r="AM35" s="123">
        <f>(1+AM28%)*(1-AM29%)*(1+AM30*AM33)</f>
        <v>0.99</v>
      </c>
      <c r="AN35" s="123">
        <f>(1+AN28%)*(1-AN29%)*(1+AN30*AN33)</f>
        <v>0.99</v>
      </c>
      <c r="AO35" s="123">
        <f>(1+AO28%)*(1-AO29%)*(1+AO30*AO33)</f>
        <v>0.99</v>
      </c>
      <c r="AP35" s="123">
        <f>(1+AP28%)*(1-AP29%)*(1+AP30*AP33)</f>
        <v>0.99</v>
      </c>
      <c r="AQ35" s="123">
        <f>(1+AQ28%)*(1-AQ29%)*(1+AQ30*AQ33)</f>
        <v>0.99</v>
      </c>
      <c r="AR35" s="123">
        <f>(1+AR28%)*(1-AR29%)*(1+AR30*AR33)</f>
        <v>0.99</v>
      </c>
      <c r="AS35" s="123">
        <f>(1+AS28%)*(1-AS29%)*(1+AS30*AS33)</f>
        <v>0.99</v>
      </c>
      <c r="AT35" s="1950">
        <f>(1+AT28%)*(1-AT29%)*(1+AT30*AT33)</f>
        <v>0.99</v>
      </c>
      <c r="AU35" s="123">
        <f>(1+AU28%)*(1-AU29%)*(1+AU30*AU33)</f>
        <v>0.99</v>
      </c>
      <c r="AV35" s="123">
        <f>(1+AV28%)*(1-AV29%)*(1+AV30*AV33)</f>
        <v>0.99</v>
      </c>
      <c r="AW35" s="123">
        <f>(1+AW28%)*(1-AW29%)*(1+AW30*AW33)</f>
        <v>0.99</v>
      </c>
      <c r="AX35" s="123">
        <f>(1+AX28%)*(1-AX29%)*(1+AX30*AX33)</f>
        <v>0.99</v>
      </c>
      <c r="AY35" s="123">
        <f>(1+AY28%)*(1-AY29%)*(1+AY30*AY33)</f>
        <v>0.99</v>
      </c>
      <c r="AZ35" s="123">
        <f>(1+AZ28%)*(1-AZ29%)*(1+AZ30*AZ33)</f>
        <v>0.99</v>
      </c>
      <c r="BA35" s="123">
        <f>(1+BA28%)*(1-BA29%)*(1+BA30*BA33)</f>
        <v>0.99</v>
      </c>
      <c r="BB35" s="123">
        <f>(1+BB28%)*(1-BB29%)*(1+BB30*BB33)</f>
        <v>0.99</v>
      </c>
      <c r="BC35" s="123">
        <f>(1+BC28%)*(1-BC29%)*(1+BC30*BC33)</f>
        <v>0.99</v>
      </c>
      <c r="BD35" s="1142"/>
      <c r="BE35" s="1142"/>
      <c r="BF35" s="1142"/>
      <c r="BG35" s="1142"/>
      <c r="BH35" s="1142"/>
      <c r="BI35" s="1142"/>
      <c r="BJ35" s="1142"/>
      <c r="BK35" s="1142"/>
      <c r="BL35" s="1142"/>
      <c r="BM35" s="1142"/>
      <c r="BN35" s="73"/>
      <c r="BO35" s="73"/>
      <c r="BP35" s="73"/>
      <c r="BS35" s="1233" t="s">
        <v>1349</v>
      </c>
    </row>
    <row s="1951" customFormat="1" customHeight="1" ht="16.5">
      <c r="A36" s="220"/>
      <c r="B36" s="220"/>
      <c r="C36" s="220"/>
      <c r="D36" s="220"/>
      <c r="E36" s="797">
        <v>17.1</v>
      </c>
      <c r="F36" s="922" cm="1" t="str">
        <f t="array" ref="F36:F36">X36</f>
        <v>1</v>
      </c>
      <c r="G36" s="739" cm="1" t="str">
        <f t="array" ref="G36:G36">INDEX('Общие сведения'!$AK$169:$AK$202,MATCH($F36,'Общие сведения'!$Z$169:$Z$202,0))</f>
        <v>одноставочный</v>
      </c>
      <c r="H36" s="220"/>
      <c r="I36" s="213" cm="1" t="str">
        <f t="array" ref="I36:I36">INDEX('Общие сведения'!$AE$169:$AE$202,MATCH($F36,'Общие сведения'!$Z$169:$Z$202,0))</f>
        <v>Теплоснабжение</v>
      </c>
      <c r="J36" s="220"/>
      <c r="K36" s="220"/>
      <c r="L36" s="220"/>
      <c r="M36" s="220"/>
      <c r="N36" s="220"/>
      <c r="O36" s="220"/>
      <c r="P36" s="220"/>
      <c r="Q36" s="220"/>
      <c r="R36" s="220"/>
      <c r="S36" s="220"/>
      <c r="T36" s="808">
        <f>X36&gt;0</f>
        <v>1</v>
      </c>
      <c r="U36" s="220"/>
      <c r="V36" s="175" cm="1" t="str">
        <f t="array" ref="V36:V36">'Операционные (5.1)'!$AB$51</f>
        <v>Тариф 1 (Теплоснабжение) - Тариф на тепловую энергию (мощность), поставляемую потребителям (Не определено)</v>
      </c>
      <c r="W36" s="220"/>
      <c r="X36" s="175" t="s">
        <v>336</v>
      </c>
      <c r="Y36" s="220"/>
      <c r="Z36" s="220"/>
      <c r="AA36" s="220"/>
      <c r="AB36" s="330"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331"/>
      <c r="BN36" s="331"/>
      <c r="BO36" s="331"/>
      <c r="BP36" s="331"/>
      <c r="BQ36" s="220"/>
      <c r="BR36" s="220"/>
      <c r="BS36" s="1206"/>
    </row>
    <row s="1632" customFormat="1" customHeight="1" ht="16.5">
      <c r="A37" s="228"/>
      <c r="B37" s="927"/>
      <c r="C37" s="228"/>
      <c r="D37" s="228"/>
      <c r="E37" s="797">
        <v>17.1</v>
      </c>
      <c r="F37" s="922" cm="1" t="str">
        <f t="array" ref="F37:F37">OFFSET(G37,-1,-1)</f>
        <v>1</v>
      </c>
      <c r="G37" s="193" t="s">
        <v>510</v>
      </c>
      <c r="H37" s="230"/>
      <c r="I37" s="230"/>
      <c r="J37" s="230"/>
      <c r="K37" s="230"/>
      <c r="L37" s="230"/>
      <c r="M37" s="230"/>
      <c r="N37" s="230"/>
      <c r="O37" s="230"/>
      <c r="P37" s="230"/>
      <c r="Q37" s="193"/>
      <c r="R37" s="193"/>
      <c r="S37" s="230"/>
      <c r="T37" s="808" cm="1" t="str">
        <f t="array" ref="T37:T37">T36</f>
        <v>true</v>
      </c>
      <c r="U37" s="1582"/>
      <c r="V37" s="1582"/>
      <c r="W37" s="1582"/>
      <c r="X37" s="1582"/>
      <c r="Y37" s="1582"/>
      <c r="Z37" s="1582"/>
      <c r="AA37" s="230"/>
      <c r="AB37" s="160" t="s">
        <v>336</v>
      </c>
      <c r="AC37" s="742" t="s">
        <v>1333</v>
      </c>
      <c r="AD37" s="160" t="s">
        <v>498</v>
      </c>
      <c r="AE37" s="616"/>
      <c r="AF37" s="614"/>
      <c r="AG37" s="614"/>
      <c r="AH37" s="614"/>
      <c r="AI37" s="1947"/>
      <c r="AJ37" s="890">
        <f>_xlfn.SUMIFS(Сценарии!AE$27:AE$82,Сценарии!$F$27:$F$82,$F37,Сценарии!$G$27:$G$82,$G37)</f>
        <v>0</v>
      </c>
      <c r="AK37" s="890">
        <f>_xlfn.SUMIFS(Сценарии!AF$27:AF$82,Сценарии!$F$27:$F$82,$F37,Сценарии!$G$27:$G$82,$G37)</f>
        <v>0</v>
      </c>
      <c r="AL37" s="890">
        <f>_xlfn.SUMIFS(Сценарии!AG$27:AG$82,Сценарии!$F$27:$F$82,$F37,Сценарии!$G$27:$G$82,$G37)</f>
        <v>0</v>
      </c>
      <c r="AM37" s="890">
        <f>_xlfn.SUMIFS(Сценарии!AH$27:AH$82,Сценарии!$F$27:$F$82,$F37,Сценарии!$G$27:$G$82,$G37)</f>
        <v>0</v>
      </c>
      <c r="AN37" s="890">
        <f>_xlfn.SUMIFS(Сценарии!AI$27:AI$82,Сценарии!$F$27:$F$82,$F37,Сценарии!$G$27:$G$82,$G37)</f>
        <v>0</v>
      </c>
      <c r="AO37" s="890">
        <f>_xlfn.SUMIFS(Сценарии!AJ$27:AJ$82,Сценарии!$F$27:$F$82,$F37,Сценарии!$G$27:$G$82,$G37)</f>
        <v>0</v>
      </c>
      <c r="AP37" s="890">
        <f>_xlfn.SUMIFS(Сценарии!AK$27:AK$82,Сценарии!$F$27:$F$82,$F37,Сценарии!$G$27:$G$82,$G37)</f>
        <v>0</v>
      </c>
      <c r="AQ37" s="890">
        <f>_xlfn.SUMIFS(Сценарии!AL$27:AL$82,Сценарии!$F$27:$F$82,$F37,Сценарии!$G$27:$G$82,$G37)</f>
        <v>0</v>
      </c>
      <c r="AR37" s="890">
        <f>_xlfn.SUMIFS(Сценарии!AM$27:AM$82,Сценарии!$F$27:$F$82,$F37,Сценарии!$G$27:$G$82,$G37)</f>
        <v>0</v>
      </c>
      <c r="AS37" s="890">
        <f>_xlfn.SUMIFS(Сценарии!AN$27:AN$82,Сценарии!$F$27:$F$82,$F37,Сценарии!$G$27:$G$82,$G37)</f>
        <v>0</v>
      </c>
      <c r="AT37" s="890">
        <f>_xlfn.SUMIFS(Сценарии!AO$27:AO$82,Сценарии!$F$27:$F$82,$F37,Сценарии!$G$27:$G$82,$G37)</f>
        <v>0</v>
      </c>
      <c r="AU37" s="890">
        <f>_xlfn.SUMIFS(Сценарии!AP$27:AP$82,Сценарии!$F$27:$F$82,$F37,Сценарии!$G$27:$G$82,$G37)</f>
        <v>0</v>
      </c>
      <c r="AV37" s="890">
        <f>_xlfn.SUMIFS(Сценарии!AQ$27:AQ$82,Сценарии!$F$27:$F$82,$F37,Сценарии!$G$27:$G$82,$G37)</f>
        <v>0</v>
      </c>
      <c r="AW37" s="890">
        <f>_xlfn.SUMIFS(Сценарии!AR$27:AR$82,Сценарии!$F$27:$F$82,$F37,Сценарии!$G$27:$G$82,$G37)</f>
        <v>0</v>
      </c>
      <c r="AX37" s="890">
        <f>_xlfn.SUMIFS(Сценарии!AS$27:AS$82,Сценарии!$F$27:$F$82,$F37,Сценарии!$G$27:$G$82,$G37)</f>
        <v>0</v>
      </c>
      <c r="AY37" s="890">
        <f>_xlfn.SUMIFS(Сценарии!AT$27:AT$82,Сценарии!$F$27:$F$82,$F37,Сценарии!$G$27:$G$82,$G37)</f>
        <v>0</v>
      </c>
      <c r="AZ37" s="890">
        <f>_xlfn.SUMIFS(Сценарии!AU$27:AU$82,Сценарии!$F$27:$F$82,$F37,Сценарии!$G$27:$G$82,$G37)</f>
        <v>0</v>
      </c>
      <c r="BA37" s="890">
        <f>_xlfn.SUMIFS(Сценарии!AV$27:AV$82,Сценарии!$F$27:$F$82,$F37,Сценарии!$G$27:$G$82,$G37)</f>
        <v>0</v>
      </c>
      <c r="BB37" s="890">
        <f>_xlfn.SUMIFS(Сценарии!AW$27:AW$82,Сценарии!$F$27:$F$82,$F37,Сценарии!$G$27:$G$82,$G37)</f>
        <v>0</v>
      </c>
      <c r="BC37" s="890">
        <f>_xlfn.SUMIFS(Сценарии!AX$27:AX$82,Сценарии!$F$27:$F$82,$F37,Сценарии!$G$27:$G$82,$G37)</f>
        <v>0</v>
      </c>
      <c r="BD37" s="1136"/>
      <c r="BE37" s="1136"/>
      <c r="BF37" s="1136"/>
      <c r="BG37" s="1136"/>
      <c r="BH37" s="1136"/>
      <c r="BI37" s="1136"/>
      <c r="BJ37" s="1136"/>
      <c r="BK37" s="1136"/>
      <c r="BL37" s="1136"/>
      <c r="BM37" s="1136"/>
      <c r="BN37" s="1719"/>
      <c r="BO37" s="1719"/>
      <c r="BP37" s="1719"/>
      <c r="BQ37" s="230"/>
      <c r="BR37" s="230"/>
      <c r="BS37" s="1233" t="s">
        <v>1334</v>
      </c>
    </row>
    <row s="1952" customFormat="1" customHeight="1" ht="16.5">
      <c r="A38" s="233"/>
      <c r="B38" s="233"/>
      <c r="C38" s="233"/>
      <c r="D38" s="233"/>
      <c r="E38" s="797">
        <v>17.1</v>
      </c>
      <c r="F38" s="922" cm="1" t="str">
        <f t="array" ref="F38:F38">OFFSET(G38,-1,-1)</f>
        <v>1</v>
      </c>
      <c r="G38" s="932" t="s">
        <v>500</v>
      </c>
      <c r="H38" s="233"/>
      <c r="I38" s="233"/>
      <c r="J38" s="233"/>
      <c r="K38" s="233"/>
      <c r="L38" s="233"/>
      <c r="M38" s="233"/>
      <c r="N38" s="233"/>
      <c r="O38" s="233"/>
      <c r="P38" s="233"/>
      <c r="Q38" s="233"/>
      <c r="R38" s="233"/>
      <c r="S38" s="233"/>
      <c r="T38" s="808" cm="1" t="str">
        <f t="array" ref="T38:T38">T37</f>
        <v>true</v>
      </c>
      <c r="U38" s="233"/>
      <c r="V38" s="233"/>
      <c r="W38" s="233"/>
      <c r="X38" s="233"/>
      <c r="Y38" s="233"/>
      <c r="Z38" s="233"/>
      <c r="AA38" s="233"/>
      <c r="AB38" s="160" t="s">
        <v>426</v>
      </c>
      <c r="AC38" s="168" t="s">
        <v>1335</v>
      </c>
      <c r="AD38" s="160" t="s">
        <v>498</v>
      </c>
      <c r="AE38" s="616"/>
      <c r="AF38" s="614"/>
      <c r="AG38" s="614"/>
      <c r="AH38" s="614"/>
      <c r="AI38" s="1947"/>
      <c r="AJ38" s="890">
        <f>_xlfn.SUMIFS(Сценарии!AE$27:AE$82,Сценарии!$F$27:$F$82,$F38,Сценарии!$G$27:$G$82,$G38)</f>
        <v>1</v>
      </c>
      <c r="AK38" s="890">
        <f>_xlfn.SUMIFS(Сценарии!AF$27:AF$82,Сценарии!$F$27:$F$82,$F38,Сценарии!$G$27:$G$82,$G38)</f>
        <v>1</v>
      </c>
      <c r="AL38" s="890">
        <f>_xlfn.SUMIFS(Сценарии!AG$27:AG$82,Сценарии!$F$27:$F$82,$F38,Сценарии!$G$27:$G$82,$G38)</f>
        <v>1</v>
      </c>
      <c r="AM38" s="890">
        <f>_xlfn.SUMIFS(Сценарии!AH$27:AH$82,Сценарии!$F$27:$F$82,$F38,Сценарии!$G$27:$G$82,$G38)</f>
        <v>1</v>
      </c>
      <c r="AN38" s="890">
        <f>_xlfn.SUMIFS(Сценарии!AI$27:AI$82,Сценарии!$F$27:$F$82,$F38,Сценарии!$G$27:$G$82,$G38)</f>
        <v>1</v>
      </c>
      <c r="AO38" s="890">
        <f>_xlfn.SUMIFS(Сценарии!AJ$27:AJ$82,Сценарии!$F$27:$F$82,$F38,Сценарии!$G$27:$G$82,$G38)</f>
        <v>1</v>
      </c>
      <c r="AP38" s="890">
        <f>_xlfn.SUMIFS(Сценарии!AK$27:AK$82,Сценарии!$F$27:$F$82,$F38,Сценарии!$G$27:$G$82,$G38)</f>
        <v>1</v>
      </c>
      <c r="AQ38" s="890">
        <f>_xlfn.SUMIFS(Сценарии!AL$27:AL$82,Сценарии!$F$27:$F$82,$F38,Сценарии!$G$27:$G$82,$G38)</f>
        <v>1</v>
      </c>
      <c r="AR38" s="890">
        <f>_xlfn.SUMIFS(Сценарии!AM$27:AM$82,Сценарии!$F$27:$F$82,$F38,Сценарии!$G$27:$G$82,$G38)</f>
        <v>1</v>
      </c>
      <c r="AS38" s="890">
        <f>_xlfn.SUMIFS(Сценарии!AN$27:AN$82,Сценарии!$F$27:$F$82,$F38,Сценарии!$G$27:$G$82,$G38)</f>
        <v>1</v>
      </c>
      <c r="AT38" s="1947">
        <v>1</v>
      </c>
      <c r="AU38" s="1947">
        <v>1</v>
      </c>
      <c r="AV38" s="1947">
        <v>1</v>
      </c>
      <c r="AW38" s="1947">
        <v>1</v>
      </c>
      <c r="AX38" s="1947">
        <v>1</v>
      </c>
      <c r="AY38" s="1947">
        <v>1</v>
      </c>
      <c r="AZ38" s="1947">
        <v>1</v>
      </c>
      <c r="BA38" s="1947">
        <v>1</v>
      </c>
      <c r="BB38" s="1947">
        <v>1</v>
      </c>
      <c r="BC38" s="1947">
        <v>1</v>
      </c>
      <c r="BD38" s="1136"/>
      <c r="BE38" s="1136"/>
      <c r="BF38" s="1136"/>
      <c r="BG38" s="1136"/>
      <c r="BH38" s="1136"/>
      <c r="BI38" s="1136"/>
      <c r="BJ38" s="1136"/>
      <c r="BK38" s="1136"/>
      <c r="BL38" s="1136"/>
      <c r="BM38" s="1136"/>
      <c r="BN38" s="1719"/>
      <c r="BO38" s="1719"/>
      <c r="BP38" s="1719"/>
      <c r="BQ38" s="233"/>
      <c r="BR38" s="233"/>
      <c r="BS38" s="1233" t="s">
        <v>1336</v>
      </c>
    </row>
    <row s="1632" customFormat="1" customHeight="1" ht="16.5">
      <c r="A39" s="228"/>
      <c r="B39" s="927"/>
      <c r="C39" s="228"/>
      <c r="D39" s="228"/>
      <c r="E39" s="797">
        <v>17.1</v>
      </c>
      <c r="F39" s="922" cm="1" t="str">
        <f t="array" ref="F39:F39">OFFSET(G39,-1,-1)</f>
        <v>1</v>
      </c>
      <c r="G39" s="193" t="s">
        <v>553</v>
      </c>
      <c r="H39" s="230"/>
      <c r="I39" s="230"/>
      <c r="J39" s="230"/>
      <c r="K39" s="230"/>
      <c r="L39" s="230"/>
      <c r="M39" s="230"/>
      <c r="N39" s="230"/>
      <c r="O39" s="230"/>
      <c r="P39" s="230"/>
      <c r="Q39" s="193"/>
      <c r="R39" s="193"/>
      <c r="S39" s="230"/>
      <c r="T39" s="808" cm="1" t="str">
        <f t="array" ref="T39:T39">T38</f>
        <v>true</v>
      </c>
      <c r="U39" s="1582"/>
      <c r="V39" s="1582"/>
      <c r="W39" s="1582"/>
      <c r="X39" s="1582"/>
      <c r="Y39" s="1582"/>
      <c r="Z39" s="1582"/>
      <c r="AA39" s="230"/>
      <c r="AB39" s="160" t="s">
        <v>429</v>
      </c>
      <c r="AC39" s="168" t="s">
        <v>1337</v>
      </c>
      <c r="AD39" s="160"/>
      <c r="AE39" s="616"/>
      <c r="AF39" s="614"/>
      <c r="AG39" s="614"/>
      <c r="AH39" s="614"/>
      <c r="AI39" s="1947"/>
      <c r="AJ39" s="890">
        <f>_xlfn.SUMIFS(Сценарии!AE$27:AE$82,Сценарии!$F$27:$F$82,$F39,Сценарии!$G$27:$G$82,$G39)</f>
        <v>0</v>
      </c>
      <c r="AK39" s="890">
        <f>_xlfn.SUMIFS(Сценарии!AF$27:AF$82,Сценарии!$F$27:$F$82,$F39,Сценарии!$G$27:$G$82,$G39)</f>
        <v>0</v>
      </c>
      <c r="AL39" s="890">
        <f>_xlfn.SUMIFS(Сценарии!AG$27:AG$82,Сценарии!$F$27:$F$82,$F39,Сценарии!$G$27:$G$82,$G39)</f>
        <v>0</v>
      </c>
      <c r="AM39" s="890">
        <f>_xlfn.SUMIFS(Сценарии!AH$27:AH$82,Сценарии!$F$27:$F$82,$F39,Сценарии!$G$27:$G$82,$G39)</f>
        <v>0</v>
      </c>
      <c r="AN39" s="890">
        <f>_xlfn.SUMIFS(Сценарии!AI$27:AI$82,Сценарии!$F$27:$F$82,$F39,Сценарии!$G$27:$G$82,$G39)</f>
        <v>0</v>
      </c>
      <c r="AO39" s="890">
        <f>_xlfn.SUMIFS(Сценарии!AJ$27:AJ$82,Сценарии!$F$27:$F$82,$F39,Сценарии!$G$27:$G$82,$G39)</f>
        <v>0</v>
      </c>
      <c r="AP39" s="890">
        <f>_xlfn.SUMIFS(Сценарии!AK$27:AK$82,Сценарии!$F$27:$F$82,$F39,Сценарии!$G$27:$G$82,$G39)</f>
        <v>0</v>
      </c>
      <c r="AQ39" s="890">
        <f>_xlfn.SUMIFS(Сценарии!AL$27:AL$82,Сценарии!$F$27:$F$82,$F39,Сценарии!$G$27:$G$82,$G39)</f>
        <v>0</v>
      </c>
      <c r="AR39" s="890">
        <f>_xlfn.SUMIFS(Сценарии!AM$27:AM$82,Сценарии!$F$27:$F$82,$F39,Сценарии!$G$27:$G$82,$G39)</f>
        <v>0</v>
      </c>
      <c r="AS39" s="890">
        <f>_xlfn.SUMIFS(Сценарии!AN$27:AN$82,Сценарии!$F$27:$F$82,$F39,Сценарии!$G$27:$G$82,$G39)</f>
        <v>0</v>
      </c>
      <c r="AT39" s="890">
        <f>_xlfn.SUMIFS(Сценарии!AO$27:AO$82,Сценарии!$F$27:$F$82,$F39,Сценарии!$G$27:$G$82,$G39)</f>
        <v>0</v>
      </c>
      <c r="AU39" s="890">
        <f>_xlfn.SUMIFS(Сценарии!AP$27:AP$82,Сценарии!$F$27:$F$82,$F39,Сценарии!$G$27:$G$82,$G39)</f>
        <v>0</v>
      </c>
      <c r="AV39" s="890">
        <f>_xlfn.SUMIFS(Сценарии!AQ$27:AQ$82,Сценарии!$F$27:$F$82,$F39,Сценарии!$G$27:$G$82,$G39)</f>
        <v>0</v>
      </c>
      <c r="AW39" s="890">
        <f>_xlfn.SUMIFS(Сценарии!AR$27:AR$82,Сценарии!$F$27:$F$82,$F39,Сценарии!$G$27:$G$82,$G39)</f>
        <v>0</v>
      </c>
      <c r="AX39" s="890">
        <f>_xlfn.SUMIFS(Сценарии!AS$27:AS$82,Сценарии!$F$27:$F$82,$F39,Сценарии!$G$27:$G$82,$G39)</f>
        <v>0</v>
      </c>
      <c r="AY39" s="890">
        <f>_xlfn.SUMIFS(Сценарии!AT$27:AT$82,Сценарии!$F$27:$F$82,$F39,Сценарии!$G$27:$G$82,$G39)</f>
        <v>0</v>
      </c>
      <c r="AZ39" s="890">
        <f>_xlfn.SUMIFS(Сценарии!AU$27:AU$82,Сценарии!$F$27:$F$82,$F39,Сценарии!$G$27:$G$82,$G39)</f>
        <v>0</v>
      </c>
      <c r="BA39" s="890">
        <f>_xlfn.SUMIFS(Сценарии!AV$27:AV$82,Сценарии!$F$27:$F$82,$F39,Сценарии!$G$27:$G$82,$G39)</f>
        <v>0</v>
      </c>
      <c r="BB39" s="890">
        <f>_xlfn.SUMIFS(Сценарии!AW$27:AW$82,Сценарии!$F$27:$F$82,$F39,Сценарии!$G$27:$G$82,$G39)</f>
        <v>0</v>
      </c>
      <c r="BC39" s="890">
        <f>_xlfn.SUMIFS(Сценарии!AX$27:AX$82,Сценарии!$F$27:$F$82,$F39,Сценарии!$G$27:$G$82,$G39)</f>
        <v>0</v>
      </c>
      <c r="BD39" s="1136"/>
      <c r="BE39" s="1136"/>
      <c r="BF39" s="1136"/>
      <c r="BG39" s="1136"/>
      <c r="BH39" s="1136"/>
      <c r="BI39" s="1136"/>
      <c r="BJ39" s="1136"/>
      <c r="BK39" s="1136"/>
      <c r="BL39" s="1136"/>
      <c r="BM39" s="1136"/>
      <c r="BN39" s="1719"/>
      <c r="BO39" s="1719"/>
      <c r="BP39" s="1719"/>
      <c r="BQ39" s="230"/>
      <c r="BR39" s="230"/>
      <c r="BS39" s="1233" t="s">
        <v>1338</v>
      </c>
    </row>
    <row s="1632" customFormat="1" customHeight="1" ht="29.25">
      <c r="A40" s="228"/>
      <c r="B40" s="927"/>
      <c r="C40" s="228"/>
      <c r="D40" s="228"/>
      <c r="E40" s="797">
        <v>30</v>
      </c>
      <c r="F40" s="922" cm="1" t="str">
        <f t="array" ref="F40:F40">OFFSET(G40,-1,-1)</f>
        <v>1</v>
      </c>
      <c r="G40" s="193" t="s">
        <v>453</v>
      </c>
      <c r="H40" s="230"/>
      <c r="I40" s="230"/>
      <c r="J40" s="230"/>
      <c r="K40" s="230"/>
      <c r="L40" s="230"/>
      <c r="M40" s="230"/>
      <c r="N40" s="230"/>
      <c r="O40" s="230"/>
      <c r="P40" s="230"/>
      <c r="Q40" s="193"/>
      <c r="R40" s="193"/>
      <c r="S40" s="230"/>
      <c r="T40" s="808" cm="1" t="str">
        <f t="array" ref="T40:T40">T39</f>
        <v>true</v>
      </c>
      <c r="U40" s="1582"/>
      <c r="V40" s="1582"/>
      <c r="W40" s="1582"/>
      <c r="X40" s="1582"/>
      <c r="Y40" s="1582"/>
      <c r="Z40" s="1582"/>
      <c r="AA40" s="230"/>
      <c r="AB40" s="160" t="s">
        <v>715</v>
      </c>
      <c r="AC40" s="165" t="s">
        <v>1339</v>
      </c>
      <c r="AD40" s="160" t="s">
        <v>1340</v>
      </c>
      <c r="AE40" s="616"/>
      <c r="AF40" s="614"/>
      <c r="AG40" s="614"/>
      <c r="AH40" s="614"/>
      <c r="AI40" s="1953">
        <f>_xlfn.SUMIFS('Расчет УЕ'!AE$26:AE$68,'Расчет УЕ'!$F$26:$F$68,$F40,'Расчет УЕ'!$G$26:$G$68,$G40)</f>
        <v>0</v>
      </c>
      <c r="AJ40" s="1079">
        <f>_xlfn.SUMIFS('Расчет УЕ'!AF$26:AF$68,'Расчет УЕ'!$F$26:$F$68,$F40,'Расчет УЕ'!$G$26:$G$68,$G40)</f>
        <v>0</v>
      </c>
      <c r="AK40" s="1079">
        <f>_xlfn.SUMIFS('Расчет УЕ'!AG$26:AG$68,'Расчет УЕ'!$F$26:$F$68,$F40,'Расчет УЕ'!$G$26:$G$68,$G40)</f>
        <v>0</v>
      </c>
      <c r="AL40" s="890">
        <f>_xlfn.SUMIFS('Расчет УЕ'!AH$26:AH$68,'Расчет УЕ'!$F$26:$F$68,$F40,'Расчет УЕ'!$G$26:$G$68,$G40)</f>
        <v>0</v>
      </c>
      <c r="AM40" s="890">
        <f>_xlfn.SUMIFS('Расчет УЕ'!AI$26:AI$68,'Расчет УЕ'!$F$26:$F$68,$F40,'Расчет УЕ'!$G$26:$G$68,$G40)</f>
        <v>0</v>
      </c>
      <c r="AN40" s="890">
        <f>_xlfn.SUMIFS('Расчет УЕ'!AJ$26:AJ$68,'Расчет УЕ'!$F$26:$F$68,$F40,'Расчет УЕ'!$G$26:$G$68,$G40)</f>
        <v>0</v>
      </c>
      <c r="AO40" s="890">
        <f>_xlfn.SUMIFS('Расчет УЕ'!AK$26:AK$68,'Расчет УЕ'!$F$26:$F$68,$F40,'Расчет УЕ'!$G$26:$G$68,$G40)</f>
        <v>0</v>
      </c>
      <c r="AP40" s="890">
        <f>_xlfn.SUMIFS('Расчет УЕ'!AL$26:AL$68,'Расчет УЕ'!$F$26:$F$68,$F40,'Расчет УЕ'!$G$26:$G$68,$G40)</f>
        <v>0</v>
      </c>
      <c r="AQ40" s="890">
        <f>_xlfn.SUMIFS('Расчет УЕ'!AM$26:AM$68,'Расчет УЕ'!$F$26:$F$68,$F40,'Расчет УЕ'!$G$26:$G$68,$G40)</f>
        <v>0</v>
      </c>
      <c r="AR40" s="890">
        <f>_xlfn.SUMIFS('Расчет УЕ'!AN$26:AN$68,'Расчет УЕ'!$F$26:$F$68,$F40,'Расчет УЕ'!$G$26:$G$68,$G40)</f>
        <v>0</v>
      </c>
      <c r="AS40" s="890">
        <f>_xlfn.SUMIFS('Расчет УЕ'!AO$26:AO$68,'Расчет УЕ'!$F$26:$F$68,$F40,'Расчет УЕ'!$G$26:$G$68,$G40)</f>
        <v>0</v>
      </c>
      <c r="AT40" s="890">
        <f>_xlfn.SUMIFS('Расчет УЕ'!AP$26:AP$68,'Расчет УЕ'!$F$26:$F$68,$F40,'Расчет УЕ'!$G$26:$G$68,$G40)</f>
        <v>0</v>
      </c>
      <c r="AU40" s="890">
        <f>_xlfn.SUMIFS('Расчет УЕ'!AQ$26:AQ$68,'Расчет УЕ'!$F$26:$F$68,$F40,'Расчет УЕ'!$G$26:$G$68,$G40)</f>
        <v>0</v>
      </c>
      <c r="AV40" s="890">
        <f>_xlfn.SUMIFS('Расчет УЕ'!AR$26:AR$68,'Расчет УЕ'!$F$26:$F$68,$F40,'Расчет УЕ'!$G$26:$G$68,$G40)</f>
        <v>0</v>
      </c>
      <c r="AW40" s="890">
        <f>_xlfn.SUMIFS('Расчет УЕ'!AS$26:AS$68,'Расчет УЕ'!$F$26:$F$68,$F40,'Расчет УЕ'!$G$26:$G$68,$G40)</f>
        <v>0</v>
      </c>
      <c r="AX40" s="890">
        <f>_xlfn.SUMIFS('Расчет УЕ'!AT$26:AT$68,'Расчет УЕ'!$F$26:$F$68,$F40,'Расчет УЕ'!$G$26:$G$68,$G40)</f>
        <v>0</v>
      </c>
      <c r="AY40" s="890">
        <f>_xlfn.SUMIFS('Расчет УЕ'!AU$26:AU$68,'Расчет УЕ'!$F$26:$F$68,$F40,'Расчет УЕ'!$G$26:$G$68,$G40)</f>
        <v>0</v>
      </c>
      <c r="AZ40" s="890">
        <f>_xlfn.SUMIFS('Расчет УЕ'!AV$26:AV$68,'Расчет УЕ'!$F$26:$F$68,$F40,'Расчет УЕ'!$G$26:$G$68,$G40)</f>
        <v>0</v>
      </c>
      <c r="BA40" s="890">
        <f>_xlfn.SUMIFS('Расчет УЕ'!AW$26:AW$68,'Расчет УЕ'!$F$26:$F$68,$F40,'Расчет УЕ'!$G$26:$G$68,$G40)</f>
        <v>0</v>
      </c>
      <c r="BB40" s="890">
        <f>_xlfn.SUMIFS('Расчет УЕ'!AX$26:AX$68,'Расчет УЕ'!$F$26:$F$68,$F40,'Расчет УЕ'!$G$26:$G$68,$G40)</f>
        <v>0</v>
      </c>
      <c r="BC40" s="890">
        <f>_xlfn.SUMIFS('Расчет УЕ'!AY$26:AY$68,'Расчет УЕ'!$F$26:$F$68,$F40,'Расчет УЕ'!$G$26:$G$68,$G40)</f>
        <v>0</v>
      </c>
      <c r="BD40" s="1136"/>
      <c r="BE40" s="1136"/>
      <c r="BF40" s="1136"/>
      <c r="BG40" s="1136"/>
      <c r="BH40" s="1136"/>
      <c r="BI40" s="1136"/>
      <c r="BJ40" s="1136"/>
      <c r="BK40" s="1136"/>
      <c r="BL40" s="1136"/>
      <c r="BM40" s="1136"/>
      <c r="BN40" s="1719"/>
      <c r="BO40" s="1719"/>
      <c r="BP40" s="1719"/>
      <c r="BQ40" s="230"/>
      <c r="BR40" s="230"/>
      <c r="BS40" s="1233" t="s">
        <v>1341</v>
      </c>
    </row>
    <row s="1632" customFormat="1" customHeight="1" ht="16.5">
      <c r="A41" s="228"/>
      <c r="B41" s="927"/>
      <c r="C41" s="228"/>
      <c r="D41" s="228"/>
      <c r="E41" s="797">
        <v>17.1</v>
      </c>
      <c r="F41" s="922" cm="1" t="str">
        <f t="array" ref="F41:F41">OFFSET(G41,-1,-1)</f>
        <v>1</v>
      </c>
      <c r="G41" s="193" t="s">
        <v>448</v>
      </c>
      <c r="H41" s="230"/>
      <c r="I41" s="230"/>
      <c r="J41" s="230"/>
      <c r="K41" s="230"/>
      <c r="L41" s="230"/>
      <c r="M41" s="230"/>
      <c r="N41" s="230"/>
      <c r="O41" s="230"/>
      <c r="P41" s="230"/>
      <c r="Q41" s="193"/>
      <c r="R41" s="193"/>
      <c r="S41" s="230"/>
      <c r="T41" s="808" cm="1" t="str">
        <f t="array" ref="T41:T41">T40</f>
        <v>true</v>
      </c>
      <c r="U41" s="1582"/>
      <c r="V41" s="1582"/>
      <c r="W41" s="1582"/>
      <c r="X41" s="1582"/>
      <c r="Y41" s="1582"/>
      <c r="Z41" s="1582"/>
      <c r="AA41" s="230"/>
      <c r="AB41" s="160" t="s">
        <v>718</v>
      </c>
      <c r="AC41" s="165" t="s">
        <v>1342</v>
      </c>
      <c r="AD41" s="160" t="s">
        <v>695</v>
      </c>
      <c r="AE41" s="616"/>
      <c r="AF41" s="614"/>
      <c r="AG41" s="614"/>
      <c r="AH41" s="1076"/>
      <c r="AI41" s="1136"/>
      <c r="AJ41" s="890">
        <f>_xlfn.SUMIFS('Расчет УЕ'!AF$26:AF$68,'Расчет УЕ'!$F$26:$F$68,$F41,'Расчет УЕ'!$G$26:$G$68,$G41)</f>
        <v>0</v>
      </c>
      <c r="AK41" s="890">
        <f>_xlfn.SUMIFS('Расчет УЕ'!AG$26:AG$68,'Расчет УЕ'!$F$26:$F$68,$F41,'Расчет УЕ'!$G$26:$G$68,$G41)</f>
        <v>0</v>
      </c>
      <c r="AL41" s="1078">
        <f>_xlfn.SUMIFS('Расчет УЕ'!AH$26:AH$68,'Расчет УЕ'!$F$26:$F$68,$F41,'Расчет УЕ'!$G$26:$G$68,$G41)</f>
        <v>0</v>
      </c>
      <c r="AM41" s="890">
        <f>_xlfn.SUMIFS('Расчет УЕ'!AI$26:AI$68,'Расчет УЕ'!$F$26:$F$68,$F41,'Расчет УЕ'!$G$26:$G$68,$G41)</f>
        <v>0</v>
      </c>
      <c r="AN41" s="890">
        <f>_xlfn.SUMIFS('Расчет УЕ'!AJ$26:AJ$68,'Расчет УЕ'!$F$26:$F$68,$F41,'Расчет УЕ'!$G$26:$G$68,$G41)</f>
        <v>0</v>
      </c>
      <c r="AO41" s="890">
        <f>_xlfn.SUMIFS('Расчет УЕ'!AK$26:AK$68,'Расчет УЕ'!$F$26:$F$68,$F41,'Расчет УЕ'!$G$26:$G$68,$G41)</f>
        <v>0</v>
      </c>
      <c r="AP41" s="890">
        <f>_xlfn.SUMIFS('Расчет УЕ'!AL$26:AL$68,'Расчет УЕ'!$F$26:$F$68,$F41,'Расчет УЕ'!$G$26:$G$68,$G41)</f>
        <v>0</v>
      </c>
      <c r="AQ41" s="890">
        <f>_xlfn.SUMIFS('Расчет УЕ'!AM$26:AM$68,'Расчет УЕ'!$F$26:$F$68,$F41,'Расчет УЕ'!$G$26:$G$68,$G41)</f>
        <v>0</v>
      </c>
      <c r="AR41" s="890">
        <f>_xlfn.SUMIFS('Расчет УЕ'!AN$26:AN$68,'Расчет УЕ'!$F$26:$F$68,$F41,'Расчет УЕ'!$G$26:$G$68,$G41)</f>
        <v>0</v>
      </c>
      <c r="AS41" s="890">
        <f>_xlfn.SUMIFS('Расчет УЕ'!AO$26:AO$68,'Расчет УЕ'!$F$26:$F$68,$F41,'Расчет УЕ'!$G$26:$G$68,$G41)</f>
        <v>0</v>
      </c>
      <c r="AT41" s="890">
        <f>_xlfn.SUMIFS('Расчет УЕ'!AP$26:AP$68,'Расчет УЕ'!$F$26:$F$68,$F41,'Расчет УЕ'!$G$26:$G$68,$G41)</f>
        <v>0</v>
      </c>
      <c r="AU41" s="890">
        <f>_xlfn.SUMIFS('Расчет УЕ'!AQ$26:AQ$68,'Расчет УЕ'!$F$26:$F$68,$F41,'Расчет УЕ'!$G$26:$G$68,$G41)</f>
        <v>0</v>
      </c>
      <c r="AV41" s="890">
        <f>_xlfn.SUMIFS('Расчет УЕ'!AR$26:AR$68,'Расчет УЕ'!$F$26:$F$68,$F41,'Расчет УЕ'!$G$26:$G$68,$G41)</f>
        <v>0</v>
      </c>
      <c r="AW41" s="890">
        <f>_xlfn.SUMIFS('Расчет УЕ'!AS$26:AS$68,'Расчет УЕ'!$F$26:$F$68,$F41,'Расчет УЕ'!$G$26:$G$68,$G41)</f>
        <v>0</v>
      </c>
      <c r="AX41" s="890">
        <f>_xlfn.SUMIFS('Расчет УЕ'!AT$26:AT$68,'Расчет УЕ'!$F$26:$F$68,$F41,'Расчет УЕ'!$G$26:$G$68,$G41)</f>
        <v>0</v>
      </c>
      <c r="AY41" s="890">
        <f>_xlfn.SUMIFS('Расчет УЕ'!AU$26:AU$68,'Расчет УЕ'!$F$26:$F$68,$F41,'Расчет УЕ'!$G$26:$G$68,$G41)</f>
        <v>0</v>
      </c>
      <c r="AZ41" s="890">
        <f>_xlfn.SUMIFS('Расчет УЕ'!AV$26:AV$68,'Расчет УЕ'!$F$26:$F$68,$F41,'Расчет УЕ'!$G$26:$G$68,$G41)</f>
        <v>0</v>
      </c>
      <c r="BA41" s="890">
        <f>_xlfn.SUMIFS('Расчет УЕ'!AW$26:AW$68,'Расчет УЕ'!$F$26:$F$68,$F41,'Расчет УЕ'!$G$26:$G$68,$G41)</f>
        <v>0</v>
      </c>
      <c r="BB41" s="890">
        <f>_xlfn.SUMIFS('Расчет УЕ'!AX$26:AX$68,'Расчет УЕ'!$F$26:$F$68,$F41,'Расчет УЕ'!$G$26:$G$68,$G41)</f>
        <v>0</v>
      </c>
      <c r="BC41" s="890">
        <f>_xlfn.SUMIFS('Расчет УЕ'!AY$26:AY$68,'Расчет УЕ'!$F$26:$F$68,$F41,'Расчет УЕ'!$G$26:$G$68,$G41)</f>
        <v>0</v>
      </c>
      <c r="BD41" s="1136"/>
      <c r="BE41" s="1136"/>
      <c r="BF41" s="1136"/>
      <c r="BG41" s="1136"/>
      <c r="BH41" s="1136"/>
      <c r="BI41" s="1136"/>
      <c r="BJ41" s="1136"/>
      <c r="BK41" s="1136"/>
      <c r="BL41" s="1136"/>
      <c r="BM41" s="1136"/>
      <c r="BN41" s="1719"/>
      <c r="BO41" s="1719"/>
      <c r="BP41" s="1719"/>
      <c r="BQ41" s="230"/>
      <c r="BR41" s="230"/>
      <c r="BS41" s="1233" t="s">
        <v>1343</v>
      </c>
    </row>
    <row s="1632" customFormat="1" customHeight="1" ht="16.5">
      <c r="A42" s="228"/>
      <c r="B42" s="927"/>
      <c r="C42" s="228"/>
      <c r="D42" s="228"/>
      <c r="E42" s="797">
        <v>17.1</v>
      </c>
      <c r="F42" s="922" cm="1" t="str">
        <f t="array" ref="F42:F42">OFFSET(G42,-1,-1)</f>
        <v>1</v>
      </c>
      <c r="G42" s="739" t="s">
        <v>557</v>
      </c>
      <c r="H42" s="230"/>
      <c r="I42" s="230"/>
      <c r="J42" s="230"/>
      <c r="K42" s="230"/>
      <c r="L42" s="230"/>
      <c r="M42" s="230"/>
      <c r="N42" s="230"/>
      <c r="O42" s="230"/>
      <c r="P42" s="230"/>
      <c r="Q42" s="193"/>
      <c r="R42" s="193"/>
      <c r="S42" s="230"/>
      <c r="T42" s="808" cm="1" t="str">
        <f t="array" ref="T42:T42">T41</f>
        <v>true</v>
      </c>
      <c r="U42" s="1582"/>
      <c r="V42" s="1582"/>
      <c r="W42" s="1582"/>
      <c r="X42" s="1582"/>
      <c r="Y42" s="1582"/>
      <c r="Z42" s="1582"/>
      <c r="AA42" s="230"/>
      <c r="AB42" s="160" t="s">
        <v>432</v>
      </c>
      <c r="AC42" s="168" t="s">
        <v>1350</v>
      </c>
      <c r="AD42" s="160"/>
      <c r="AE42" s="738"/>
      <c r="AF42" s="639"/>
      <c r="AG42" s="639"/>
      <c r="AH42" s="640"/>
      <c r="AI42" s="1136"/>
      <c r="AJ42" s="890">
        <f>_xlfn.SUMIFS(Сценарии!AE$27:AE$82,Сценарии!$F$27:$F$82,$F42,Сценарии!$G$27:$G$82,$G42)</f>
        <v>0.75</v>
      </c>
      <c r="AK42" s="890">
        <f>_xlfn.SUMIFS(Сценарии!AF$27:AF$82,Сценарии!$F$27:$F$82,$F42,Сценарии!$G$27:$G$82,$G42)</f>
        <v>0.75</v>
      </c>
      <c r="AL42" s="890">
        <f>_xlfn.SUMIFS(Сценарии!AG$27:AG$82,Сценарии!$F$27:$F$82,$F42,Сценарии!$G$27:$G$82,$G42)</f>
        <v>0.75</v>
      </c>
      <c r="AM42" s="890">
        <f>_xlfn.SUMIFS(Сценарии!AH$27:AH$82,Сценарии!$F$27:$F$82,$F42,Сценарии!$G$27:$G$82,$G42)</f>
        <v>0.75</v>
      </c>
      <c r="AN42" s="890">
        <f>_xlfn.SUMIFS(Сценарии!AI$27:AI$82,Сценарии!$F$27:$F$82,$F42,Сценарии!$G$27:$G$82,$G42)</f>
        <v>0.75</v>
      </c>
      <c r="AO42" s="890">
        <f>_xlfn.SUMIFS(Сценарии!AJ$27:AJ$82,Сценарии!$F$27:$F$82,$F42,Сценарии!$G$27:$G$82,$G42)</f>
        <v>0.75</v>
      </c>
      <c r="AP42" s="890">
        <f>_xlfn.SUMIFS(Сценарии!AK$27:AK$82,Сценарии!$F$27:$F$82,$F42,Сценарии!$G$27:$G$82,$G42)</f>
        <v>0.75</v>
      </c>
      <c r="AQ42" s="890">
        <f>_xlfn.SUMIFS(Сценарии!AL$27:AL$82,Сценарии!$F$27:$F$82,$F42,Сценарии!$G$27:$G$82,$G42)</f>
        <v>0.75</v>
      </c>
      <c r="AR42" s="890">
        <f>_xlfn.SUMIFS(Сценарии!AM$27:AM$82,Сценарии!$F$27:$F$82,$F42,Сценарии!$G$27:$G$82,$G42)</f>
        <v>0.75</v>
      </c>
      <c r="AS42" s="890">
        <f>_xlfn.SUMIFS(Сценарии!AN$27:AN$82,Сценарии!$F$27:$F$82,$F42,Сценарии!$G$27:$G$82,$G42)</f>
        <v>0.75</v>
      </c>
      <c r="AT42" s="890">
        <f>_xlfn.SUMIFS(Сценарии!AO$27:AO$82,Сценарии!$F$27:$F$82,$F42,Сценарии!$G$27:$G$82,$G42)</f>
        <v>0.75</v>
      </c>
      <c r="AU42" s="890">
        <f>_xlfn.SUMIFS(Сценарии!AP$27:AP$82,Сценарии!$F$27:$F$82,$F42,Сценарии!$G$27:$G$82,$G42)</f>
        <v>0.75</v>
      </c>
      <c r="AV42" s="890">
        <f>_xlfn.SUMIFS(Сценарии!AQ$27:AQ$82,Сценарии!$F$27:$F$82,$F42,Сценарии!$G$27:$G$82,$G42)</f>
        <v>0.75</v>
      </c>
      <c r="AW42" s="890">
        <f>_xlfn.SUMIFS(Сценарии!AR$27:AR$82,Сценарии!$F$27:$F$82,$F42,Сценарии!$G$27:$G$82,$G42)</f>
        <v>0.75</v>
      </c>
      <c r="AX42" s="890">
        <f>_xlfn.SUMIFS(Сценарии!AS$27:AS$82,Сценарии!$F$27:$F$82,$F42,Сценарии!$G$27:$G$82,$G42)</f>
        <v>0.75</v>
      </c>
      <c r="AY42" s="890">
        <f>_xlfn.SUMIFS(Сценарии!AT$27:AT$82,Сценарии!$F$27:$F$82,$F42,Сценарии!$G$27:$G$82,$G42)</f>
        <v>0.75</v>
      </c>
      <c r="AZ42" s="890">
        <f>_xlfn.SUMIFS(Сценарии!AU$27:AU$82,Сценарии!$F$27:$F$82,$F42,Сценарии!$G$27:$G$82,$G42)</f>
        <v>0.75</v>
      </c>
      <c r="BA42" s="890">
        <f>_xlfn.SUMIFS(Сценарии!AV$27:AV$82,Сценарии!$F$27:$F$82,$F42,Сценарии!$G$27:$G$82,$G42)</f>
        <v>0.75</v>
      </c>
      <c r="BB42" s="890">
        <f>_xlfn.SUMIFS(Сценарии!AW$27:AW$82,Сценарии!$F$27:$F$82,$F42,Сценарии!$G$27:$G$82,$G42)</f>
        <v>0.75</v>
      </c>
      <c r="BC42" s="890">
        <f>_xlfn.SUMIFS(Сценарии!AX$27:AX$82,Сценарии!$F$27:$F$82,$F42,Сценарии!$G$27:$G$82,$G42)</f>
        <v>0.75</v>
      </c>
      <c r="BD42" s="1137"/>
      <c r="BE42" s="1137"/>
      <c r="BF42" s="1137"/>
      <c r="BG42" s="1137"/>
      <c r="BH42" s="1137"/>
      <c r="BI42" s="1136"/>
      <c r="BJ42" s="1136"/>
      <c r="BK42" s="1136"/>
      <c r="BL42" s="1136"/>
      <c r="BM42" s="1136"/>
      <c r="BN42" s="1719"/>
      <c r="BO42" s="1719"/>
      <c r="BP42" s="1719"/>
      <c r="BQ42" s="230"/>
      <c r="BR42" s="230"/>
      <c r="BS42" s="1233" t="s">
        <v>1345</v>
      </c>
    </row>
    <row s="1632" customFormat="1" customHeight="1" ht="16.5">
      <c r="A43" s="228"/>
      <c r="B43" s="927"/>
      <c r="C43" s="228"/>
      <c r="D43" s="228"/>
      <c r="E43" s="797">
        <v>17.1</v>
      </c>
      <c r="F43" s="922" cm="1" t="str">
        <f t="array" ref="F43:F43">OFFSET(G43,-1,-1)</f>
        <v>1</v>
      </c>
      <c r="G43" s="739" t="s">
        <v>1294</v>
      </c>
      <c r="H43" s="230"/>
      <c r="I43" s="230"/>
      <c r="J43" s="230"/>
      <c r="K43" s="230" t="str">
        <f>F43&amp;"komm"</f>
        <v>1komm</v>
      </c>
      <c r="L43" s="229" cm="1" t="str">
        <f t="array" ref="L43:L43">BO43</f>
        <v>0</v>
      </c>
      <c r="M43" s="230"/>
      <c r="N43" s="230"/>
      <c r="O43" s="230"/>
      <c r="P43" s="230"/>
      <c r="Q43" s="193"/>
      <c r="R43" s="193"/>
      <c r="S43" s="230"/>
      <c r="T43" s="808" cm="1" t="str">
        <f t="array" ref="T43:T43">T42</f>
        <v>true</v>
      </c>
      <c r="U43" s="1582"/>
      <c r="V43" s="1582"/>
      <c r="W43" s="1582"/>
      <c r="X43" s="1582"/>
      <c r="Y43" s="1582"/>
      <c r="Z43" s="1582"/>
      <c r="AA43" s="230"/>
      <c r="AB43" s="637" t="s">
        <v>435</v>
      </c>
      <c r="AC43" s="743" t="s">
        <v>1346</v>
      </c>
      <c r="AD43" s="675" t="s">
        <v>810</v>
      </c>
      <c r="AE43" s="618" cm="1" t="str">
        <f t="array" ref="AE43:AE43">'Операционные (5.1)'!AE37</f>
        <v>0</v>
      </c>
      <c r="AF43" s="618" cm="1" t="str">
        <f t="array" ref="AF43:AF43">'Операционные (5.1)'!AF37</f>
        <v>0</v>
      </c>
      <c r="AG43" s="618" cm="1" t="str">
        <f t="array" ref="AG43:AG43">'Операционные (5.1)'!AG37</f>
        <v>0</v>
      </c>
      <c r="AH43" s="885" cm="1" t="str">
        <f t="array" ref="AH43:AH43">'Операционные (5.1)'!AH37</f>
        <v>0</v>
      </c>
      <c r="AI43" s="618">
        <f>_xlfn.SUMIFS('Операционные (5.1)'!AI$26:AI$75,'Операционные (5.1)'!$F$26:$F$75,$F43,'Операционные (5.1)'!$G$26:$G$75,$G43)</f>
        <v>13692.15</v>
      </c>
      <c r="AJ43" s="1948">
        <v>26597.17024</v>
      </c>
      <c r="AK43" s="309">
        <f>AJ43*AK44</f>
        <v>26331.1985376</v>
      </c>
      <c r="AL43" s="1335">
        <f>AK43*AL44</f>
        <v>26067.886552224</v>
      </c>
      <c r="AM43" s="309">
        <f>AL43*AM44</f>
        <v>25807.2076867018</v>
      </c>
      <c r="AN43" s="309">
        <f>AM43*AN44</f>
        <v>25549.1356098348</v>
      </c>
      <c r="AO43" s="309">
        <f>AN43*AO44</f>
        <v>25293.6442537365</v>
      </c>
      <c r="AP43" s="309">
        <f>AO43*AP44</f>
        <v>25040.7078111991</v>
      </c>
      <c r="AQ43" s="309">
        <f>AP43*AQ44</f>
        <v>24790.3007330871</v>
      </c>
      <c r="AR43" s="309">
        <f>AQ43*AR44</f>
        <v>24542.3977257562</v>
      </c>
      <c r="AS43" s="309">
        <f>AR43*AS44</f>
        <v>24296.9737484986</v>
      </c>
      <c r="AT43" s="1949">
        <v>14246.54184</v>
      </c>
      <c r="AU43" s="309">
        <f>AT43*AU44</f>
        <v>14104.0764216</v>
      </c>
      <c r="AV43" s="309">
        <f>AU43*AV44</f>
        <v>13963.035657384</v>
      </c>
      <c r="AW43" s="309">
        <f>AV43*AW44</f>
        <v>13823.4053008102</v>
      </c>
      <c r="AX43" s="309">
        <f>AW43*AX44</f>
        <v>13685.1712478021</v>
      </c>
      <c r="AY43" s="309">
        <f>AX43*AY44</f>
        <v>13548.3195353241</v>
      </c>
      <c r="AZ43" s="309">
        <f>AY43*AZ44</f>
        <v>13412.8363399709</v>
      </c>
      <c r="BA43" s="309">
        <f>AZ43*BA44</f>
        <v>13278.7079765712</v>
      </c>
      <c r="BB43" s="309">
        <f>BA43*BB44</f>
        <v>13145.9208968055</v>
      </c>
      <c r="BC43" s="1337">
        <f>BB43*BC44</f>
        <v>13014.4616878374</v>
      </c>
      <c r="BD43" s="1139"/>
      <c r="BE43" s="1138">
        <f>IF(AT43=0,0,(AU43-AT43)/AT43*100)</f>
        <v>-0.99999999999999</v>
      </c>
      <c r="BF43" s="1138">
        <f>IF(AU43=0,0,(AV43-AU43)/AU43*100)</f>
        <v>-1</v>
      </c>
      <c r="BG43" s="1138">
        <f>IF(AV43=0,0,(AW43-AV43)/AV43*100)</f>
        <v>-0.99999999999971</v>
      </c>
      <c r="BH43" s="1138">
        <f>IF(AW43=0,0,(AX43-AW43)/AW43*100)</f>
        <v>-0.99999999999999</v>
      </c>
      <c r="BI43" s="1138">
        <f>IF(AX43=0,0,(AY43-AX43)/AX43*100)</f>
        <v>-0.99999999999984</v>
      </c>
      <c r="BJ43" s="1138">
        <f>IF(AY43=0,0,(AZ43-AY43)/AY43*100)</f>
        <v>-0.99999999999971</v>
      </c>
      <c r="BK43" s="1138">
        <f>IF(AZ43=0,0,(BA43-AZ43)/AZ43*100)</f>
        <v>-0.99999999999993</v>
      </c>
      <c r="BL43" s="1138">
        <f>IF(BA43=0,0,(BB43-BA43)/BA43*100)</f>
        <v>-0.99999999999991</v>
      </c>
      <c r="BM43" s="1138">
        <f>IF(BB43=0,0,(BC43-BB43)/BB43*100)</f>
        <v>-1.0000000000003</v>
      </c>
      <c r="BN43" s="1719"/>
      <c r="BO43" s="1719"/>
      <c r="BP43" s="1719"/>
      <c r="BQ43" s="230"/>
      <c r="BR43" s="230"/>
      <c r="BS43" s="1233" t="s">
        <v>1347</v>
      </c>
    </row>
    <row s="1954" customFormat="1" customHeight="1" ht="16.5">
      <c r="A44" s="961"/>
      <c r="B44" s="935"/>
      <c r="C44" s="961"/>
      <c r="D44" s="961"/>
      <c r="E44" s="797">
        <v>17.1</v>
      </c>
      <c r="F44" s="922" cm="1" t="str">
        <f t="array" ref="F44:F44">OFFSET(G44,-1,-1)</f>
        <v>1</v>
      </c>
      <c r="G44" s="936"/>
      <c r="H44" s="552"/>
      <c r="I44" s="552"/>
      <c r="J44" s="552"/>
      <c r="K44" s="552"/>
      <c r="L44" s="552"/>
      <c r="M44" s="552"/>
      <c r="N44" s="552"/>
      <c r="O44" s="552"/>
      <c r="P44" s="552"/>
      <c r="Q44" s="552"/>
      <c r="R44" s="552"/>
      <c r="S44" s="552"/>
      <c r="T44" s="808" cm="1" t="str">
        <f t="array" ref="T44:T44">T43</f>
        <v>true</v>
      </c>
      <c r="U44" s="961"/>
      <c r="V44" s="961"/>
      <c r="W44" s="962"/>
      <c r="X44" s="552"/>
      <c r="Y44" s="962"/>
      <c r="Z44" s="552"/>
      <c r="AA44" s="552"/>
      <c r="AB44" s="886" t="s">
        <v>756</v>
      </c>
      <c r="AC44" s="1058" t="s">
        <v>1348</v>
      </c>
      <c r="AD44" s="737"/>
      <c r="AE44" s="122"/>
      <c r="AF44" s="122"/>
      <c r="AG44" s="122"/>
      <c r="AH44" s="1077"/>
      <c r="AI44" s="1142"/>
      <c r="AJ44" s="1950">
        <f>(1+AJ37%)*(1-AJ38%)*(1+AJ39*AJ42)</f>
        <v>0.99</v>
      </c>
      <c r="AK44" s="1950">
        <f>(1+AK37%)*(1-AK38%)*(1+AK39*AK42)</f>
        <v>0.99</v>
      </c>
      <c r="AL44" s="1950">
        <f>(1+AL37%)*(1-AL38%)*(1+AL39*AL42)</f>
        <v>0.99</v>
      </c>
      <c r="AM44" s="1950">
        <f>(1+AM37%)*(1-AM38%)*(1+AM39*AM42)</f>
        <v>0.99</v>
      </c>
      <c r="AN44" s="1950">
        <f>(1+AN37%)*(1-AN38%)*(1+AN39*AN42)</f>
        <v>0.99</v>
      </c>
      <c r="AO44" s="1950">
        <f>(1+AO37%)*(1-AO38%)*(1+AO39*AO42)</f>
        <v>0.99</v>
      </c>
      <c r="AP44" s="1950">
        <f>(1+AP37%)*(1-AP38%)*(1+AP39*AP42)</f>
        <v>0.99</v>
      </c>
      <c r="AQ44" s="1950">
        <f>(1+AQ37%)*(1-AQ38%)*(1+AQ39*AQ42)</f>
        <v>0.99</v>
      </c>
      <c r="AR44" s="1950">
        <f>(1+AR37%)*(1-AR38%)*(1+AR39*AR42)</f>
        <v>0.99</v>
      </c>
      <c r="AS44" s="1950">
        <f>(1+AS37%)*(1-AS38%)*(1+AS39*AS42)</f>
        <v>0.99</v>
      </c>
      <c r="AT44" s="1950">
        <f>(1+AT37%)*(1-AT38%)*(1+AT39*AT42)</f>
        <v>0.99</v>
      </c>
      <c r="AU44" s="1950">
        <f>(1+AU37%)*(1-AU38%)*(1+AU39*AU42)</f>
        <v>0.99</v>
      </c>
      <c r="AV44" s="1950">
        <f>(1+AV37%)*(1-AV38%)*(1+AV39*AV42)</f>
        <v>0.99</v>
      </c>
      <c r="AW44" s="1950">
        <f>(1+AW37%)*(1-AW38%)*(1+AW39*AW42)</f>
        <v>0.99</v>
      </c>
      <c r="AX44" s="1950">
        <f>(1+AX37%)*(1-AX38%)*(1+AX39*AX42)</f>
        <v>0.99</v>
      </c>
      <c r="AY44" s="1950">
        <f>(1+AY37%)*(1-AY38%)*(1+AY39*AY42)</f>
        <v>0.99</v>
      </c>
      <c r="AZ44" s="1950">
        <f>(1+AZ37%)*(1-AZ38%)*(1+AZ39*AZ42)</f>
        <v>0.99</v>
      </c>
      <c r="BA44" s="1950">
        <f>(1+BA37%)*(1-BA38%)*(1+BA39*BA42)</f>
        <v>0.99</v>
      </c>
      <c r="BB44" s="1950">
        <f>(1+BB37%)*(1-BB38%)*(1+BB39*BB42)</f>
        <v>0.99</v>
      </c>
      <c r="BC44" s="1950">
        <f>(1+BC37%)*(1-BC38%)*(1+BC39*BC42)</f>
        <v>0.99</v>
      </c>
      <c r="BD44" s="1142"/>
      <c r="BE44" s="1142"/>
      <c r="BF44" s="1142"/>
      <c r="BG44" s="1142"/>
      <c r="BH44" s="1142"/>
      <c r="BI44" s="1142"/>
      <c r="BJ44" s="1142"/>
      <c r="BK44" s="1142"/>
      <c r="BL44" s="1142"/>
      <c r="BM44" s="1142"/>
      <c r="BN44" s="1719"/>
      <c r="BO44" s="1719"/>
      <c r="BP44" s="1719"/>
      <c r="BQ44" s="552"/>
      <c r="BR44" s="552"/>
      <c r="BS44" s="1233" t="s">
        <v>1349</v>
      </c>
    </row>
    <row customHeight="1" ht="9.945">
      <c r="E45" s="797">
        <v>10.2</v>
      </c>
      <c r="U45" s="179" t="s">
        <v>236</v>
      </c>
      <c r="V45" s="171" t="s">
        <v>1351</v>
      </c>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row>
    <row customHeight="1" ht="11.25" hidden="1">
      <c r="E46" s="797">
        <v>0</v>
      </c>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row>
    <row customHeight="1" ht="14.625">
      <c r="E47" s="797">
        <v>15</v>
      </c>
      <c r="AB47" s="1530" t="s">
        <v>705</v>
      </c>
      <c r="AC47" s="1530"/>
      <c r="AD47" s="1530"/>
      <c r="AE47" s="1530"/>
      <c r="AF47" s="1530"/>
      <c r="AG47" s="1530"/>
      <c r="AH47" s="1530"/>
      <c r="AI47" s="1530"/>
      <c r="AJ47" s="1530"/>
      <c r="AK47" s="1530"/>
      <c r="AL47" s="1530"/>
      <c r="AM47" s="1530"/>
      <c r="AN47" s="1530"/>
      <c r="AO47" s="1530"/>
      <c r="AP47" s="1530"/>
      <c r="AQ47" s="1530"/>
      <c r="AR47" s="1530"/>
      <c r="AS47" s="1530"/>
      <c r="AT47" s="1530"/>
      <c r="AU47" s="1530"/>
      <c r="AV47" s="1530"/>
      <c r="AW47" s="1530"/>
      <c r="AX47" s="1530"/>
      <c r="AY47" s="1530"/>
      <c r="AZ47" s="1530"/>
      <c r="BA47" s="1530"/>
      <c r="BB47" s="1530"/>
      <c r="BC47" s="1530"/>
      <c r="BD47" s="1530"/>
      <c r="BE47" s="1530"/>
      <c r="BF47" s="1530"/>
      <c r="BG47" s="1530"/>
      <c r="BH47" s="1530"/>
      <c r="BI47" s="1530"/>
      <c r="BJ47" s="1530"/>
      <c r="BK47" s="1530"/>
      <c r="BL47" s="1530"/>
      <c r="BM47" s="1530"/>
      <c r="BN47" s="1530"/>
      <c r="BO47" s="1530"/>
      <c r="BP47" s="1530"/>
    </row>
    <row customHeight="1" ht="14.625">
      <c r="E48" s="797">
        <v>15</v>
      </c>
      <c r="AA48" s="921"/>
      <c r="AB48" s="1543"/>
      <c r="AC48" s="1544"/>
      <c r="AD48" s="1544"/>
      <c r="AE48" s="1544"/>
      <c r="AF48" s="1544"/>
      <c r="AG48" s="1544"/>
      <c r="AH48" s="1544"/>
      <c r="AI48" s="1544"/>
      <c r="AJ48" s="1544"/>
      <c r="AK48" s="1544"/>
      <c r="AL48" s="1544"/>
      <c r="AM48" s="1544"/>
      <c r="AN48" s="1544"/>
      <c r="AO48" s="1544"/>
      <c r="AP48" s="1544"/>
      <c r="AQ48" s="1544"/>
      <c r="AR48" s="1544"/>
      <c r="AS48" s="1544"/>
      <c r="AT48" s="1544"/>
      <c r="AU48" s="1544"/>
      <c r="AV48" s="1544"/>
      <c r="AW48" s="1544"/>
      <c r="AX48" s="1544"/>
      <c r="AY48" s="1544"/>
      <c r="AZ48" s="1544"/>
      <c r="BA48" s="1544"/>
      <c r="BB48" s="1544"/>
      <c r="BC48" s="1544"/>
      <c r="BD48" s="1544"/>
      <c r="BE48" s="1544"/>
      <c r="BF48" s="1544"/>
      <c r="BG48" s="1544"/>
      <c r="BH48" s="1544"/>
      <c r="BI48" s="1544"/>
      <c r="BJ48" s="1544"/>
      <c r="BK48" s="1544"/>
      <c r="BL48" s="1544"/>
      <c r="BM48" s="1544"/>
      <c r="BN48" s="1544"/>
      <c r="BO48" s="1544"/>
      <c r="BP48" s="1544"/>
    </row>
    <row customHeight="1" ht="14.625" hidden="1">
      <c r="A49" s="228"/>
      <c r="B49" s="927"/>
      <c r="C49" s="228"/>
      <c r="D49" s="228"/>
      <c r="E49" s="797">
        <v>15</v>
      </c>
      <c r="F49" s="228"/>
      <c r="G49" s="230"/>
      <c r="H49" s="230"/>
      <c r="I49" s="230"/>
      <c r="J49" s="230"/>
      <c r="K49" s="230"/>
      <c r="L49" s="230"/>
      <c r="M49" s="230"/>
      <c r="N49" s="230"/>
      <c r="O49" s="230"/>
      <c r="P49" s="230"/>
      <c r="Q49" s="193"/>
      <c r="R49" s="193"/>
      <c r="S49" s="230"/>
      <c r="T49" s="808">
        <f>ROW(W49)&gt;ROW(W$49)</f>
        <v>0</v>
      </c>
      <c r="U49" s="1582"/>
      <c r="V49" s="1582"/>
      <c r="W49" s="175" t="s">
        <v>234</v>
      </c>
      <c r="X49" s="1582"/>
      <c r="Y49" s="1582"/>
      <c r="Z49" s="1582"/>
      <c r="AA49" s="917" t="s">
        <v>218</v>
      </c>
      <c r="AB49" s="1932"/>
      <c r="AC49" s="1544"/>
      <c r="AD49" s="1544"/>
      <c r="AE49" s="1544"/>
      <c r="AF49" s="1544"/>
      <c r="AG49" s="1544"/>
      <c r="AH49" s="1544"/>
      <c r="AI49" s="1544"/>
      <c r="AJ49" s="1544"/>
      <c r="AK49" s="1544"/>
      <c r="AL49" s="1544"/>
      <c r="AM49" s="1544"/>
      <c r="AN49" s="1544"/>
      <c r="AO49" s="1544"/>
      <c r="AP49" s="1544"/>
      <c r="AQ49" s="1544"/>
      <c r="AR49" s="1544"/>
      <c r="AS49" s="1544"/>
      <c r="AT49" s="1544"/>
      <c r="AU49" s="1544"/>
      <c r="AV49" s="1544"/>
      <c r="AW49" s="1544"/>
      <c r="AX49" s="1544"/>
      <c r="AY49" s="1544"/>
      <c r="AZ49" s="1544"/>
      <c r="BA49" s="1544"/>
      <c r="BB49" s="1544"/>
      <c r="BC49" s="1544"/>
      <c r="BD49" s="1544"/>
      <c r="BE49" s="1544"/>
      <c r="BF49" s="1544"/>
      <c r="BG49" s="1544"/>
      <c r="BH49" s="1544"/>
      <c r="BI49" s="1544"/>
      <c r="BJ49" s="1544"/>
      <c r="BK49" s="1544"/>
      <c r="BL49" s="1544"/>
      <c r="BM49" s="1544"/>
      <c r="BN49" s="1544"/>
      <c r="BO49" s="1544"/>
      <c r="BP49" s="1544"/>
      <c r="BQ49" s="230"/>
      <c r="BR49" s="230"/>
      <c r="BS49" s="1233"/>
    </row>
    <row customHeight="1" ht="14.625">
      <c r="E50" s="797">
        <v>15</v>
      </c>
      <c r="W50" s="171" t="s">
        <v>235</v>
      </c>
      <c r="AA50" s="213"/>
      <c r="AB50" s="1478" t="s">
        <v>706</v>
      </c>
      <c r="AC50" s="1479"/>
      <c r="AD50" s="383"/>
      <c r="AE50" s="383"/>
      <c r="AF50" s="383"/>
      <c r="AG50" s="383"/>
      <c r="AH50" s="383"/>
      <c r="AI50" s="383"/>
      <c r="AJ50" s="383"/>
      <c r="AK50" s="383"/>
      <c r="AL50" s="383"/>
      <c r="AM50" s="383"/>
      <c r="AN50" s="383"/>
      <c r="AO50" s="383"/>
      <c r="AP50" s="383"/>
      <c r="AQ50" s="383"/>
      <c r="AR50" s="383"/>
      <c r="AS50" s="383"/>
      <c r="AT50" s="383"/>
      <c r="AU50" s="383"/>
      <c r="AV50" s="383"/>
      <c r="AW50" s="383"/>
      <c r="AX50" s="383"/>
      <c r="AY50" s="383"/>
      <c r="AZ50" s="383"/>
      <c r="BA50" s="383"/>
      <c r="BB50" s="383"/>
      <c r="BC50" s="383"/>
      <c r="BD50" s="383"/>
      <c r="BE50" s="383"/>
      <c r="BF50" s="383"/>
      <c r="BG50" s="383"/>
      <c r="BH50" s="383"/>
      <c r="BI50" s="383"/>
      <c r="BJ50" s="383"/>
      <c r="BK50" s="383"/>
      <c r="BL50" s="383"/>
      <c r="BM50" s="383"/>
      <c r="BN50" s="383"/>
      <c r="BO50" s="383"/>
      <c r="BP50" s="350"/>
    </row>
    <row customHeight="1" ht="11.25">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Q51" s="230"/>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859858-A727-612D-DDFF-8A61402AD1FD}"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6" style="230" width="3.57421875" hidden="1" customWidth="1"/>
    <col min="17" max="18" style="193" width="3.57421875" hidden="1" customWidth="1"/>
    <col min="19" max="19" style="230" width="3.57421875" hidden="1" customWidth="1"/>
    <col min="20" max="20" style="1582" width="8.00390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235"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372</v>
      </c>
      <c r="Z1" s="808" t="s">
        <v>93</v>
      </c>
      <c r="AA1" s="819" t="s">
        <v>90</v>
      </c>
      <c r="AB1" s="819" t="s">
        <v>92</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84" t="s">
        <v>373</v>
      </c>
    </row>
    <row s="927" customFormat="1" customHeight="1" ht="12" hidden="1">
      <c r="B2" s="910" t="s">
        <v>15</v>
      </c>
      <c r="G2" s="930"/>
      <c r="H2" s="930"/>
      <c r="I2" s="930"/>
      <c r="J2" s="930"/>
      <c r="K2" s="930"/>
      <c r="L2" s="930"/>
      <c r="M2" s="930"/>
      <c r="N2" s="930"/>
      <c r="O2" s="930"/>
      <c r="P2" s="930"/>
      <c r="Q2" s="930"/>
      <c r="R2" s="930"/>
      <c r="S2" s="93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76"/>
    </row>
    <row s="228" customFormat="1" customHeight="1" ht="12" hidden="1">
      <c r="B3" s="788"/>
      <c r="E3" s="788"/>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5"/>
    </row>
    <row s="228" customFormat="1" customHeight="1" ht="12" hidden="1">
      <c r="B4" s="788"/>
      <c r="E4" s="788"/>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5"/>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12.63</v>
      </c>
      <c r="AF5" s="797">
        <v>12.63</v>
      </c>
      <c r="AG5" s="797">
        <v>12.63</v>
      </c>
      <c r="AH5" s="797">
        <v>19.13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76"/>
    </row>
    <row s="228" customFormat="1" customHeight="1" ht="12" hidden="1">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5"/>
    </row>
    <row customHeight="1" ht="12" hidden="1">
      <c r="F7" s="230"/>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13"/>
      <c r="BJ7" s="213"/>
      <c r="BK7" s="213"/>
      <c r="BL7" s="213"/>
      <c r="BM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234" customFormat="1" customHeight="1" ht="12" hidden="1">
      <c r="A9" s="1161" t="s">
        <v>437</v>
      </c>
      <c r="B9" s="1154"/>
      <c r="E9" s="1154"/>
      <c r="Q9" s="1212"/>
      <c r="R9" s="1212"/>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5"/>
    </row>
    <row s="1234" customFormat="1" customHeight="1" ht="12" hidden="1">
      <c r="A10" s="1161" t="s">
        <v>438</v>
      </c>
      <c r="B10" s="1154"/>
      <c r="E10" s="1154"/>
      <c r="Q10" s="1212"/>
      <c r="R10" s="1212"/>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row>
    <row s="1234" customFormat="1" customHeight="1" ht="12" hidden="1">
      <c r="A11" s="1161" t="s">
        <v>439</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28" customFormat="1" customHeight="1" ht="12" hidden="1">
      <c r="B12" s="788"/>
      <c r="E12" s="797"/>
      <c r="G12" s="230"/>
      <c r="H12" s="230"/>
      <c r="I12" s="230"/>
      <c r="J12" s="230"/>
      <c r="K12" s="230"/>
      <c r="L12" s="230"/>
      <c r="M12" s="230"/>
      <c r="N12" s="230"/>
      <c r="O12" s="230"/>
      <c r="P12" s="230"/>
      <c r="Q12" s="193"/>
      <c r="R12" s="193"/>
      <c r="S12" s="230"/>
      <c r="T12" s="175"/>
      <c r="U12" s="175"/>
      <c r="V12" s="175"/>
      <c r="W12" s="175"/>
      <c r="X12" s="175"/>
      <c r="Y12" s="175"/>
      <c r="Z12" s="175"/>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235"/>
    </row>
    <row s="228" customFormat="1" customHeight="1" ht="12" hidden="1">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235"/>
    </row>
    <row s="228" customFormat="1" customHeight="1" ht="12" hidden="1">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235"/>
    </row>
    <row s="228" customFormat="1" customHeight="1" ht="12" hidden="1">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235"/>
    </row>
    <row s="228" customFormat="1" customHeight="1" ht="12" hidden="1">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235"/>
    </row>
    <row s="228" customFormat="1" customHeight="1" ht="12" hidden="1">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235"/>
    </row>
    <row s="228" customFormat="1" customHeight="1" ht="12" hidden="1">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235"/>
    </row>
    <row s="228" customFormat="1" customHeight="1" ht="12" hidden="1">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5"/>
    </row>
    <row s="228" customFormat="1" customHeight="1" ht="12" hidden="1">
      <c r="B20" s="788"/>
      <c r="E20" s="797"/>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5"/>
    </row>
    <row customHeight="1" ht="14.625">
      <c r="E21" s="797">
        <v>15</v>
      </c>
      <c r="AA21" s="820"/>
      <c r="AB21" s="230"/>
      <c r="AC21" s="403" cm="1" t="str">
        <f t="array" ref="AC21:AC21">tpl_title</f>
        <v>Кемеровская область / 2026 / ООО "ВЕЛЕС" (ИНН:4212036655,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83"/>
      <c r="D22" s="183"/>
      <c r="E22" s="797">
        <v>20.1</v>
      </c>
      <c r="F22" s="183"/>
      <c r="Q22" s="193"/>
      <c r="R22" s="193"/>
      <c r="T22" s="179"/>
      <c r="U22" s="179"/>
      <c r="V22" s="179"/>
      <c r="W22" s="179"/>
      <c r="X22" s="179"/>
      <c r="Y22" s="179"/>
      <c r="Z22" s="179"/>
      <c r="AB22" s="392" t="s">
        <v>59</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192"/>
    </row>
    <row s="1535" customFormat="1" customHeight="1" ht="9.945">
      <c r="A23" s="183"/>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92"/>
    </row>
    <row s="229" customFormat="1" customHeight="1" ht="24.180000000000003">
      <c r="A24" s="232"/>
      <c r="B24" s="792"/>
      <c r="C24" s="232"/>
      <c r="D24" s="232"/>
      <c r="E24" s="803">
        <v>24.8</v>
      </c>
      <c r="F24" s="232"/>
      <c r="Q24" s="932"/>
      <c r="R24" s="932"/>
      <c r="T24" s="171"/>
      <c r="U24" s="171"/>
      <c r="V24" s="171"/>
      <c r="W24" s="171"/>
      <c r="X24" s="171"/>
      <c r="Y24" s="171"/>
      <c r="Z24" s="171"/>
      <c r="AB24" s="1547" t="s">
        <v>386</v>
      </c>
      <c r="AC24" s="1547" t="s">
        <v>440</v>
      </c>
      <c r="AD24" s="1547" t="s">
        <v>441</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1290</v>
      </c>
      <c r="BO24" s="1546" t="s">
        <v>595</v>
      </c>
      <c r="BP24" s="1546" t="s">
        <v>1291</v>
      </c>
      <c r="BS24" s="1235"/>
    </row>
    <row s="229" customFormat="1" customHeight="1" ht="46.1175">
      <c r="A25" s="232"/>
      <c r="B25" s="792"/>
      <c r="C25" s="232"/>
      <c r="D25" s="232"/>
      <c r="E25" s="803">
        <v>47.3</v>
      </c>
      <c r="F25" s="232"/>
      <c r="Q25" s="932"/>
      <c r="R25" s="932"/>
      <c r="T25" s="171"/>
      <c r="U25" s="171"/>
      <c r="V25" s="171"/>
      <c r="W25" s="171"/>
      <c r="X25" s="171"/>
      <c r="Y25" s="171"/>
      <c r="Z25" s="171"/>
      <c r="AB25" s="1547"/>
      <c r="AC25" s="1547"/>
      <c r="AD25" s="1547"/>
      <c r="AE25" s="169" t="s">
        <v>402</v>
      </c>
      <c r="AF25" s="1358" t="s">
        <v>596</v>
      </c>
      <c r="AG25" s="169" t="s">
        <v>597</v>
      </c>
      <c r="AH25" s="261" t="s">
        <v>1292</v>
      </c>
      <c r="AI25" s="169" t="s">
        <v>402</v>
      </c>
      <c r="AJ25" s="1357" t="s">
        <v>403</v>
      </c>
      <c r="AK25" s="1357" t="s">
        <v>403</v>
      </c>
      <c r="AL25" s="1357" t="s">
        <v>403</v>
      </c>
      <c r="AM25" s="1357" t="s">
        <v>403</v>
      </c>
      <c r="AN25" s="1357" t="s">
        <v>403</v>
      </c>
      <c r="AO25" s="1357" t="s">
        <v>403</v>
      </c>
      <c r="AP25" s="1357" t="s">
        <v>403</v>
      </c>
      <c r="AQ25" s="1357" t="s">
        <v>403</v>
      </c>
      <c r="AR25" s="1357" t="s">
        <v>403</v>
      </c>
      <c r="AS25" s="1357" t="s">
        <v>403</v>
      </c>
      <c r="AT25" s="413" t="s">
        <v>402</v>
      </c>
      <c r="AU25" s="413" t="s">
        <v>402</v>
      </c>
      <c r="AV25" s="413" t="s">
        <v>402</v>
      </c>
      <c r="AW25" s="413" t="s">
        <v>402</v>
      </c>
      <c r="AX25" s="413" t="s">
        <v>402</v>
      </c>
      <c r="AY25" s="413" t="s">
        <v>402</v>
      </c>
      <c r="AZ25" s="413" t="s">
        <v>402</v>
      </c>
      <c r="BA25" s="413" t="s">
        <v>402</v>
      </c>
      <c r="BB25" s="413" t="s">
        <v>402</v>
      </c>
      <c r="BC25" s="413" t="s">
        <v>402</v>
      </c>
      <c r="BD25" s="1546" t="s">
        <v>1293</v>
      </c>
      <c r="BE25" s="1546"/>
      <c r="BF25" s="1546"/>
      <c r="BG25" s="1546"/>
      <c r="BH25" s="1546"/>
      <c r="BI25" s="1546"/>
      <c r="BJ25" s="1546"/>
      <c r="BK25" s="1546"/>
      <c r="BL25" s="1546"/>
      <c r="BM25" s="1546"/>
      <c r="BN25" s="1546"/>
      <c r="BO25" s="1546"/>
      <c r="BP25" s="1546"/>
      <c r="BS25" s="1235"/>
    </row>
    <row s="229" customFormat="1" customHeight="1" ht="18.75" hidden="1">
      <c r="A26" s="232"/>
      <c r="B26" s="792"/>
      <c r="C26" s="232"/>
      <c r="D26" s="232"/>
      <c r="E26" s="803">
        <v>0</v>
      </c>
      <c r="F26" s="232"/>
      <c r="Q26" s="932"/>
      <c r="R26" s="932"/>
      <c r="T26" s="171"/>
      <c r="U26" s="171"/>
      <c r="V26" s="171"/>
      <c r="W26" s="171"/>
      <c r="X26" s="171"/>
      <c r="Y26" s="171"/>
      <c r="Z26" s="171"/>
      <c r="AB26" s="712"/>
      <c r="AC26" s="712"/>
      <c r="AD26" s="712"/>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235"/>
    </row>
    <row s="220" customFormat="1" customHeight="1" ht="18.330000000000002" hidden="1">
      <c r="E27" s="797">
        <v>18.8</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T27" s="808">
        <f>X27&gt;0</f>
        <v>0</v>
      </c>
      <c r="V27" s="175" t="s">
        <v>310</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184"/>
    </row>
    <row s="220" customFormat="1" customHeight="1" ht="13.747500000000002" hidden="1">
      <c r="E28" s="797">
        <v>14.1</v>
      </c>
      <c r="F28" s="922" cm="1" t="str">
        <f t="array" ref="F28:F28">OFFSET(G28,-1,-1)</f>
        <v>0</v>
      </c>
      <c r="G28" s="739" t="s">
        <v>1352</v>
      </c>
      <c r="K28" s="230" t="str">
        <f>F28&amp;"komm"</f>
        <v>0komm</v>
      </c>
      <c r="L28" s="229" cm="1" t="str">
        <f t="array" ref="L28:L28">BO28</f>
        <v>0</v>
      </c>
      <c r="T28" s="808" cm="1" t="str">
        <f t="array" ref="T28:T28">T27</f>
        <v>false</v>
      </c>
      <c r="AB28" s="1548" t="s">
        <v>1353</v>
      </c>
      <c r="AC28" s="1549"/>
      <c r="AD28" s="305" t="s">
        <v>810</v>
      </c>
      <c r="AE28" s="309" cm="1" t="str">
        <f t="array" ref="AE28:AE28">AE46</f>
        <v>0</v>
      </c>
      <c r="AF28" s="309" cm="1" t="str">
        <f t="array" ref="AF28:AF28">AF46</f>
        <v>0</v>
      </c>
      <c r="AG28" s="309" cm="1" t="str">
        <f t="array" ref="AG28:AG28">AG46</f>
        <v>0</v>
      </c>
      <c r="AH28" s="309" cm="1" t="str">
        <f t="array" ref="AH28:AH28">AH46</f>
        <v>0</v>
      </c>
      <c r="AI28" s="309" cm="1" t="str">
        <f t="array" ref="AI28:AI28">AI46</f>
        <v>0</v>
      </c>
      <c r="AJ28" s="309" cm="1" t="str">
        <f t="array" ref="AJ28:AJ28">AJ46</f>
        <v>0</v>
      </c>
      <c r="AK28" s="309" cm="1" t="str">
        <f t="array" ref="AK28:AK28">AK46</f>
        <v>0</v>
      </c>
      <c r="AL28" s="309" cm="1" t="str">
        <f t="array" ref="AL28:AL28">AL46</f>
        <v>0</v>
      </c>
      <c r="AM28" s="309" cm="1" t="str">
        <f t="array" ref="AM28:AM28">AM46</f>
        <v>0</v>
      </c>
      <c r="AN28" s="309" cm="1" t="str">
        <f t="array" ref="AN28:AN28">AN46</f>
        <v>0</v>
      </c>
      <c r="AO28" s="309" cm="1" t="str">
        <f t="array" ref="AO28:AO28">AO46</f>
        <v>0</v>
      </c>
      <c r="AP28" s="309" cm="1" t="str">
        <f t="array" ref="AP28:AP28">AP46</f>
        <v>0</v>
      </c>
      <c r="AQ28" s="309" cm="1" t="str">
        <f t="array" ref="AQ28:AQ28">AQ46</f>
        <v>0</v>
      </c>
      <c r="AR28" s="309" cm="1" t="str">
        <f t="array" ref="AR28:AR28">AR46</f>
        <v>0</v>
      </c>
      <c r="AS28" s="309" cm="1" t="str">
        <f t="array" ref="AS28:AS28">AS46</f>
        <v>0</v>
      </c>
      <c r="AT28" s="309" cm="1" t="str">
        <f t="array" ref="AT28:AT28">AT46</f>
        <v>0</v>
      </c>
      <c r="AU28" s="309" cm="1" t="str">
        <f t="array" ref="AU28:AU28">AU46</f>
        <v>0</v>
      </c>
      <c r="AV28" s="309" cm="1" t="str">
        <f t="array" ref="AV28:AV28">AV46</f>
        <v>0</v>
      </c>
      <c r="AW28" s="309" cm="1" t="str">
        <f t="array" ref="AW28:AW28">AW46</f>
        <v>0</v>
      </c>
      <c r="AX28" s="309" cm="1" t="str">
        <f t="array" ref="AX28:AX28">AX46</f>
        <v>0</v>
      </c>
      <c r="AY28" s="309" cm="1" t="str">
        <f t="array" ref="AY28:AY28">AY46</f>
        <v>0</v>
      </c>
      <c r="AZ28" s="309" cm="1" t="str">
        <f t="array" ref="AZ28:AZ28">AZ46</f>
        <v>0</v>
      </c>
      <c r="BA28" s="309" cm="1" t="str">
        <f t="array" ref="BA28:BA28">BA46</f>
        <v>0</v>
      </c>
      <c r="BB28" s="309" cm="1" t="str">
        <f t="array" ref="BB28:BB28">BB46</f>
        <v>0</v>
      </c>
      <c r="BC28" s="309" cm="1" t="str">
        <f t="array" ref="BC28:BC28">BC46</f>
        <v>0</v>
      </c>
      <c r="BD28" s="309" cm="1" t="str">
        <f t="array" ref="BD28:BD28">BD46</f>
        <v>0</v>
      </c>
      <c r="BE28" s="309" cm="1" t="str">
        <f t="array" ref="BE28:BE28">BE46</f>
        <v>0</v>
      </c>
      <c r="BF28" s="309" cm="1" t="str">
        <f t="array" ref="BF28:BF28">BF46</f>
        <v>0</v>
      </c>
      <c r="BG28" s="309" cm="1" t="str">
        <f t="array" ref="BG28:BG28">BG46</f>
        <v>0</v>
      </c>
      <c r="BH28" s="309" cm="1" t="str">
        <f t="array" ref="BH28:BH28">BH46</f>
        <v>0</v>
      </c>
      <c r="BI28" s="309" cm="1" t="str">
        <f t="array" ref="BI28:BI28">BI46</f>
        <v>0</v>
      </c>
      <c r="BJ28" s="309" cm="1" t="str">
        <f t="array" ref="BJ28:BJ28">BJ46</f>
        <v>0</v>
      </c>
      <c r="BK28" s="309" cm="1" t="str">
        <f t="array" ref="BK28:BK28">BK46</f>
        <v>0</v>
      </c>
      <c r="BL28" s="309" cm="1" t="str">
        <f t="array" ref="BL28:BL28">BL46</f>
        <v>0</v>
      </c>
      <c r="BM28" s="309" cm="1" t="str">
        <f t="array" ref="BM28:BM28">BM46</f>
        <v>0</v>
      </c>
      <c r="BN28" s="73"/>
      <c r="BO28" s="73"/>
      <c r="BP28" s="73"/>
      <c r="BS28" s="1184" t="s">
        <v>1354</v>
      </c>
    </row>
    <row customHeight="1" ht="27.105" hidden="1">
      <c r="E29" s="797">
        <v>27.8</v>
      </c>
      <c r="F29" s="922" cm="1" t="str">
        <f t="array" ref="F29:F29">OFFSET(G29,-1,-1)</f>
        <v>0</v>
      </c>
      <c r="G29" s="193" t="s">
        <v>1183</v>
      </c>
      <c r="T29" s="808" cm="1" t="str">
        <f t="array" ref="T29:T29">T28</f>
        <v>false</v>
      </c>
      <c r="AB29" s="160" t="s">
        <v>449</v>
      </c>
      <c r="AC29" s="167" t="s">
        <v>47</v>
      </c>
      <c r="AD29" s="160" t="s">
        <v>810</v>
      </c>
      <c r="AE29" s="615">
        <f>_xlfn.SUMIFS('Покупка услуг'!AE$26:AE$65,'Покупка услуг'!$F$26:$F$65,$F29,'Покупка услуг'!$G$26:$G$65,$G29)</f>
        <v>0</v>
      </c>
      <c r="AF29" s="615">
        <f>_xlfn.SUMIFS('Покупка услуг'!AF$26:AF$65,'Покупка услуг'!$F$26:$F$65,$F29,'Покупка услуг'!$G$26:$G$65,$G29)</f>
        <v>0</v>
      </c>
      <c r="AG29" s="124">
        <f>_xlfn.SUMIFS('Покупка услуг'!AG$26:AG$65,'Покупка услуг'!$F$26:$F$65,$F29,'Покупка услуг'!$G$26:$G$65,$G29)</f>
        <v>0</v>
      </c>
      <c r="AH29" s="310">
        <f>AG29-AF29</f>
        <v>0</v>
      </c>
      <c r="AI29" s="615">
        <f>_xlfn.SUMIFS('Покупка услуг'!AH$26:AH$65,'Покупка услуг'!$F$26:$F$65,$F29,'Покупка услуг'!$G$26:$G$65,$G29)</f>
        <v>0</v>
      </c>
      <c r="AJ29" s="615">
        <f>_xlfn.SUMIFS('Покупка услуг'!AI$26:AI$65,'Покупка услуг'!$F$26:$F$65,$F29,'Покупка услуг'!$G$26:$G$65,$G29)</f>
        <v>0</v>
      </c>
      <c r="AK29" s="615">
        <f>_xlfn.SUMIFS('Покупка услуг'!AJ$26:AJ$65,'Покупка услуг'!$F$26:$F$65,$F29,'Покупка услуг'!$G$26:$G$65,$G29)</f>
        <v>0</v>
      </c>
      <c r="AL29" s="615">
        <f>_xlfn.SUMIFS('Покупка услуг'!AK$26:AK$65,'Покупка услуг'!$F$26:$F$65,$F29,'Покупка услуг'!$G$26:$G$65,$G29)</f>
        <v>0</v>
      </c>
      <c r="AM29" s="615">
        <f>_xlfn.SUMIFS('Покупка услуг'!AL$26:AL$65,'Покупка услуг'!$F$26:$F$65,$F29,'Покупка услуг'!$G$26:$G$65,$G29)</f>
        <v>0</v>
      </c>
      <c r="AN29" s="615">
        <f>_xlfn.SUMIFS('Покупка услуг'!AM$26:AM$65,'Покупка услуг'!$F$26:$F$65,$F29,'Покупка услуг'!$G$26:$G$65,$G29)</f>
        <v>0</v>
      </c>
      <c r="AO29" s="615">
        <f>_xlfn.SUMIFS('Покупка услуг'!AN$26:AN$65,'Покупка услуг'!$F$26:$F$65,$F29,'Покупка услуг'!$G$26:$G$65,$G29)</f>
        <v>0</v>
      </c>
      <c r="AP29" s="615">
        <f>_xlfn.SUMIFS('Покупка услуг'!AO$26:AO$65,'Покупка услуг'!$F$26:$F$65,$F29,'Покупка услуг'!$G$26:$G$65,$G29)</f>
        <v>0</v>
      </c>
      <c r="AQ29" s="615">
        <f>_xlfn.SUMIFS('Покупка услуг'!AP$26:AP$65,'Покупка услуг'!$F$26:$F$65,$F29,'Покупка услуг'!$G$26:$G$65,$G29)</f>
        <v>0</v>
      </c>
      <c r="AR29" s="615">
        <f>_xlfn.SUMIFS('Покупка услуг'!AQ$26:AQ$65,'Покупка услуг'!$F$26:$F$65,$F29,'Покупка услуг'!$G$26:$G$65,$G29)</f>
        <v>0</v>
      </c>
      <c r="AS29" s="615">
        <f>_xlfn.SUMIFS('Покупка услуг'!AR$26:AR$65,'Покупка услуг'!$F$26:$F$65,$F29,'Покупка услуг'!$G$26:$G$65,$G29)</f>
        <v>0</v>
      </c>
      <c r="AT29" s="615">
        <f>_xlfn.SUMIFS('Покупка услуг'!AS$26:AS$65,'Покупка услуг'!$F$26:$F$65,$F29,'Покупка услуг'!$G$26:$G$65,$G29)</f>
        <v>0</v>
      </c>
      <c r="AU29" s="615">
        <f>_xlfn.SUMIFS('Покупка услуг'!AT$26:AT$65,'Покупка услуг'!$F$26:$F$65,$F29,'Покупка услуг'!$G$26:$G$65,$G29)</f>
        <v>0</v>
      </c>
      <c r="AV29" s="615">
        <f>_xlfn.SUMIFS('Покупка услуг'!AU$26:AU$65,'Покупка услуг'!$F$26:$F$65,$F29,'Покупка услуг'!$G$26:$G$65,$G29)</f>
        <v>0</v>
      </c>
      <c r="AW29" s="615">
        <f>_xlfn.SUMIFS('Покупка услуг'!AV$26:AV$65,'Покупка услуг'!$F$26:$F$65,$F29,'Покупка услуг'!$G$26:$G$65,$G29)</f>
        <v>0</v>
      </c>
      <c r="AX29" s="615">
        <f>_xlfn.SUMIFS('Покупка услуг'!AW$26:AW$65,'Покупка услуг'!$F$26:$F$65,$F29,'Покупка услуг'!$G$26:$G$65,$G29)</f>
        <v>0</v>
      </c>
      <c r="AY29" s="615">
        <f>_xlfn.SUMIFS('Покупка услуг'!AX$26:AX$65,'Покупка услуг'!$F$26:$F$65,$F29,'Покупка услуг'!$G$26:$G$65,$G29)</f>
        <v>0</v>
      </c>
      <c r="AZ29" s="615">
        <f>_xlfn.SUMIFS('Покупка услуг'!AY$26:AY$65,'Покупка услуг'!$F$26:$F$65,$F29,'Покупка услуг'!$G$26:$G$65,$G29)</f>
        <v>0</v>
      </c>
      <c r="BA29" s="615">
        <f>_xlfn.SUMIFS('Покупка услуг'!AZ$26:AZ$65,'Покупка услуг'!$F$26:$F$65,$F29,'Покупка услуг'!$G$26:$G$65,$G29)</f>
        <v>0</v>
      </c>
      <c r="BB29" s="615">
        <f>_xlfn.SUMIFS('Покупка услуг'!BA$26:BA$65,'Покупка услуг'!$F$26:$F$65,$F29,'Покупка услуг'!$G$26:$G$65,$G29)</f>
        <v>0</v>
      </c>
      <c r="BC29" s="615">
        <f>_xlfn.SUMIFS('Покупка услуг'!BB$26:BB$65,'Покупка услуг'!$F$26:$F$65,$F29,'Покупка услуг'!$G$26:$G$65,$G29)</f>
        <v>0</v>
      </c>
      <c r="BD29" s="310">
        <f>IF(AI29=0,0,(AT29-AI29)/AI29*100)</f>
        <v>0</v>
      </c>
      <c r="BE29" s="310">
        <f>IF(AT29=0,0,(AU29-AT29)/AT29*100)</f>
        <v>0</v>
      </c>
      <c r="BF29" s="310">
        <f>IF(AU29=0,0,(AV29-AU29)/AU29*100)</f>
        <v>0</v>
      </c>
      <c r="BG29" s="310">
        <f>IF(AV29=0,0,(AW29-AV29)/AV29*100)</f>
        <v>0</v>
      </c>
      <c r="BH29" s="310">
        <f>IF(AW29=0,0,(AX29-AW29)/AW29*100)</f>
        <v>0</v>
      </c>
      <c r="BI29" s="310">
        <f>IF(AX29=0,0,(AY29-AX29)/AX29*100)</f>
        <v>0</v>
      </c>
      <c r="BJ29" s="310">
        <f>IF(AY29=0,0,(AZ29-AY29)/AY29*100)</f>
        <v>0</v>
      </c>
      <c r="BK29" s="310">
        <f>IF(AZ29=0,0,(BA29-AZ29)/AZ29*100)</f>
        <v>0</v>
      </c>
      <c r="BL29" s="310">
        <f>IF(BA29=0,0,(BB29-BA29)/BA29*100)</f>
        <v>0</v>
      </c>
      <c r="BM29" s="310">
        <f>IF(BB29=0,0,(BC29-BB29)/BB29*100)</f>
        <v>0</v>
      </c>
      <c r="BN29" s="73"/>
      <c r="BO29" s="73"/>
      <c r="BP29" s="73"/>
      <c r="BS29" s="1184" t="s">
        <v>1355</v>
      </c>
    </row>
    <row customHeight="1" ht="14.625" hidden="1">
      <c r="E30" s="797">
        <v>15</v>
      </c>
      <c r="F30" s="922" cm="1" t="str">
        <f t="array" ref="F30:F30">OFFSET(G30,-1,-1)</f>
        <v>0</v>
      </c>
      <c r="G30" s="739" t="s">
        <v>1159</v>
      </c>
      <c r="T30" s="808" cm="1" t="str">
        <f t="array" ref="T30:T30">T29</f>
        <v>false</v>
      </c>
      <c r="AB30" s="160" t="s">
        <v>935</v>
      </c>
      <c r="AC30" s="167" t="s">
        <v>1356</v>
      </c>
      <c r="AD30" s="160" t="s">
        <v>810</v>
      </c>
      <c r="AE30" s="310">
        <f>_xlfn.SUMIFS(Аренда!AE$26:AE$51,Аренда!$F$26:$F$51,$F30,Аренда!$G$26:$G$51,$G30)</f>
        <v>0</v>
      </c>
      <c r="AF30" s="310">
        <f>_xlfn.SUMIFS(Аренда!AF$26:AF$51,Аренда!$F$26:$F$51,$F30,Аренда!$G$26:$G$51,$G30)</f>
        <v>0</v>
      </c>
      <c r="AG30" s="98">
        <f>_xlfn.SUMIFS(Аренда!AG$26:AG$51,Аренда!$F$26:$F$51,$F30,Аренда!$G$26:$G$51,$G30)</f>
        <v>0</v>
      </c>
      <c r="AH30" s="310">
        <f>AG30-AF30</f>
        <v>0</v>
      </c>
      <c r="AI30" s="310">
        <f>_xlfn.SUMIFS(Аренда!AH$26:AH$51,Аренда!$F$26:$F$51,$F30,Аренда!$G$26:$G$51,$G30)</f>
        <v>0</v>
      </c>
      <c r="AJ30" s="310">
        <f>_xlfn.SUMIFS(Аренда!AI$26:AI$51,Аренда!$F$26:$F$51,$F30,Аренда!$G$26:$G$51,$G30)</f>
        <v>0</v>
      </c>
      <c r="AK30" s="310">
        <f>_xlfn.SUMIFS(Аренда!AJ$26:AJ$51,Аренда!$F$26:$F$51,$F30,Аренда!$G$26:$G$51,$G30)</f>
        <v>0</v>
      </c>
      <c r="AL30" s="310">
        <f>_xlfn.SUMIFS(Аренда!AK$26:AK$51,Аренда!$F$26:$F$51,$F30,Аренда!$G$26:$G$51,$G30)</f>
        <v>0</v>
      </c>
      <c r="AM30" s="310">
        <f>_xlfn.SUMIFS(Аренда!AL$26:AL$51,Аренда!$F$26:$F$51,$F30,Аренда!$G$26:$G$51,$G30)</f>
        <v>0</v>
      </c>
      <c r="AN30" s="310">
        <f>_xlfn.SUMIFS(Аренда!AM$26:AM$51,Аренда!$F$26:$F$51,$F30,Аренда!$G$26:$G$51,$G30)</f>
        <v>0</v>
      </c>
      <c r="AO30" s="310">
        <f>_xlfn.SUMIFS(Аренда!AN$26:AN$51,Аренда!$F$26:$F$51,$F30,Аренда!$G$26:$G$51,$G30)</f>
        <v>0</v>
      </c>
      <c r="AP30" s="310">
        <f>_xlfn.SUMIFS(Аренда!AO$26:AO$51,Аренда!$F$26:$F$51,$F30,Аренда!$G$26:$G$51,$G30)</f>
        <v>0</v>
      </c>
      <c r="AQ30" s="310">
        <f>_xlfn.SUMIFS(Аренда!AP$26:AP$51,Аренда!$F$26:$F$51,$F30,Аренда!$G$26:$G$51,$G30)</f>
        <v>0</v>
      </c>
      <c r="AR30" s="310">
        <f>_xlfn.SUMIFS(Аренда!AQ$26:AQ$51,Аренда!$F$26:$F$51,$F30,Аренда!$G$26:$G$51,$G30)</f>
        <v>0</v>
      </c>
      <c r="AS30" s="310">
        <f>_xlfn.SUMIFS(Аренда!AR$26:AR$51,Аренда!$F$26:$F$51,$F30,Аренда!$G$26:$G$51,$G30)</f>
        <v>0</v>
      </c>
      <c r="AT30" s="310">
        <f>_xlfn.SUMIFS(Аренда!AS$26:AS$51,Аренда!$F$26:$F$51,$F30,Аренда!$G$26:$G$51,$G30)</f>
        <v>0</v>
      </c>
      <c r="AU30" s="310">
        <f>_xlfn.SUMIFS(Аренда!AT$26:AT$51,Аренда!$F$26:$F$51,$F30,Аренда!$G$26:$G$51,$G30)</f>
        <v>0</v>
      </c>
      <c r="AV30" s="310">
        <f>_xlfn.SUMIFS(Аренда!AU$26:AU$51,Аренда!$F$26:$F$51,$F30,Аренда!$G$26:$G$51,$G30)</f>
        <v>0</v>
      </c>
      <c r="AW30" s="310">
        <f>_xlfn.SUMIFS(Аренда!AV$26:AV$51,Аренда!$F$26:$F$51,$F30,Аренда!$G$26:$G$51,$G30)</f>
        <v>0</v>
      </c>
      <c r="AX30" s="310">
        <f>_xlfn.SUMIFS(Аренда!AW$26:AW$51,Аренда!$F$26:$F$51,$F30,Аренда!$G$26:$G$51,$G30)</f>
        <v>0</v>
      </c>
      <c r="AY30" s="310">
        <f>_xlfn.SUMIFS(Аренда!AX$26:AX$51,Аренда!$F$26:$F$51,$F30,Аренда!$G$26:$G$51,$G30)</f>
        <v>0</v>
      </c>
      <c r="AZ30" s="310">
        <f>_xlfn.SUMIFS(Аренда!AY$26:AY$51,Аренда!$F$26:$F$51,$F30,Аренда!$G$26:$G$51,$G30)</f>
        <v>0</v>
      </c>
      <c r="BA30" s="310">
        <f>_xlfn.SUMIFS(Аренда!AZ$26:AZ$51,Аренда!$F$26:$F$51,$F30,Аренда!$G$26:$G$51,$G30)</f>
        <v>0</v>
      </c>
      <c r="BB30" s="310">
        <f>_xlfn.SUMIFS(Аренда!BA$26:BA$51,Аренда!$F$26:$F$51,$F30,Аренда!$G$26:$G$51,$G30)</f>
        <v>0</v>
      </c>
      <c r="BC30" s="310">
        <f>_xlfn.SUMIFS(Аренда!BB$26:BB$51,Аренда!$F$26:$F$51,$F30,Аренда!$G$26:$G$51,$G30)</f>
        <v>0</v>
      </c>
      <c r="BD30" s="310">
        <f>IF(AI30=0,0,(AT30-AI30)/AI30*100)</f>
        <v>0</v>
      </c>
      <c r="BE30" s="310">
        <f>IF(AT30=0,0,(AU30-AT30)/AT30*100)</f>
        <v>0</v>
      </c>
      <c r="BF30" s="310">
        <f>IF(AU30=0,0,(AV30-AU30)/AU30*100)</f>
        <v>0</v>
      </c>
      <c r="BG30" s="310">
        <f>IF(AV30=0,0,(AW30-AV30)/AV30*100)</f>
        <v>0</v>
      </c>
      <c r="BH30" s="310">
        <f>IF(AW30=0,0,(AX30-AW30)/AW30*100)</f>
        <v>0</v>
      </c>
      <c r="BI30" s="310">
        <f>IF(AX30=0,0,(AY30-AX30)/AX30*100)</f>
        <v>0</v>
      </c>
      <c r="BJ30" s="310">
        <f>IF(AY30=0,0,(AZ30-AY30)/AY30*100)</f>
        <v>0</v>
      </c>
      <c r="BK30" s="310">
        <f>IF(AZ30=0,0,(BA30-AZ30)/AZ30*100)</f>
        <v>0</v>
      </c>
      <c r="BL30" s="310">
        <f>IF(BA30=0,0,(BB30-BA30)/BA30*100)</f>
        <v>0</v>
      </c>
      <c r="BM30" s="310">
        <f>IF(BB30=0,0,(BC30-BB30)/BB30*100)</f>
        <v>0</v>
      </c>
      <c r="BN30" s="73"/>
      <c r="BO30" s="73"/>
      <c r="BP30" s="73"/>
      <c r="BS30" s="1184" t="s">
        <v>1162</v>
      </c>
    </row>
    <row customHeight="1" ht="14.625" hidden="1">
      <c r="E31" s="797">
        <v>15</v>
      </c>
      <c r="F31" s="922" cm="1" t="str">
        <f t="array" ref="F31:F31">OFFSET(G31,-1,-1)</f>
        <v>0</v>
      </c>
      <c r="G31" s="193" t="s">
        <v>1163</v>
      </c>
      <c r="T31" s="808" cm="1" t="str">
        <f t="array" ref="T31:T31">T30</f>
        <v>false</v>
      </c>
      <c r="AB31" s="160" t="s">
        <v>937</v>
      </c>
      <c r="AC31" s="167" t="s">
        <v>1164</v>
      </c>
      <c r="AD31" s="160" t="s">
        <v>810</v>
      </c>
      <c r="AE31" s="310">
        <f>_xlfn.SUMIFS(Аренда!AE$26:AE$51,Аренда!$F$26:$F$51,$F31,Аренда!$G$26:$G$51,$G31)</f>
        <v>0</v>
      </c>
      <c r="AF31" s="310">
        <f>_xlfn.SUMIFS(Аренда!AF$26:AF$51,Аренда!$F$26:$F$51,$F31,Аренда!$G$26:$G$51,$G31)</f>
        <v>0</v>
      </c>
      <c r="AG31" s="98">
        <f>_xlfn.SUMIFS(Аренда!AG$26:AG$51,Аренда!$F$26:$F$51,$F31,Аренда!$G$26:$G$51,$G31)</f>
        <v>0</v>
      </c>
      <c r="AH31" s="310">
        <f>AG31-AF31</f>
        <v>0</v>
      </c>
      <c r="AI31" s="310">
        <f>_xlfn.SUMIFS(Аренда!AH$26:AH$51,Аренда!$F$26:$F$51,$F31,Аренда!$G$26:$G$51,$G31)</f>
        <v>0</v>
      </c>
      <c r="AJ31" s="310">
        <f>_xlfn.SUMIFS(Аренда!AI$26:AI$51,Аренда!$F$26:$F$51,$F31,Аренда!$G$26:$G$51,$G31)</f>
        <v>0</v>
      </c>
      <c r="AK31" s="310">
        <f>_xlfn.SUMIFS(Аренда!AJ$26:AJ$51,Аренда!$F$26:$F$51,$F31,Аренда!$G$26:$G$51,$G31)</f>
        <v>0</v>
      </c>
      <c r="AL31" s="310">
        <f>_xlfn.SUMIFS(Аренда!AK$26:AK$51,Аренда!$F$26:$F$51,$F31,Аренда!$G$26:$G$51,$G31)</f>
        <v>0</v>
      </c>
      <c r="AM31" s="310">
        <f>_xlfn.SUMIFS(Аренда!AL$26:AL$51,Аренда!$F$26:$F$51,$F31,Аренда!$G$26:$G$51,$G31)</f>
        <v>0</v>
      </c>
      <c r="AN31" s="310">
        <f>_xlfn.SUMIFS(Аренда!AM$26:AM$51,Аренда!$F$26:$F$51,$F31,Аренда!$G$26:$G$51,$G31)</f>
        <v>0</v>
      </c>
      <c r="AO31" s="310">
        <f>_xlfn.SUMIFS(Аренда!AN$26:AN$51,Аренда!$F$26:$F$51,$F31,Аренда!$G$26:$G$51,$G31)</f>
        <v>0</v>
      </c>
      <c r="AP31" s="310">
        <f>_xlfn.SUMIFS(Аренда!AO$26:AO$51,Аренда!$F$26:$F$51,$F31,Аренда!$G$26:$G$51,$G31)</f>
        <v>0</v>
      </c>
      <c r="AQ31" s="310">
        <f>_xlfn.SUMIFS(Аренда!AP$26:AP$51,Аренда!$F$26:$F$51,$F31,Аренда!$G$26:$G$51,$G31)</f>
        <v>0</v>
      </c>
      <c r="AR31" s="310">
        <f>_xlfn.SUMIFS(Аренда!AQ$26:AQ$51,Аренда!$F$26:$F$51,$F31,Аренда!$G$26:$G$51,$G31)</f>
        <v>0</v>
      </c>
      <c r="AS31" s="310">
        <f>_xlfn.SUMIFS(Аренда!AR$26:AR$51,Аренда!$F$26:$F$51,$F31,Аренда!$G$26:$G$51,$G31)</f>
        <v>0</v>
      </c>
      <c r="AT31" s="310">
        <f>_xlfn.SUMIFS(Аренда!AS$26:AS$51,Аренда!$F$26:$F$51,$F31,Аренда!$G$26:$G$51,$G31)</f>
        <v>0</v>
      </c>
      <c r="AU31" s="310">
        <f>_xlfn.SUMIFS(Аренда!AT$26:AT$51,Аренда!$F$26:$F$51,$F31,Аренда!$G$26:$G$51,$G31)</f>
        <v>0</v>
      </c>
      <c r="AV31" s="310">
        <f>_xlfn.SUMIFS(Аренда!AU$26:AU$51,Аренда!$F$26:$F$51,$F31,Аренда!$G$26:$G$51,$G31)</f>
        <v>0</v>
      </c>
      <c r="AW31" s="310">
        <f>_xlfn.SUMIFS(Аренда!AV$26:AV$51,Аренда!$F$26:$F$51,$F31,Аренда!$G$26:$G$51,$G31)</f>
        <v>0</v>
      </c>
      <c r="AX31" s="310">
        <f>_xlfn.SUMIFS(Аренда!AW$26:AW$51,Аренда!$F$26:$F$51,$F31,Аренда!$G$26:$G$51,$G31)</f>
        <v>0</v>
      </c>
      <c r="AY31" s="310">
        <f>_xlfn.SUMIFS(Аренда!AX$26:AX$51,Аренда!$F$26:$F$51,$F31,Аренда!$G$26:$G$51,$G31)</f>
        <v>0</v>
      </c>
      <c r="AZ31" s="310">
        <f>_xlfn.SUMIFS(Аренда!AY$26:AY$51,Аренда!$F$26:$F$51,$F31,Аренда!$G$26:$G$51,$G31)</f>
        <v>0</v>
      </c>
      <c r="BA31" s="310">
        <f>_xlfn.SUMIFS(Аренда!AZ$26:AZ$51,Аренда!$F$26:$F$51,$F31,Аренда!$G$26:$G$51,$G31)</f>
        <v>0</v>
      </c>
      <c r="BB31" s="310">
        <f>_xlfn.SUMIFS(Аренда!BA$26:BA$51,Аренда!$F$26:$F$51,$F31,Аренда!$G$26:$G$51,$G31)</f>
        <v>0</v>
      </c>
      <c r="BC31" s="310">
        <f>_xlfn.SUMIFS(Аренда!BB$26:BB$51,Аренда!$F$26:$F$51,$F31,Аренда!$G$26:$G$51,$G31)</f>
        <v>0</v>
      </c>
      <c r="BD31" s="310">
        <f>IF(AI31=0,0,(AT31-AI31)/AI31*100)</f>
        <v>0</v>
      </c>
      <c r="BE31" s="310">
        <f>IF(AT31=0,0,(AU31-AT31)/AT31*100)</f>
        <v>0</v>
      </c>
      <c r="BF31" s="310">
        <f>IF(AU31=0,0,(AV31-AU31)/AU31*100)</f>
        <v>0</v>
      </c>
      <c r="BG31" s="310">
        <f>IF(AV31=0,0,(AW31-AV31)/AV31*100)</f>
        <v>0</v>
      </c>
      <c r="BH31" s="310">
        <f>IF(AW31=0,0,(AX31-AW31)/AW31*100)</f>
        <v>0</v>
      </c>
      <c r="BI31" s="310">
        <f>IF(AX31=0,0,(AY31-AX31)/AX31*100)</f>
        <v>0</v>
      </c>
      <c r="BJ31" s="310">
        <f>IF(AY31=0,0,(AZ31-AY31)/AY31*100)</f>
        <v>0</v>
      </c>
      <c r="BK31" s="310">
        <f>IF(AZ31=0,0,(BA31-AZ31)/AZ31*100)</f>
        <v>0</v>
      </c>
      <c r="BL31" s="310">
        <f>IF(BA31=0,0,(BB31-BA31)/BA31*100)</f>
        <v>0</v>
      </c>
      <c r="BM31" s="310">
        <f>IF(BB31=0,0,(BC31-BB31)/BB31*100)</f>
        <v>0</v>
      </c>
      <c r="BN31" s="73"/>
      <c r="BO31" s="73"/>
      <c r="BP31" s="73"/>
      <c r="BS31" s="1184" t="s">
        <v>1357</v>
      </c>
    </row>
    <row customHeight="1" ht="14.625" hidden="1">
      <c r="E32" s="797">
        <v>15</v>
      </c>
      <c r="F32" s="922" cm="1" t="str">
        <f t="array" ref="F32:F32">OFFSET(G32,-1,-1)</f>
        <v>0</v>
      </c>
      <c r="T32" s="808" cm="1" t="str">
        <f t="array" ref="T32:T32">T31</f>
        <v>false</v>
      </c>
      <c r="AB32" s="160" t="s">
        <v>941</v>
      </c>
      <c r="AC32" s="167" t="s">
        <v>1358</v>
      </c>
      <c r="AD32" s="160" t="s">
        <v>810</v>
      </c>
      <c r="AE32" s="615">
        <f>SUM(AE33:AE35)</f>
        <v>0</v>
      </c>
      <c r="AF32" s="615">
        <f>SUM(AF33:AF35)</f>
        <v>0</v>
      </c>
      <c r="AG32" s="124">
        <f>SUM(AG33:AG35)</f>
        <v>0</v>
      </c>
      <c r="AH32" s="310">
        <f>AG32-AF32</f>
        <v>0</v>
      </c>
      <c r="AI32" s="615">
        <f>SUM(AI33:AI35)</f>
        <v>0</v>
      </c>
      <c r="AJ32" s="615">
        <f>SUM(AJ33:AJ35)</f>
        <v>0</v>
      </c>
      <c r="AK32" s="615">
        <f>SUM(AK33:AK35)</f>
        <v>0</v>
      </c>
      <c r="AL32" s="615">
        <f>SUM(AL33:AL35)</f>
        <v>0</v>
      </c>
      <c r="AM32" s="615">
        <f>SUM(AM33:AM35)</f>
        <v>0</v>
      </c>
      <c r="AN32" s="615">
        <f>SUM(AN33:AN35)</f>
        <v>0</v>
      </c>
      <c r="AO32" s="615">
        <f>SUM(AO33:AO35)</f>
        <v>0</v>
      </c>
      <c r="AP32" s="615">
        <f>SUM(AP33:AP35)</f>
        <v>0</v>
      </c>
      <c r="AQ32" s="615">
        <f>SUM(AQ33:AQ35)</f>
        <v>0</v>
      </c>
      <c r="AR32" s="615">
        <f>SUM(AR33:AR35)</f>
        <v>0</v>
      </c>
      <c r="AS32" s="615">
        <f>SUM(AS33:AS35)</f>
        <v>0</v>
      </c>
      <c r="AT32" s="615">
        <f>SUM(AT33:AT35)</f>
        <v>0</v>
      </c>
      <c r="AU32" s="615">
        <f>SUM(AU33:AU35)</f>
        <v>0</v>
      </c>
      <c r="AV32" s="615">
        <f>SUM(AV33:AV35)</f>
        <v>0</v>
      </c>
      <c r="AW32" s="615">
        <f>SUM(AW33:AW35)</f>
        <v>0</v>
      </c>
      <c r="AX32" s="615">
        <f>SUM(AX33:AX35)</f>
        <v>0</v>
      </c>
      <c r="AY32" s="615">
        <f>SUM(AY33:AY35)</f>
        <v>0</v>
      </c>
      <c r="AZ32" s="615">
        <f>SUM(AZ33:AZ35)</f>
        <v>0</v>
      </c>
      <c r="BA32" s="615">
        <f>SUM(BA33:BA35)</f>
        <v>0</v>
      </c>
      <c r="BB32" s="615">
        <f>SUM(BB33:BB35)</f>
        <v>0</v>
      </c>
      <c r="BC32" s="615">
        <f>SUM(BC33:BC35)</f>
        <v>0</v>
      </c>
      <c r="BD32" s="310">
        <f>IF(AI32=0,0,(AT32-AI32)/AI32*100)</f>
        <v>0</v>
      </c>
      <c r="BE32" s="310">
        <f>IF(AT32=0,0,(AU32-AT32)/AT32*100)</f>
        <v>0</v>
      </c>
      <c r="BF32" s="310">
        <f>IF(AU32=0,0,(AV32-AU32)/AU32*100)</f>
        <v>0</v>
      </c>
      <c r="BG32" s="310">
        <f>IF(AV32=0,0,(AW32-AV32)/AV32*100)</f>
        <v>0</v>
      </c>
      <c r="BH32" s="310">
        <f>IF(AW32=0,0,(AX32-AW32)/AW32*100)</f>
        <v>0</v>
      </c>
      <c r="BI32" s="310">
        <f>IF(AX32=0,0,(AY32-AX32)/AX32*100)</f>
        <v>0</v>
      </c>
      <c r="BJ32" s="310">
        <f>IF(AY32=0,0,(AZ32-AY32)/AY32*100)</f>
        <v>0</v>
      </c>
      <c r="BK32" s="310">
        <f>IF(AZ32=0,0,(BA32-AZ32)/AZ32*100)</f>
        <v>0</v>
      </c>
      <c r="BL32" s="310">
        <f>IF(BA32=0,0,(BB32-BA32)/BA32*100)</f>
        <v>0</v>
      </c>
      <c r="BM32" s="310">
        <f>IF(BB32=0,0,(BC32-BB32)/BB32*100)</f>
        <v>0</v>
      </c>
      <c r="BN32" s="73"/>
      <c r="BO32" s="73"/>
      <c r="BP32" s="73"/>
      <c r="BS32" s="1184" t="s">
        <v>1359</v>
      </c>
    </row>
    <row customHeight="1" ht="39.4875" hidden="1">
      <c r="E33" s="797">
        <v>40.5</v>
      </c>
      <c r="F33" s="922" cm="1" t="str">
        <f t="array" ref="F33:F33">OFFSET(G33,-1,-1)</f>
        <v>0</v>
      </c>
      <c r="G33" s="193" t="s">
        <v>1247</v>
      </c>
      <c r="T33" s="808" cm="1" t="str">
        <f t="array" ref="T33:T33">T32</f>
        <v>false</v>
      </c>
      <c r="AB33" s="160" t="s">
        <v>1031</v>
      </c>
      <c r="AC33" s="167" t="s">
        <v>1248</v>
      </c>
      <c r="AD33" s="160" t="s">
        <v>810</v>
      </c>
      <c r="AE33" s="615">
        <f>_xlfn.SUMIFS(Налоги!AE$26:AE$55,Налоги!$F$26:$F$55,$F33,Налоги!$G$26:$G$55,$G33)</f>
        <v>0</v>
      </c>
      <c r="AF33" s="615">
        <f>_xlfn.SUMIFS(Налоги!AF$26:AF$55,Налоги!$F$26:$F$55,$F33,Налоги!$G$26:$G$55,$G33)</f>
        <v>0</v>
      </c>
      <c r="AG33" s="124">
        <f>_xlfn.SUMIFS(Налоги!AG$26:AG$55,Налоги!$F$26:$F$55,$F33,Налоги!$G$26:$G$55,$G33)</f>
        <v>0</v>
      </c>
      <c r="AH33" s="310">
        <f>AG33-AF33</f>
        <v>0</v>
      </c>
      <c r="AI33" s="615">
        <f>_xlfn.SUMIFS(Налоги!AH$26:AH$55,Налоги!$F$26:$F$55,$F33,Налоги!$G$26:$G$55,$G33)</f>
        <v>0</v>
      </c>
      <c r="AJ33" s="615">
        <f>_xlfn.SUMIFS(Налоги!AI$26:AI$55,Налоги!$F$26:$F$55,$F33,Налоги!$G$26:$G$55,$G33)</f>
        <v>0</v>
      </c>
      <c r="AK33" s="615">
        <f>_xlfn.SUMIFS(Налоги!AJ$26:AJ$55,Налоги!$F$26:$F$55,$F33,Налоги!$G$26:$G$55,$G33)</f>
        <v>0</v>
      </c>
      <c r="AL33" s="615">
        <f>_xlfn.SUMIFS(Налоги!AK$26:AK$55,Налоги!$F$26:$F$55,$F33,Налоги!$G$26:$G$55,$G33)</f>
        <v>0</v>
      </c>
      <c r="AM33" s="615">
        <f>_xlfn.SUMIFS(Налоги!AL$26:AL$55,Налоги!$F$26:$F$55,$F33,Налоги!$G$26:$G$55,$G33)</f>
        <v>0</v>
      </c>
      <c r="AN33" s="615">
        <f>_xlfn.SUMIFS(Налоги!AM$26:AM$55,Налоги!$F$26:$F$55,$F33,Налоги!$G$26:$G$55,$G33)</f>
        <v>0</v>
      </c>
      <c r="AO33" s="615">
        <f>_xlfn.SUMIFS(Налоги!AN$26:AN$55,Налоги!$F$26:$F$55,$F33,Налоги!$G$26:$G$55,$G33)</f>
        <v>0</v>
      </c>
      <c r="AP33" s="615">
        <f>_xlfn.SUMIFS(Налоги!AO$26:AO$55,Налоги!$F$26:$F$55,$F33,Налоги!$G$26:$G$55,$G33)</f>
        <v>0</v>
      </c>
      <c r="AQ33" s="615">
        <f>_xlfn.SUMIFS(Налоги!AP$26:AP$55,Налоги!$F$26:$F$55,$F33,Налоги!$G$26:$G$55,$G33)</f>
        <v>0</v>
      </c>
      <c r="AR33" s="615">
        <f>_xlfn.SUMIFS(Налоги!AQ$26:AQ$55,Налоги!$F$26:$F$55,$F33,Налоги!$G$26:$G$55,$G33)</f>
        <v>0</v>
      </c>
      <c r="AS33" s="615">
        <f>_xlfn.SUMIFS(Налоги!AR$26:AR$55,Налоги!$F$26:$F$55,$F33,Налоги!$G$26:$G$55,$G33)</f>
        <v>0</v>
      </c>
      <c r="AT33" s="615">
        <f>_xlfn.SUMIFS(Налоги!AS$26:AS$55,Налоги!$F$26:$F$55,$F33,Налоги!$G$26:$G$55,$G33)</f>
        <v>0</v>
      </c>
      <c r="AU33" s="615">
        <f>_xlfn.SUMIFS(Налоги!AT$26:AT$55,Налоги!$F$26:$F$55,$F33,Налоги!$G$26:$G$55,$G33)</f>
        <v>0</v>
      </c>
      <c r="AV33" s="615">
        <f>_xlfn.SUMIFS(Налоги!AU$26:AU$55,Налоги!$F$26:$F$55,$F33,Налоги!$G$26:$G$55,$G33)</f>
        <v>0</v>
      </c>
      <c r="AW33" s="615">
        <f>_xlfn.SUMIFS(Налоги!AV$26:AV$55,Налоги!$F$26:$F$55,$F33,Налоги!$G$26:$G$55,$G33)</f>
        <v>0</v>
      </c>
      <c r="AX33" s="615">
        <f>_xlfn.SUMIFS(Налоги!AW$26:AW$55,Налоги!$F$26:$F$55,$F33,Налоги!$G$26:$G$55,$G33)</f>
        <v>0</v>
      </c>
      <c r="AY33" s="615">
        <f>_xlfn.SUMIFS(Налоги!AX$26:AX$55,Налоги!$F$26:$F$55,$F33,Налоги!$G$26:$G$55,$G33)</f>
        <v>0</v>
      </c>
      <c r="AZ33" s="615">
        <f>_xlfn.SUMIFS(Налоги!AY$26:AY$55,Налоги!$F$26:$F$55,$F33,Налоги!$G$26:$G$55,$G33)</f>
        <v>0</v>
      </c>
      <c r="BA33" s="615">
        <f>_xlfn.SUMIFS(Налоги!AZ$26:AZ$55,Налоги!$F$26:$F$55,$F33,Налоги!$G$26:$G$55,$G33)</f>
        <v>0</v>
      </c>
      <c r="BB33" s="615">
        <f>_xlfn.SUMIFS(Налоги!BA$26:BA$55,Налоги!$F$26:$F$55,$F33,Налоги!$G$26:$G$55,$G33)</f>
        <v>0</v>
      </c>
      <c r="BC33" s="615">
        <f>_xlfn.SUMIFS(Налоги!BB$26:BB$55,Налоги!$F$26:$F$55,$F33,Налоги!$G$26:$G$55,$G33)</f>
        <v>0</v>
      </c>
      <c r="BD33" s="310">
        <f>IF(AI33=0,0,(AT33-AI33)/AI33*100)</f>
        <v>0</v>
      </c>
      <c r="BE33" s="310">
        <f>IF(AT33=0,0,(AU33-AT33)/AT33*100)</f>
        <v>0</v>
      </c>
      <c r="BF33" s="310">
        <f>IF(AU33=0,0,(AV33-AU33)/AU33*100)</f>
        <v>0</v>
      </c>
      <c r="BG33" s="310">
        <f>IF(AV33=0,0,(AW33-AV33)/AV33*100)</f>
        <v>0</v>
      </c>
      <c r="BH33" s="310">
        <f>IF(AW33=0,0,(AX33-AW33)/AW33*100)</f>
        <v>0</v>
      </c>
      <c r="BI33" s="310">
        <f>IF(AX33=0,0,(AY33-AX33)/AX33*100)</f>
        <v>0</v>
      </c>
      <c r="BJ33" s="310">
        <f>IF(AY33=0,0,(AZ33-AY33)/AY33*100)</f>
        <v>0</v>
      </c>
      <c r="BK33" s="310">
        <f>IF(AZ33=0,0,(BA33-AZ33)/AZ33*100)</f>
        <v>0</v>
      </c>
      <c r="BL33" s="310">
        <f>IF(BA33=0,0,(BB33-BA33)/BA33*100)</f>
        <v>0</v>
      </c>
      <c r="BM33" s="310">
        <f>IF(BB33=0,0,(BC33-BB33)/BB33*100)</f>
        <v>0</v>
      </c>
      <c r="BN33" s="73"/>
      <c r="BO33" s="73"/>
      <c r="BP33" s="73"/>
      <c r="BS33" s="1184" t="s">
        <v>1360</v>
      </c>
    </row>
    <row s="235" customFormat="1" customHeight="1" ht="14.625" hidden="1">
      <c r="E34" s="797">
        <v>15</v>
      </c>
      <c r="F34" s="922" cm="1" t="str">
        <f t="array" ref="F34:F34">OFFSET(G34,-1,-1)</f>
        <v>0</v>
      </c>
      <c r="G34" s="193" t="s">
        <v>1254</v>
      </c>
      <c r="T34" s="808" cm="1" t="str">
        <f t="array" ref="T34:T34">T33</f>
        <v>false</v>
      </c>
      <c r="AB34" s="160" t="s">
        <v>1034</v>
      </c>
      <c r="AC34" s="167" t="s">
        <v>1361</v>
      </c>
      <c r="AD34" s="160" t="s">
        <v>810</v>
      </c>
      <c r="AE34" s="615">
        <f>_xlfn.SUMIFS(Налоги!AE$26:AE$55,Налоги!$F$26:$F$55,$F34,Налоги!$G$26:$G$55,$G34)</f>
        <v>0</v>
      </c>
      <c r="AF34" s="615">
        <f>_xlfn.SUMIFS(Налоги!AF$26:AF$55,Налоги!$F$26:$F$55,$F34,Налоги!$G$26:$G$55,$G34)</f>
        <v>0</v>
      </c>
      <c r="AG34" s="124">
        <f>_xlfn.SUMIFS(Налоги!AG$26:AG$55,Налоги!$F$26:$F$55,$F34,Налоги!$G$26:$G$55,$G34)</f>
        <v>0</v>
      </c>
      <c r="AH34" s="310">
        <f>AG34-AF34</f>
        <v>0</v>
      </c>
      <c r="AI34" s="615">
        <f>_xlfn.SUMIFS(Налоги!AH$26:AH$55,Налоги!$F$26:$F$55,$F34,Налоги!$G$26:$G$55,$G34)</f>
        <v>0</v>
      </c>
      <c r="AJ34" s="615">
        <f>_xlfn.SUMIFS(Налоги!AI$26:AI$55,Налоги!$F$26:$F$55,$F34,Налоги!$G$26:$G$55,$G34)</f>
        <v>0</v>
      </c>
      <c r="AK34" s="615">
        <f>_xlfn.SUMIFS(Налоги!AJ$26:AJ$55,Налоги!$F$26:$F$55,$F34,Налоги!$G$26:$G$55,$G34)</f>
        <v>0</v>
      </c>
      <c r="AL34" s="615">
        <f>_xlfn.SUMIFS(Налоги!AK$26:AK$55,Налоги!$F$26:$F$55,$F34,Налоги!$G$26:$G$55,$G34)</f>
        <v>0</v>
      </c>
      <c r="AM34" s="615">
        <f>_xlfn.SUMIFS(Налоги!AL$26:AL$55,Налоги!$F$26:$F$55,$F34,Налоги!$G$26:$G$55,$G34)</f>
        <v>0</v>
      </c>
      <c r="AN34" s="615">
        <f>_xlfn.SUMIFS(Налоги!AM$26:AM$55,Налоги!$F$26:$F$55,$F34,Налоги!$G$26:$G$55,$G34)</f>
        <v>0</v>
      </c>
      <c r="AO34" s="615">
        <f>_xlfn.SUMIFS(Налоги!AN$26:AN$55,Налоги!$F$26:$F$55,$F34,Налоги!$G$26:$G$55,$G34)</f>
        <v>0</v>
      </c>
      <c r="AP34" s="615">
        <f>_xlfn.SUMIFS(Налоги!AO$26:AO$55,Налоги!$F$26:$F$55,$F34,Налоги!$G$26:$G$55,$G34)</f>
        <v>0</v>
      </c>
      <c r="AQ34" s="615">
        <f>_xlfn.SUMIFS(Налоги!AP$26:AP$55,Налоги!$F$26:$F$55,$F34,Налоги!$G$26:$G$55,$G34)</f>
        <v>0</v>
      </c>
      <c r="AR34" s="615">
        <f>_xlfn.SUMIFS(Налоги!AQ$26:AQ$55,Налоги!$F$26:$F$55,$F34,Налоги!$G$26:$G$55,$G34)</f>
        <v>0</v>
      </c>
      <c r="AS34" s="615">
        <f>_xlfn.SUMIFS(Налоги!AR$26:AR$55,Налоги!$F$26:$F$55,$F34,Налоги!$G$26:$G$55,$G34)</f>
        <v>0</v>
      </c>
      <c r="AT34" s="615">
        <f>_xlfn.SUMIFS(Налоги!AS$26:AS$55,Налоги!$F$26:$F$55,$F34,Налоги!$G$26:$G$55,$G34)</f>
        <v>0</v>
      </c>
      <c r="AU34" s="615">
        <f>_xlfn.SUMIFS(Налоги!AT$26:AT$55,Налоги!$F$26:$F$55,$F34,Налоги!$G$26:$G$55,$G34)</f>
        <v>0</v>
      </c>
      <c r="AV34" s="615">
        <f>_xlfn.SUMIFS(Налоги!AU$26:AU$55,Налоги!$F$26:$F$55,$F34,Налоги!$G$26:$G$55,$G34)</f>
        <v>0</v>
      </c>
      <c r="AW34" s="615">
        <f>_xlfn.SUMIFS(Налоги!AV$26:AV$55,Налоги!$F$26:$F$55,$F34,Налоги!$G$26:$G$55,$G34)</f>
        <v>0</v>
      </c>
      <c r="AX34" s="615">
        <f>_xlfn.SUMIFS(Налоги!AW$26:AW$55,Налоги!$F$26:$F$55,$F34,Налоги!$G$26:$G$55,$G34)</f>
        <v>0</v>
      </c>
      <c r="AY34" s="615">
        <f>_xlfn.SUMIFS(Налоги!AX$26:AX$55,Налоги!$F$26:$F$55,$F34,Налоги!$G$26:$G$55,$G34)</f>
        <v>0</v>
      </c>
      <c r="AZ34" s="615">
        <f>_xlfn.SUMIFS(Налоги!AY$26:AY$55,Налоги!$F$26:$F$55,$F34,Налоги!$G$26:$G$55,$G34)</f>
        <v>0</v>
      </c>
      <c r="BA34" s="615">
        <f>_xlfn.SUMIFS(Налоги!AZ$26:AZ$55,Налоги!$F$26:$F$55,$F34,Налоги!$G$26:$G$55,$G34)</f>
        <v>0</v>
      </c>
      <c r="BB34" s="615">
        <f>_xlfn.SUMIFS(Налоги!BA$26:BA$55,Налоги!$F$26:$F$55,$F34,Налоги!$G$26:$G$55,$G34)</f>
        <v>0</v>
      </c>
      <c r="BC34" s="615">
        <f>_xlfn.SUMIFS(Налоги!BB$26:BB$55,Налоги!$F$26:$F$55,$F34,Налоги!$G$26:$G$55,$G34)</f>
        <v>0</v>
      </c>
      <c r="BD34" s="310">
        <f>IF(AI34=0,0,(AT34-AI34)/AI34*100)</f>
        <v>0</v>
      </c>
      <c r="BE34" s="310">
        <f>IF(AT34=0,0,(AU34-AT34)/AT34*100)</f>
        <v>0</v>
      </c>
      <c r="BF34" s="310">
        <f>IF(AU34=0,0,(AV34-AU34)/AU34*100)</f>
        <v>0</v>
      </c>
      <c r="BG34" s="310">
        <f>IF(AV34=0,0,(AW34-AV34)/AV34*100)</f>
        <v>0</v>
      </c>
      <c r="BH34" s="310">
        <f>IF(AW34=0,0,(AX34-AW34)/AW34*100)</f>
        <v>0</v>
      </c>
      <c r="BI34" s="310">
        <f>IF(AX34=0,0,(AY34-AX34)/AX34*100)</f>
        <v>0</v>
      </c>
      <c r="BJ34" s="310">
        <f>IF(AY34=0,0,(AZ34-AY34)/AY34*100)</f>
        <v>0</v>
      </c>
      <c r="BK34" s="310">
        <f>IF(AZ34=0,0,(BA34-AZ34)/AZ34*100)</f>
        <v>0</v>
      </c>
      <c r="BL34" s="310">
        <f>IF(BA34=0,0,(BB34-BA34)/BA34*100)</f>
        <v>0</v>
      </c>
      <c r="BM34" s="310">
        <f>IF(BB34=0,0,(BC34-BB34)/BB34*100)</f>
        <v>0</v>
      </c>
      <c r="BN34" s="73"/>
      <c r="BO34" s="73"/>
      <c r="BP34" s="73"/>
      <c r="BS34" s="1184" t="s">
        <v>1362</v>
      </c>
    </row>
    <row s="235" customFormat="1" customHeight="1" ht="14.625" hidden="1">
      <c r="E35" s="797">
        <v>15</v>
      </c>
      <c r="F35" s="922" cm="1" t="str">
        <f t="array" ref="F35:F35">OFFSET(G35,-1,-1)</f>
        <v>0</v>
      </c>
      <c r="G35" s="193" t="s">
        <v>1250</v>
      </c>
      <c r="T35" s="808" cm="1" t="str">
        <f t="array" ref="T35:T35">T34</f>
        <v>false</v>
      </c>
      <c r="AB35" s="160" t="s">
        <v>1037</v>
      </c>
      <c r="AC35" s="167" t="s">
        <v>1363</v>
      </c>
      <c r="AD35" s="160" t="s">
        <v>810</v>
      </c>
      <c r="AE35" s="1955">
        <f>_xlfn.SUMIFS(Налоги!AE$26:AE$55,Налоги!$F$26:$F$55,$F35,Налоги!$G$26:$G$55,$G35)</f>
        <v>0</v>
      </c>
      <c r="AF35" s="1955">
        <f>_xlfn.SUMIFS(Налоги!AF$26:AF$55,Налоги!$F$26:$F$55,$F35,Налоги!$G$26:$G$55,$G35)</f>
        <v>0</v>
      </c>
      <c r="AG35" s="124">
        <f>_xlfn.SUMIFS(Налоги!AG$26:AG$55,Налоги!$F$26:$F$55,$F35,Налоги!$G$26:$G$55,$G35)</f>
        <v>0</v>
      </c>
      <c r="AH35" s="310">
        <f>AG35-AF35</f>
        <v>0</v>
      </c>
      <c r="AI35" s="1955">
        <f>_xlfn.SUMIFS(Налоги!AH$26:AH$55,Налоги!$F$26:$F$55,$F35,Налоги!$G$26:$G$55,$G35)</f>
        <v>0</v>
      </c>
      <c r="AJ35" s="1955">
        <f>_xlfn.SUMIFS(Налоги!AI$26:AI$55,Налоги!$F$26:$F$55,$F35,Налоги!$G$26:$G$55,$G35)</f>
        <v>0</v>
      </c>
      <c r="AK35" s="1955">
        <f>_xlfn.SUMIFS(Налоги!AJ$26:AJ$55,Налоги!$F$26:$F$55,$F35,Налоги!$G$26:$G$55,$G35)</f>
        <v>0</v>
      </c>
      <c r="AL35" s="1955">
        <f>_xlfn.SUMIFS(Налоги!AK$26:AK$55,Налоги!$F$26:$F$55,$F35,Налоги!$G$26:$G$55,$G35)</f>
        <v>0</v>
      </c>
      <c r="AM35" s="1955">
        <f>_xlfn.SUMIFS(Налоги!AL$26:AL$55,Налоги!$F$26:$F$55,$F35,Налоги!$G$26:$G$55,$G35)</f>
        <v>0</v>
      </c>
      <c r="AN35" s="1955">
        <f>_xlfn.SUMIFS(Налоги!AM$26:AM$55,Налоги!$F$26:$F$55,$F35,Налоги!$G$26:$G$55,$G35)</f>
        <v>0</v>
      </c>
      <c r="AO35" s="1955">
        <f>_xlfn.SUMIFS(Налоги!AN$26:AN$55,Налоги!$F$26:$F$55,$F35,Налоги!$G$26:$G$55,$G35)</f>
        <v>0</v>
      </c>
      <c r="AP35" s="1955">
        <f>_xlfn.SUMIFS(Налоги!AO$26:AO$55,Налоги!$F$26:$F$55,$F35,Налоги!$G$26:$G$55,$G35)</f>
        <v>0</v>
      </c>
      <c r="AQ35" s="1955">
        <f>_xlfn.SUMIFS(Налоги!AP$26:AP$55,Налоги!$F$26:$F$55,$F35,Налоги!$G$26:$G$55,$G35)</f>
        <v>0</v>
      </c>
      <c r="AR35" s="1955">
        <f>_xlfn.SUMIFS(Налоги!AQ$26:AQ$55,Налоги!$F$26:$F$55,$F35,Налоги!$G$26:$G$55,$G35)</f>
        <v>0</v>
      </c>
      <c r="AS35" s="1955">
        <f>_xlfn.SUMIFS(Налоги!AR$26:AR$55,Налоги!$F$26:$F$55,$F35,Налоги!$G$26:$G$55,$G35)</f>
        <v>0</v>
      </c>
      <c r="AT35" s="1955">
        <f>_xlfn.SUMIFS(Налоги!AS$26:AS$55,Налоги!$F$26:$F$55,$F35,Налоги!$G$26:$G$55,$G35)</f>
        <v>0</v>
      </c>
      <c r="AU35" s="1955">
        <f>_xlfn.SUMIFS(Налоги!AT$26:AT$55,Налоги!$F$26:$F$55,$F35,Налоги!$G$26:$G$55,$G35)</f>
        <v>0</v>
      </c>
      <c r="AV35" s="1955">
        <f>_xlfn.SUMIFS(Налоги!AU$26:AU$55,Налоги!$F$26:$F$55,$F35,Налоги!$G$26:$G$55,$G35)</f>
        <v>0</v>
      </c>
      <c r="AW35" s="1955">
        <f>_xlfn.SUMIFS(Налоги!AV$26:AV$55,Налоги!$F$26:$F$55,$F35,Налоги!$G$26:$G$55,$G35)</f>
        <v>0</v>
      </c>
      <c r="AX35" s="1955">
        <f>_xlfn.SUMIFS(Налоги!AW$26:AW$55,Налоги!$F$26:$F$55,$F35,Налоги!$G$26:$G$55,$G35)</f>
        <v>0</v>
      </c>
      <c r="AY35" s="1955">
        <f>_xlfn.SUMIFS(Налоги!AX$26:AX$55,Налоги!$F$26:$F$55,$F35,Налоги!$G$26:$G$55,$G35)</f>
        <v>0</v>
      </c>
      <c r="AZ35" s="1955">
        <f>_xlfn.SUMIFS(Налоги!AY$26:AY$55,Налоги!$F$26:$F$55,$F35,Налоги!$G$26:$G$55,$G35)</f>
        <v>0</v>
      </c>
      <c r="BA35" s="1955">
        <f>_xlfn.SUMIFS(Налоги!AZ$26:AZ$55,Налоги!$F$26:$F$55,$F35,Налоги!$G$26:$G$55,$G35)</f>
        <v>0</v>
      </c>
      <c r="BB35" s="1955">
        <f>_xlfn.SUMIFS(Налоги!BA$26:BA$55,Налоги!$F$26:$F$55,$F35,Налоги!$G$26:$G$55,$G35)</f>
        <v>0</v>
      </c>
      <c r="BC35" s="1955">
        <f>_xlfn.SUMIFS(Налоги!BB$26:BB$55,Налоги!$F$26:$F$55,$F35,Налоги!$G$26:$G$55,$G35)</f>
        <v>0</v>
      </c>
      <c r="BD35" s="310">
        <f>IF(AI35=0,0,(AT35-AI35)/AI35*100)</f>
        <v>0</v>
      </c>
      <c r="BE35" s="310">
        <f>IF(AT35=0,0,(AU35-AT35)/AT35*100)</f>
        <v>0</v>
      </c>
      <c r="BF35" s="310">
        <f>IF(AU35=0,0,(AV35-AU35)/AU35*100)</f>
        <v>0</v>
      </c>
      <c r="BG35" s="310">
        <f>IF(AV35=0,0,(AW35-AV35)/AV35*100)</f>
        <v>0</v>
      </c>
      <c r="BH35" s="310">
        <f>IF(AW35=0,0,(AX35-AW35)/AW35*100)</f>
        <v>0</v>
      </c>
      <c r="BI35" s="310">
        <f>IF(AX35=0,0,(AY35-AX35)/AX35*100)</f>
        <v>0</v>
      </c>
      <c r="BJ35" s="310">
        <f>IF(AY35=0,0,(AZ35-AY35)/AY35*100)</f>
        <v>0</v>
      </c>
      <c r="BK35" s="310">
        <f>IF(AZ35=0,0,(BA35-AZ35)/AZ35*100)</f>
        <v>0</v>
      </c>
      <c r="BL35" s="310">
        <f>IF(BA35=0,0,(BB35-BA35)/BA35*100)</f>
        <v>0</v>
      </c>
      <c r="BM35" s="310">
        <f>IF(BB35=0,0,(BC35-BB35)/BB35*100)</f>
        <v>0</v>
      </c>
      <c r="BN35" s="73"/>
      <c r="BO35" s="73"/>
      <c r="BP35" s="73"/>
      <c r="BS35" s="1184" t="s">
        <v>1270</v>
      </c>
    </row>
    <row customHeight="1" ht="14.625" hidden="1">
      <c r="E36" s="797">
        <v>15</v>
      </c>
      <c r="F36" s="922" cm="1" t="str">
        <f t="array" ref="F36:F36">OFFSET(G36,-1,-1)</f>
        <v>0</v>
      </c>
      <c r="T36" s="808" cm="1" t="str">
        <f t="array" ref="T36:T36">T35</f>
        <v>false</v>
      </c>
      <c r="AB36" s="160" t="s">
        <v>1046</v>
      </c>
      <c r="AC36" s="167" t="s">
        <v>1364</v>
      </c>
      <c r="AD36" s="160" t="s">
        <v>810</v>
      </c>
      <c r="AE36" s="124"/>
      <c r="AF36" s="124"/>
      <c r="AG36" s="124"/>
      <c r="AH36" s="310">
        <f>AG36-AF36</f>
        <v>0</v>
      </c>
      <c r="AI36" s="124"/>
      <c r="AJ36" s="1956"/>
      <c r="AK36" s="124"/>
      <c r="AL36" s="124"/>
      <c r="AM36" s="124"/>
      <c r="AN36" s="124"/>
      <c r="AO36" s="124"/>
      <c r="AP36" s="124"/>
      <c r="AQ36" s="124"/>
      <c r="AR36" s="124"/>
      <c r="AS36" s="124"/>
      <c r="AT36" s="1956"/>
      <c r="AU36" s="124"/>
      <c r="AV36" s="124"/>
      <c r="AW36" s="124"/>
      <c r="AX36" s="124"/>
      <c r="AY36" s="124"/>
      <c r="AZ36" s="124"/>
      <c r="BA36" s="124"/>
      <c r="BB36" s="124"/>
      <c r="BC36" s="124"/>
      <c r="BD36" s="310">
        <f>IF(AI36=0,0,(AT36-AI36)/AI36*100)</f>
        <v>0</v>
      </c>
      <c r="BE36" s="310">
        <f>IF(AT36=0,0,(AU36-AT36)/AT36*100)</f>
        <v>0</v>
      </c>
      <c r="BF36" s="310">
        <f>IF(AU36=0,0,(AV36-AU36)/AU36*100)</f>
        <v>0</v>
      </c>
      <c r="BG36" s="310">
        <f>IF(AV36=0,0,(AW36-AV36)/AV36*100)</f>
        <v>0</v>
      </c>
      <c r="BH36" s="310">
        <f>IF(AW36=0,0,(AX36-AW36)/AW36*100)</f>
        <v>0</v>
      </c>
      <c r="BI36" s="310">
        <f>IF(AX36=0,0,(AY36-AX36)/AX36*100)</f>
        <v>0</v>
      </c>
      <c r="BJ36" s="310">
        <f>IF(AY36=0,0,(AZ36-AY36)/AY36*100)</f>
        <v>0</v>
      </c>
      <c r="BK36" s="310">
        <f>IF(AZ36=0,0,(BA36-AZ36)/AZ36*100)</f>
        <v>0</v>
      </c>
      <c r="BL36" s="310">
        <f>IF(BA36=0,0,(BB36-BA36)/BA36*100)</f>
        <v>0</v>
      </c>
      <c r="BM36" s="310">
        <f>IF(BB36=0,0,(BC36-BB36)/BB36*100)</f>
        <v>0</v>
      </c>
      <c r="BN36" s="73"/>
      <c r="BO36" s="73"/>
      <c r="BP36" s="73"/>
      <c r="BS36" s="1184" t="s">
        <v>1365</v>
      </c>
    </row>
    <row customHeight="1" ht="14.625" hidden="1">
      <c r="E37" s="797">
        <v>15</v>
      </c>
      <c r="F37" s="922" cm="1" t="str">
        <f t="array" ref="F37:F37">OFFSET(G37,-1,-1)</f>
        <v>0</v>
      </c>
      <c r="T37" s="808" cm="1" t="str">
        <f t="array" ref="T37:T37">T36</f>
        <v>false</v>
      </c>
      <c r="AB37" s="160" t="s">
        <v>1366</v>
      </c>
      <c r="AC37" s="874" t="s">
        <v>1367</v>
      </c>
      <c r="AD37" s="160" t="s">
        <v>498</v>
      </c>
      <c r="AE37" s="118"/>
      <c r="AF37" s="118"/>
      <c r="AG37" s="118"/>
      <c r="AH37" s="310">
        <f>AG37-AF37</f>
        <v>0</v>
      </c>
      <c r="AI37" s="118"/>
      <c r="AJ37" s="1947"/>
      <c r="AK37" s="118"/>
      <c r="AL37" s="118"/>
      <c r="AM37" s="118"/>
      <c r="AN37" s="118"/>
      <c r="AO37" s="118"/>
      <c r="AP37" s="118"/>
      <c r="AQ37" s="118"/>
      <c r="AR37" s="118"/>
      <c r="AS37" s="118"/>
      <c r="AT37" s="1947"/>
      <c r="AU37" s="118"/>
      <c r="AV37" s="118"/>
      <c r="AW37" s="118"/>
      <c r="AX37" s="118"/>
      <c r="AY37" s="118"/>
      <c r="AZ37" s="118"/>
      <c r="BA37" s="118"/>
      <c r="BB37" s="118"/>
      <c r="BC37" s="118"/>
      <c r="BD37" s="310">
        <f>IF(AI37=0,0,(AT37-AI37)/AI37*100)</f>
        <v>0</v>
      </c>
      <c r="BE37" s="310">
        <f>IF(AT37=0,0,(AU37-AT37)/AT37*100)</f>
        <v>0</v>
      </c>
      <c r="BF37" s="310">
        <f>IF(AU37=0,0,(AV37-AU37)/AU37*100)</f>
        <v>0</v>
      </c>
      <c r="BG37" s="310">
        <f>IF(AV37=0,0,(AW37-AV37)/AV37*100)</f>
        <v>0</v>
      </c>
      <c r="BH37" s="310">
        <f>IF(AW37=0,0,(AX37-AW37)/AW37*100)</f>
        <v>0</v>
      </c>
      <c r="BI37" s="310">
        <f>IF(AX37=0,0,(AY37-AX37)/AX37*100)</f>
        <v>0</v>
      </c>
      <c r="BJ37" s="310">
        <f>IF(AY37=0,0,(AZ37-AY37)/AY37*100)</f>
        <v>0</v>
      </c>
      <c r="BK37" s="310">
        <f>IF(AZ37=0,0,(BA37-AZ37)/AZ37*100)</f>
        <v>0</v>
      </c>
      <c r="BL37" s="310">
        <f>IF(BA37=0,0,(BB37-BA37)/BA37*100)</f>
        <v>0</v>
      </c>
      <c r="BM37" s="310">
        <f>IF(BB37=0,0,(BC37-BB37)/BB37*100)</f>
        <v>0</v>
      </c>
      <c r="BN37" s="73"/>
      <c r="BO37" s="73"/>
      <c r="BP37" s="73"/>
      <c r="BS37" s="1184" t="s">
        <v>1368</v>
      </c>
    </row>
    <row customHeight="1" ht="14.625" hidden="1">
      <c r="E38" s="797">
        <v>15</v>
      </c>
      <c r="F38" s="922" cm="1" t="str">
        <f t="array" ref="F38:F38">OFFSET(G38,-1,-1)</f>
        <v>0</v>
      </c>
      <c r="T38" s="808" cm="1" t="str">
        <f t="array" ref="T38:T38">T36</f>
        <v>false</v>
      </c>
      <c r="AB38" s="160" t="s">
        <v>1049</v>
      </c>
      <c r="AC38" s="167" t="s">
        <v>1369</v>
      </c>
      <c r="AD38" s="160" t="s">
        <v>810</v>
      </c>
      <c r="AE38" s="124"/>
      <c r="AF38" s="124"/>
      <c r="AG38" s="124"/>
      <c r="AH38" s="310">
        <f>AG38-AF38</f>
        <v>0</v>
      </c>
      <c r="AI38" s="124"/>
      <c r="AJ38" s="1956"/>
      <c r="AK38" s="124"/>
      <c r="AL38" s="124"/>
      <c r="AM38" s="124"/>
      <c r="AN38" s="124"/>
      <c r="AO38" s="124"/>
      <c r="AP38" s="124"/>
      <c r="AQ38" s="124"/>
      <c r="AR38" s="124"/>
      <c r="AS38" s="124"/>
      <c r="AT38" s="1956"/>
      <c r="AU38" s="124"/>
      <c r="AV38" s="124"/>
      <c r="AW38" s="124"/>
      <c r="AX38" s="124"/>
      <c r="AY38" s="124"/>
      <c r="AZ38" s="124"/>
      <c r="BA38" s="124"/>
      <c r="BB38" s="124"/>
      <c r="BC38" s="124"/>
      <c r="BD38" s="310">
        <f>IF(AI38=0,0,(AT38-AI38)/AI38*100)</f>
        <v>0</v>
      </c>
      <c r="BE38" s="310">
        <f>IF(AT38=0,0,(AU38-AT38)/AT38*100)</f>
        <v>0</v>
      </c>
      <c r="BF38" s="310">
        <f>IF(AU38=0,0,(AV38-AU38)/AU38*100)</f>
        <v>0</v>
      </c>
      <c r="BG38" s="310">
        <f>IF(AV38=0,0,(AW38-AV38)/AV38*100)</f>
        <v>0</v>
      </c>
      <c r="BH38" s="310">
        <f>IF(AW38=0,0,(AX38-AW38)/AW38*100)</f>
        <v>0</v>
      </c>
      <c r="BI38" s="310">
        <f>IF(AX38=0,0,(AY38-AX38)/AX38*100)</f>
        <v>0</v>
      </c>
      <c r="BJ38" s="310">
        <f>IF(AY38=0,0,(AZ38-AY38)/AY38*100)</f>
        <v>0</v>
      </c>
      <c r="BK38" s="310">
        <f>IF(AZ38=0,0,(BA38-AZ38)/AZ38*100)</f>
        <v>0</v>
      </c>
      <c r="BL38" s="310">
        <f>IF(BA38=0,0,(BB38-BA38)/BA38*100)</f>
        <v>0</v>
      </c>
      <c r="BM38" s="310">
        <f>IF(BB38=0,0,(BC38-BB38)/BB38*100)</f>
        <v>0</v>
      </c>
      <c r="BN38" s="73"/>
      <c r="BO38" s="73"/>
      <c r="BP38" s="73"/>
      <c r="BS38" s="1184" t="s">
        <v>1370</v>
      </c>
    </row>
    <row customHeight="1" ht="14.625" hidden="1">
      <c r="E39" s="797">
        <v>15</v>
      </c>
      <c r="F39" s="922" cm="1" t="str">
        <f t="array" ref="F39:F39">OFFSET(G39,-1,-1)</f>
        <v>0</v>
      </c>
      <c r="G39" s="193" t="s">
        <v>1133</v>
      </c>
      <c r="T39" s="808" cm="1" t="str">
        <f t="array" ref="T39:T39">T38</f>
        <v>false</v>
      </c>
      <c r="AB39" s="160" t="s">
        <v>1052</v>
      </c>
      <c r="AC39" s="167" t="s">
        <v>1371</v>
      </c>
      <c r="AD39" s="160" t="s">
        <v>810</v>
      </c>
      <c r="AE39" s="615">
        <f>_xlfn.SUMIFS(Амортизация!AE$26:AE$225,Амортизация!$F$26:$F$225,$F39,Амортизация!$G$26:$G$225,$G39)</f>
        <v>0</v>
      </c>
      <c r="AF39" s="615">
        <f>_xlfn.SUMIFS(Амортизация!AF$26:AF$225,Амортизация!$F$26:$F$225,$F39,Амортизация!$G$26:$G$225,$G39)</f>
        <v>0</v>
      </c>
      <c r="AG39" s="124">
        <f>_xlfn.SUMIFS(Амортизация!AG$26:AG$225,Амортизация!$F$26:$F$225,$F39,Амортизация!$G$26:$G$225,$G39)</f>
        <v>0</v>
      </c>
      <c r="AH39" s="310">
        <f>AG39-AF39</f>
        <v>0</v>
      </c>
      <c r="AI39" s="615">
        <f>_xlfn.SUMIFS(Амортизация!AH$26:AH$225,Амортизация!$F$26:$F$225,$F39,Амортизация!$G$26:$G$225,$G39)</f>
        <v>0</v>
      </c>
      <c r="AJ39" s="615">
        <f>_xlfn.SUMIFS(Амортизация!AI$26:AI$225,Амортизация!$F$26:$F$225,$F39,Амортизация!$G$26:$G$225,$G39)</f>
        <v>0</v>
      </c>
      <c r="AK39" s="615">
        <f>_xlfn.SUMIFS(Амортизация!AJ$26:AJ$225,Амортизация!$F$26:$F$225,$F39,Амортизация!$G$26:$G$225,$G39)</f>
        <v>0</v>
      </c>
      <c r="AL39" s="615">
        <f>_xlfn.SUMIFS(Амортизация!AK$26:AK$225,Амортизация!$F$26:$F$225,$F39,Амортизация!$G$26:$G$225,$G39)</f>
        <v>0</v>
      </c>
      <c r="AM39" s="615">
        <f>_xlfn.SUMIFS(Амортизация!AL$26:AL$225,Амортизация!$F$26:$F$225,$F39,Амортизация!$G$26:$G$225,$G39)</f>
        <v>0</v>
      </c>
      <c r="AN39" s="615">
        <f>_xlfn.SUMIFS(Амортизация!AM$26:AM$225,Амортизация!$F$26:$F$225,$F39,Амортизация!$G$26:$G$225,$G39)</f>
        <v>0</v>
      </c>
      <c r="AO39" s="615">
        <f>_xlfn.SUMIFS(Амортизация!AN$26:AN$225,Амортизация!$F$26:$F$225,$F39,Амортизация!$G$26:$G$225,$G39)</f>
        <v>0</v>
      </c>
      <c r="AP39" s="615">
        <f>_xlfn.SUMIFS(Амортизация!AO$26:AO$225,Амортизация!$F$26:$F$225,$F39,Амортизация!$G$26:$G$225,$G39)</f>
        <v>0</v>
      </c>
      <c r="AQ39" s="615">
        <f>_xlfn.SUMIFS(Амортизация!AP$26:AP$225,Амортизация!$F$26:$F$225,$F39,Амортизация!$G$26:$G$225,$G39)</f>
        <v>0</v>
      </c>
      <c r="AR39" s="615">
        <f>_xlfn.SUMIFS(Амортизация!AQ$26:AQ$225,Амортизация!$F$26:$F$225,$F39,Амортизация!$G$26:$G$225,$G39)</f>
        <v>0</v>
      </c>
      <c r="AS39" s="615">
        <f>_xlfn.SUMIFS(Амортизация!AR$26:AR$225,Амортизация!$F$26:$F$225,$F39,Амортизация!$G$26:$G$225,$G39)</f>
        <v>0</v>
      </c>
      <c r="AT39" s="615">
        <f>_xlfn.SUMIFS(Амортизация!AS$26:AS$225,Амортизация!$F$26:$F$225,$F39,Амортизация!$G$26:$G$225,$G39)</f>
        <v>0</v>
      </c>
      <c r="AU39" s="615">
        <f>_xlfn.SUMIFS(Амортизация!AT$26:AT$225,Амортизация!$F$26:$F$225,$F39,Амортизация!$G$26:$G$225,$G39)</f>
        <v>0</v>
      </c>
      <c r="AV39" s="615">
        <f>_xlfn.SUMIFS(Амортизация!AU$26:AU$225,Амортизация!$F$26:$F$225,$F39,Амортизация!$G$26:$G$225,$G39)</f>
        <v>0</v>
      </c>
      <c r="AW39" s="615">
        <f>_xlfn.SUMIFS(Амортизация!AV$26:AV$225,Амортизация!$F$26:$F$225,$F39,Амортизация!$G$26:$G$225,$G39)</f>
        <v>0</v>
      </c>
      <c r="AX39" s="615">
        <f>_xlfn.SUMIFS(Амортизация!AW$26:AW$225,Амортизация!$F$26:$F$225,$F39,Амортизация!$G$26:$G$225,$G39)</f>
        <v>0</v>
      </c>
      <c r="AY39" s="615">
        <f>_xlfn.SUMIFS(Амортизация!AX$26:AX$225,Амортизация!$F$26:$F$225,$F39,Амортизация!$G$26:$G$225,$G39)</f>
        <v>0</v>
      </c>
      <c r="AZ39" s="615">
        <f>_xlfn.SUMIFS(Амортизация!AY$26:AY$225,Амортизация!$F$26:$F$225,$F39,Амортизация!$G$26:$G$225,$G39)</f>
        <v>0</v>
      </c>
      <c r="BA39" s="615">
        <f>_xlfn.SUMIFS(Амортизация!AZ$26:AZ$225,Амортизация!$F$26:$F$225,$F39,Амортизация!$G$26:$G$225,$G39)</f>
        <v>0</v>
      </c>
      <c r="BB39" s="615">
        <f>_xlfn.SUMIFS(Амортизация!BA$26:BA$225,Амортизация!$F$26:$F$225,$F39,Амортизация!$G$26:$G$225,$G39)</f>
        <v>0</v>
      </c>
      <c r="BC39" s="615">
        <f>_xlfn.SUMIFS(Амортизация!BB$26:BB$225,Амортизация!$F$26:$F$225,$F39,Амортизация!$G$26:$G$225,$G39)</f>
        <v>0</v>
      </c>
      <c r="BD39" s="310">
        <f>IF(AI39=0,0,(AT39-AI39)/AI39*100)</f>
        <v>0</v>
      </c>
      <c r="BE39" s="310">
        <f>IF(AT39=0,0,(AU39-AT39)/AT39*100)</f>
        <v>0</v>
      </c>
      <c r="BF39" s="310">
        <f>IF(AU39=0,0,(AV39-AU39)/AU39*100)</f>
        <v>0</v>
      </c>
      <c r="BG39" s="310">
        <f>IF(AV39=0,0,(AW39-AV39)/AV39*100)</f>
        <v>0</v>
      </c>
      <c r="BH39" s="310">
        <f>IF(AW39=0,0,(AX39-AW39)/AW39*100)</f>
        <v>0</v>
      </c>
      <c r="BI39" s="310">
        <f>IF(AX39=0,0,(AY39-AX39)/AX39*100)</f>
        <v>0</v>
      </c>
      <c r="BJ39" s="310">
        <f>IF(AY39=0,0,(AZ39-AY39)/AY39*100)</f>
        <v>0</v>
      </c>
      <c r="BK39" s="310">
        <f>IF(AZ39=0,0,(BA39-AZ39)/AZ39*100)</f>
        <v>0</v>
      </c>
      <c r="BL39" s="310">
        <f>IF(BA39=0,0,(BB39-BA39)/BA39*100)</f>
        <v>0</v>
      </c>
      <c r="BM39" s="310">
        <f>IF(BB39=0,0,(BC39-BB39)/BB39*100)</f>
        <v>0</v>
      </c>
      <c r="BN39" s="73"/>
      <c r="BO39" s="73"/>
      <c r="BP39" s="73"/>
      <c r="BS39" s="1184" t="s">
        <v>1372</v>
      </c>
    </row>
    <row customHeight="1" ht="24.862499999999997" hidden="1">
      <c r="E40" s="797">
        <v>25.5</v>
      </c>
      <c r="F40" s="922" cm="1" t="str">
        <f t="array" ref="F40:F40">OFFSET(G40,-1,-1)</f>
        <v>0</v>
      </c>
      <c r="T40" s="808" cm="1" t="str">
        <f t="array" ref="T40:T40">T39</f>
        <v>false</v>
      </c>
      <c r="AB40" s="160" t="s">
        <v>1055</v>
      </c>
      <c r="AC40" s="167" t="s">
        <v>1373</v>
      </c>
      <c r="AD40" s="160" t="s">
        <v>810</v>
      </c>
      <c r="AE40" s="124"/>
      <c r="AF40" s="124"/>
      <c r="AG40" s="124"/>
      <c r="AH40" s="310">
        <f>AG40-AF40</f>
        <v>0</v>
      </c>
      <c r="AI40" s="124"/>
      <c r="AJ40" s="1956"/>
      <c r="AK40" s="124"/>
      <c r="AL40" s="124"/>
      <c r="AM40" s="124"/>
      <c r="AN40" s="124"/>
      <c r="AO40" s="124"/>
      <c r="AP40" s="124"/>
      <c r="AQ40" s="124"/>
      <c r="AR40" s="124"/>
      <c r="AS40" s="124"/>
      <c r="AT40" s="1956"/>
      <c r="AU40" s="124"/>
      <c r="AV40" s="124"/>
      <c r="AW40" s="124"/>
      <c r="AX40" s="124"/>
      <c r="AY40" s="124"/>
      <c r="AZ40" s="124"/>
      <c r="BA40" s="124"/>
      <c r="BB40" s="124"/>
      <c r="BC40" s="124"/>
      <c r="BD40" s="310">
        <f>IF(AI40=0,0,(AT40-AI40)/AI40*100)</f>
        <v>0</v>
      </c>
      <c r="BE40" s="310">
        <f>IF(AT40=0,0,(AU40-AT40)/AT40*100)</f>
        <v>0</v>
      </c>
      <c r="BF40" s="310">
        <f>IF(AU40=0,0,(AV40-AU40)/AU40*100)</f>
        <v>0</v>
      </c>
      <c r="BG40" s="310">
        <f>IF(AV40=0,0,(AW40-AV40)/AV40*100)</f>
        <v>0</v>
      </c>
      <c r="BH40" s="310">
        <f>IF(AW40=0,0,(AX40-AW40)/AW40*100)</f>
        <v>0</v>
      </c>
      <c r="BI40" s="310">
        <f>IF(AX40=0,0,(AY40-AX40)/AX40*100)</f>
        <v>0</v>
      </c>
      <c r="BJ40" s="310">
        <f>IF(AY40=0,0,(AZ40-AY40)/AY40*100)</f>
        <v>0</v>
      </c>
      <c r="BK40" s="310">
        <f>IF(AZ40=0,0,(BA40-AZ40)/AZ40*100)</f>
        <v>0</v>
      </c>
      <c r="BL40" s="310">
        <f>IF(BA40=0,0,(BB40-BA40)/BA40*100)</f>
        <v>0</v>
      </c>
      <c r="BM40" s="310">
        <f>IF(BB40=0,0,(BC40-BB40)/BB40*100)</f>
        <v>0</v>
      </c>
      <c r="BN40" s="73"/>
      <c r="BO40" s="73"/>
      <c r="BP40" s="73"/>
      <c r="BS40" s="1184" t="s">
        <v>1374</v>
      </c>
    </row>
    <row customHeight="1" ht="24.862499999999997" hidden="1">
      <c r="E41" s="797">
        <v>25.5</v>
      </c>
      <c r="F41" s="922" cm="1" t="str">
        <f t="array" ref="F41:F41">OFFSET(G41,-1,-1)</f>
        <v>0</v>
      </c>
      <c r="T41" s="808" cm="1" t="str">
        <f t="array" ref="T41:T41">T40</f>
        <v>false</v>
      </c>
      <c r="AB41" s="160" t="s">
        <v>1268</v>
      </c>
      <c r="AC41" s="167" t="s">
        <v>1375</v>
      </c>
      <c r="AD41" s="160" t="s">
        <v>810</v>
      </c>
      <c r="AE41" s="124"/>
      <c r="AF41" s="124"/>
      <c r="AG41" s="124"/>
      <c r="AH41" s="310">
        <f>AG41-AF41</f>
        <v>0</v>
      </c>
      <c r="AI41" s="124"/>
      <c r="AJ41" s="1956"/>
      <c r="AK41" s="124"/>
      <c r="AL41" s="124"/>
      <c r="AM41" s="124"/>
      <c r="AN41" s="124"/>
      <c r="AO41" s="124"/>
      <c r="AP41" s="124"/>
      <c r="AQ41" s="124"/>
      <c r="AR41" s="124"/>
      <c r="AS41" s="124"/>
      <c r="AT41" s="1956"/>
      <c r="AU41" s="124"/>
      <c r="AV41" s="124"/>
      <c r="AW41" s="124"/>
      <c r="AX41" s="124"/>
      <c r="AY41" s="124"/>
      <c r="AZ41" s="124"/>
      <c r="BA41" s="124"/>
      <c r="BB41" s="124"/>
      <c r="BC41" s="124"/>
      <c r="BD41" s="310">
        <f>IF(AI41=0,0,(AT41-AI41)/AI41*100)</f>
        <v>0</v>
      </c>
      <c r="BE41" s="310">
        <f>IF(AT41=0,0,(AU41-AT41)/AT41*100)</f>
        <v>0</v>
      </c>
      <c r="BF41" s="310">
        <f>IF(AU41=0,0,(AV41-AU41)/AU41*100)</f>
        <v>0</v>
      </c>
      <c r="BG41" s="310">
        <f>IF(AV41=0,0,(AW41-AV41)/AV41*100)</f>
        <v>0</v>
      </c>
      <c r="BH41" s="310">
        <f>IF(AW41=0,0,(AX41-AW41)/AW41*100)</f>
        <v>0</v>
      </c>
      <c r="BI41" s="310">
        <f>IF(AX41=0,0,(AY41-AX41)/AX41*100)</f>
        <v>0</v>
      </c>
      <c r="BJ41" s="310">
        <f>IF(AY41=0,0,(AZ41-AY41)/AY41*100)</f>
        <v>0</v>
      </c>
      <c r="BK41" s="310">
        <f>IF(AZ41=0,0,(BA41-AZ41)/AZ41*100)</f>
        <v>0</v>
      </c>
      <c r="BL41" s="310">
        <f>IF(BA41=0,0,(BB41-BA41)/BA41*100)</f>
        <v>0</v>
      </c>
      <c r="BM41" s="310">
        <f>IF(BB41=0,0,(BC41-BB41)/BB41*100)</f>
        <v>0</v>
      </c>
      <c r="BN41" s="73"/>
      <c r="BO41" s="73"/>
      <c r="BP41" s="73"/>
      <c r="BS41" s="1184" t="s">
        <v>1376</v>
      </c>
    </row>
    <row customHeight="1" ht="14.625" hidden="1">
      <c r="E42" s="797">
        <v>15</v>
      </c>
      <c r="F42" s="922" cm="1" t="str">
        <f t="array" ref="F42:F42">OFFSET(G42,-1,-1)</f>
        <v>0</v>
      </c>
      <c r="T42" s="808" cm="1" t="str">
        <f t="array" ref="T42:T42">T41</f>
        <v>false</v>
      </c>
      <c r="AB42" s="160"/>
      <c r="AC42" s="167" t="s">
        <v>1377</v>
      </c>
      <c r="AD42" s="160" t="s">
        <v>810</v>
      </c>
      <c r="AE42" s="615">
        <f>AE29+AE30+AE31+AE32+AE36+AE38+AE39+AE40+AE41</f>
        <v>0</v>
      </c>
      <c r="AF42" s="615">
        <f>AF29+AF30+AF31+AF32+AF36+AF38+AF39+AF40+AF41</f>
        <v>0</v>
      </c>
      <c r="AG42" s="124">
        <f>AG29+AG30+AG31+AG32+AG36+AG38+AG39+AG40+AG41</f>
        <v>0</v>
      </c>
      <c r="AH42" s="310">
        <f>AG42-AF42</f>
        <v>0</v>
      </c>
      <c r="AI42" s="615">
        <f>AI29+AI30+AI31+AI32+AI36+AI38+AI39+AI40+AI41</f>
        <v>0</v>
      </c>
      <c r="AJ42" s="615">
        <f>AJ29+AJ30+AJ31+AJ32+AJ36+AJ38+AJ39+AJ40+AJ41</f>
        <v>0</v>
      </c>
      <c r="AK42" s="615">
        <f>AK29+AK30+AK31+AK32+AK36+AK38+AK39+AK40+AK41</f>
        <v>0</v>
      </c>
      <c r="AL42" s="615">
        <f>AL29+AL30+AL31+AL32+AL36+AL38+AL39+AL40+AL41</f>
        <v>0</v>
      </c>
      <c r="AM42" s="615">
        <f>AM29+AM30+AM31+AM32+AM36+AM38+AM39+AM40+AM41</f>
        <v>0</v>
      </c>
      <c r="AN42" s="615">
        <f>AN29+AN30+AN31+AN32+AN36+AN38+AN39+AN40+AN41</f>
        <v>0</v>
      </c>
      <c r="AO42" s="615">
        <f>AO29+AO30+AO31+AO32+AO36+AO38+AO39+AO40+AO41</f>
        <v>0</v>
      </c>
      <c r="AP42" s="615">
        <f>AP29+AP30+AP31+AP32+AP36+AP38+AP39+AP40+AP41</f>
        <v>0</v>
      </c>
      <c r="AQ42" s="615">
        <f>AQ29+AQ30+AQ31+AQ32+AQ36+AQ38+AQ39+AQ40+AQ41</f>
        <v>0</v>
      </c>
      <c r="AR42" s="615">
        <f>AR29+AR30+AR31+AR32+AR36+AR38+AR39+AR40+AR41</f>
        <v>0</v>
      </c>
      <c r="AS42" s="615">
        <f>AS29+AS30+AS31+AS32+AS36+AS38+AS39+AS40+AS41</f>
        <v>0</v>
      </c>
      <c r="AT42" s="615">
        <f>AT29+AT30+AT31+AT32+AT36+AT38+AT39+AT40+AT41</f>
        <v>0</v>
      </c>
      <c r="AU42" s="615">
        <f>AU29+AU30+AU31+AU32+AU36+AU38+AU39+AU40+AU41</f>
        <v>0</v>
      </c>
      <c r="AV42" s="615">
        <f>AV29+AV30+AV31+AV32+AV36+AV38+AV39+AV40+AV41</f>
        <v>0</v>
      </c>
      <c r="AW42" s="615">
        <f>AW29+AW30+AW31+AW32+AW36+AW38+AW39+AW40+AW41</f>
        <v>0</v>
      </c>
      <c r="AX42" s="615">
        <f>AX29+AX30+AX31+AX32+AX36+AX38+AX39+AX40+AX41</f>
        <v>0</v>
      </c>
      <c r="AY42" s="615">
        <f>AY29+AY30+AY31+AY32+AY36+AY38+AY39+AY40+AY41</f>
        <v>0</v>
      </c>
      <c r="AZ42" s="615">
        <f>AZ29+AZ30+AZ31+AZ32+AZ36+AZ38+AZ39+AZ40+AZ41</f>
        <v>0</v>
      </c>
      <c r="BA42" s="615">
        <f>BA29+BA30+BA31+BA32+BA36+BA38+BA39+BA40+BA41</f>
        <v>0</v>
      </c>
      <c r="BB42" s="615">
        <f>BB29+BB30+BB31+BB32+BB36+BB38+BB39+BB40+BB41</f>
        <v>0</v>
      </c>
      <c r="BC42" s="615">
        <f>BC29+BC30+BC31+BC32+BC36+BC38+BC39+BC40+BC41</f>
        <v>0</v>
      </c>
      <c r="BD42" s="310">
        <f>IF(AI42=0,0,(AT42-AI42)/AI42*100)</f>
        <v>0</v>
      </c>
      <c r="BE42" s="310">
        <f>IF(AT42=0,0,(AU42-AT42)/AT42*100)</f>
        <v>0</v>
      </c>
      <c r="BF42" s="310">
        <f>IF(AU42=0,0,(AV42-AU42)/AU42*100)</f>
        <v>0</v>
      </c>
      <c r="BG42" s="310">
        <f>IF(AV42=0,0,(AW42-AV42)/AV42*100)</f>
        <v>0</v>
      </c>
      <c r="BH42" s="310">
        <f>IF(AW42=0,0,(AX42-AW42)/AW42*100)</f>
        <v>0</v>
      </c>
      <c r="BI42" s="310">
        <f>IF(AX42=0,0,(AY42-AX42)/AX42*100)</f>
        <v>0</v>
      </c>
      <c r="BJ42" s="310">
        <f>IF(AY42=0,0,(AZ42-AY42)/AY42*100)</f>
        <v>0</v>
      </c>
      <c r="BK42" s="310">
        <f>IF(AZ42=0,0,(BA42-AZ42)/AZ42*100)</f>
        <v>0</v>
      </c>
      <c r="BL42" s="310">
        <f>IF(BA42=0,0,(BB42-BA42)/BA42*100)</f>
        <v>0</v>
      </c>
      <c r="BM42" s="310">
        <f>IF(BB42=0,0,(BC42-BB42)/BB42*100)</f>
        <v>0</v>
      </c>
      <c r="BN42" s="73"/>
      <c r="BO42" s="73"/>
      <c r="BP42" s="73"/>
      <c r="BS42" s="1184" t="s">
        <v>600</v>
      </c>
    </row>
    <row customHeight="1" ht="14.625" hidden="1">
      <c r="E43" s="797">
        <v>15</v>
      </c>
      <c r="F43" s="922" cm="1" t="str">
        <f t="array" ref="F43:F43">OFFSET(G43,-1,-1)</f>
        <v>0</v>
      </c>
      <c r="G43" s="193" t="s">
        <v>1263</v>
      </c>
      <c r="T43" s="808" cm="1" t="str">
        <f t="array" ref="T43:T43">T42</f>
        <v>false</v>
      </c>
      <c r="AB43" s="160" t="s">
        <v>426</v>
      </c>
      <c r="AC43" s="167" t="s">
        <v>1378</v>
      </c>
      <c r="AD43" s="160" t="s">
        <v>810</v>
      </c>
      <c r="AE43" s="615">
        <f>_xlfn.SUMIFS(Налоги!AE$26:AE$55,Налоги!$F$26:$F$55,$F43,Налоги!$G$26:$G$55,$G43)</f>
        <v>0</v>
      </c>
      <c r="AF43" s="615">
        <f>_xlfn.SUMIFS(Налоги!AF$26:AF$55,Налоги!$F$26:$F$55,$F43,Налоги!$G$26:$G$55,$G43)</f>
        <v>0</v>
      </c>
      <c r="AG43" s="124">
        <f>_xlfn.SUMIFS(Налоги!AG$26:AG$55,Налоги!$F$26:$F$55,$F43,Налоги!$G$26:$G$55,$G43)</f>
        <v>0</v>
      </c>
      <c r="AH43" s="310">
        <f>AG43-AF43</f>
        <v>0</v>
      </c>
      <c r="AI43" s="615">
        <f>_xlfn.SUMIFS(Налоги!AH$26:AH$55,Налоги!$F$26:$F$55,$F43,Налоги!$G$26:$G$55,$G43)</f>
        <v>0</v>
      </c>
      <c r="AJ43" s="615">
        <f>_xlfn.SUMIFS(Налоги!AI$26:AI$55,Налоги!$F$26:$F$55,$F43,Налоги!$G$26:$G$55,$G43)</f>
        <v>0</v>
      </c>
      <c r="AK43" s="615">
        <f>_xlfn.SUMIFS(Налоги!AJ$26:AJ$55,Налоги!$F$26:$F$55,$F43,Налоги!$G$26:$G$55,$G43)</f>
        <v>0</v>
      </c>
      <c r="AL43" s="615">
        <f>_xlfn.SUMIFS(Налоги!AK$26:AK$55,Налоги!$F$26:$F$55,$F43,Налоги!$G$26:$G$55,$G43)</f>
        <v>0</v>
      </c>
      <c r="AM43" s="615">
        <f>_xlfn.SUMIFS(Налоги!AL$26:AL$55,Налоги!$F$26:$F$55,$F43,Налоги!$G$26:$G$55,$G43)</f>
        <v>0</v>
      </c>
      <c r="AN43" s="615">
        <f>_xlfn.SUMIFS(Налоги!AM$26:AM$55,Налоги!$F$26:$F$55,$F43,Налоги!$G$26:$G$55,$G43)</f>
        <v>0</v>
      </c>
      <c r="AO43" s="615">
        <f>_xlfn.SUMIFS(Налоги!AN$26:AN$55,Налоги!$F$26:$F$55,$F43,Налоги!$G$26:$G$55,$G43)</f>
        <v>0</v>
      </c>
      <c r="AP43" s="615">
        <f>_xlfn.SUMIFS(Налоги!AO$26:AO$55,Налоги!$F$26:$F$55,$F43,Налоги!$G$26:$G$55,$G43)</f>
        <v>0</v>
      </c>
      <c r="AQ43" s="615">
        <f>_xlfn.SUMIFS(Налоги!AP$26:AP$55,Налоги!$F$26:$F$55,$F43,Налоги!$G$26:$G$55,$G43)</f>
        <v>0</v>
      </c>
      <c r="AR43" s="615">
        <f>_xlfn.SUMIFS(Налоги!AQ$26:AQ$55,Налоги!$F$26:$F$55,$F43,Налоги!$G$26:$G$55,$G43)</f>
        <v>0</v>
      </c>
      <c r="AS43" s="615">
        <f>_xlfn.SUMIFS(Налоги!AR$26:AR$55,Налоги!$F$26:$F$55,$F43,Налоги!$G$26:$G$55,$G43)</f>
        <v>0</v>
      </c>
      <c r="AT43" s="615">
        <f>_xlfn.SUMIFS(Налоги!AS$26:AS$55,Налоги!$F$26:$F$55,$F43,Налоги!$G$26:$G$55,$G43)</f>
        <v>0</v>
      </c>
      <c r="AU43" s="615">
        <f>_xlfn.SUMIFS(Налоги!AT$26:AT$55,Налоги!$F$26:$F$55,$F43,Налоги!$G$26:$G$55,$G43)</f>
        <v>0</v>
      </c>
      <c r="AV43" s="615">
        <f>_xlfn.SUMIFS(Налоги!AU$26:AU$55,Налоги!$F$26:$F$55,$F43,Налоги!$G$26:$G$55,$G43)</f>
        <v>0</v>
      </c>
      <c r="AW43" s="615">
        <f>_xlfn.SUMIFS(Налоги!AV$26:AV$55,Налоги!$F$26:$F$55,$F43,Налоги!$G$26:$G$55,$G43)</f>
        <v>0</v>
      </c>
      <c r="AX43" s="615">
        <f>_xlfn.SUMIFS(Налоги!AW$26:AW$55,Налоги!$F$26:$F$55,$F43,Налоги!$G$26:$G$55,$G43)</f>
        <v>0</v>
      </c>
      <c r="AY43" s="615">
        <f>_xlfn.SUMIFS(Налоги!AX$26:AX$55,Налоги!$F$26:$F$55,$F43,Налоги!$G$26:$G$55,$G43)</f>
        <v>0</v>
      </c>
      <c r="AZ43" s="615">
        <f>_xlfn.SUMIFS(Налоги!AY$26:AY$55,Налоги!$F$26:$F$55,$F43,Налоги!$G$26:$G$55,$G43)</f>
        <v>0</v>
      </c>
      <c r="BA43" s="615">
        <f>_xlfn.SUMIFS(Налоги!AZ$26:AZ$55,Налоги!$F$26:$F$55,$F43,Налоги!$G$26:$G$55,$G43)</f>
        <v>0</v>
      </c>
      <c r="BB43" s="615">
        <f>_xlfn.SUMIFS(Налоги!BA$26:BA$55,Налоги!$F$26:$F$55,$F43,Налоги!$G$26:$G$55,$G43)</f>
        <v>0</v>
      </c>
      <c r="BC43" s="615">
        <f>_xlfn.SUMIFS(Налоги!BB$26:BB$55,Налоги!$F$26:$F$55,$F43,Налоги!$G$26:$G$55,$G43)</f>
        <v>0</v>
      </c>
      <c r="BD43" s="310">
        <f>IF(AI43=0,0,(AT43-AI43)/AI43*100)</f>
        <v>0</v>
      </c>
      <c r="BE43" s="310">
        <f>IF(AT43=0,0,(AU43-AT43)/AT43*100)</f>
        <v>0</v>
      </c>
      <c r="BF43" s="310">
        <f>IF(AU43=0,0,(AV43-AU43)/AU43*100)</f>
        <v>0</v>
      </c>
      <c r="BG43" s="310">
        <f>IF(AV43=0,0,(AW43-AV43)/AV43*100)</f>
        <v>0</v>
      </c>
      <c r="BH43" s="310">
        <f>IF(AW43=0,0,(AX43-AW43)/AW43*100)</f>
        <v>0</v>
      </c>
      <c r="BI43" s="310">
        <f>IF(AX43=0,0,(AY43-AX43)/AX43*100)</f>
        <v>0</v>
      </c>
      <c r="BJ43" s="310">
        <f>IF(AY43=0,0,(AZ43-AY43)/AY43*100)</f>
        <v>0</v>
      </c>
      <c r="BK43" s="310">
        <f>IF(AZ43=0,0,(BA43-AZ43)/AZ43*100)</f>
        <v>0</v>
      </c>
      <c r="BL43" s="310">
        <f>IF(BA43=0,0,(BB43-BA43)/BA43*100)</f>
        <v>0</v>
      </c>
      <c r="BM43" s="310">
        <f>IF(BB43=0,0,(BC43-BB43)/BB43*100)</f>
        <v>0</v>
      </c>
      <c r="BN43" s="73"/>
      <c r="BO43" s="73"/>
      <c r="BP43" s="73"/>
      <c r="BS43" s="1184" t="s">
        <v>579</v>
      </c>
    </row>
    <row customHeight="1" ht="27.105" hidden="1">
      <c r="E44" s="797">
        <v>27.8</v>
      </c>
      <c r="F44" s="922" cm="1" t="str">
        <f t="array" ref="F44:F44">OFFSET(G44,-1,-1)</f>
        <v>0</v>
      </c>
      <c r="G44" s="193" t="s">
        <v>1286</v>
      </c>
      <c r="T44" s="808" cm="1" t="str">
        <f t="array" ref="T44:T44">T43</f>
        <v>false</v>
      </c>
      <c r="AB44" s="160" t="s">
        <v>429</v>
      </c>
      <c r="AC44" s="167" t="s">
        <v>1379</v>
      </c>
      <c r="AD44" s="160" t="s">
        <v>810</v>
      </c>
      <c r="AE44" s="124"/>
      <c r="AF44" s="124"/>
      <c r="AG44" s="124"/>
      <c r="AH44" s="310">
        <f>AG44-AF44</f>
        <v>0</v>
      </c>
      <c r="AI44" s="124"/>
      <c r="AJ44" s="615">
        <f>_xlfn.SUMIFS(Экономия_корр!AE$26:AE$43,Экономия_корр!$F$26:$F$43,$F44,Экономия_корр!$G$26:$G$43,$G44)</f>
        <v>0</v>
      </c>
      <c r="AK44" s="615">
        <f>_xlfn.SUMIFS(Экономия_корр!AF$26:AF$43,Экономия_корр!$F$26:$F$43,$F44,Экономия_корр!$G$26:$G$43,$G44)</f>
        <v>0</v>
      </c>
      <c r="AL44" s="615">
        <f>_xlfn.SUMIFS(Экономия_корр!AG$26:AG$43,Экономия_корр!$F$26:$F$43,$F44,Экономия_корр!$G$26:$G$43,$G44)</f>
        <v>0</v>
      </c>
      <c r="AM44" s="615">
        <f>_xlfn.SUMIFS(Экономия_корр!AH$26:AH$43,Экономия_корр!$F$26:$F$43,$F44,Экономия_корр!$G$26:$G$43,$G44)</f>
        <v>0</v>
      </c>
      <c r="AN44" s="615">
        <f>_xlfn.SUMIFS(Экономия_корр!AI$26:AI$43,Экономия_корр!$F$26:$F$43,$F44,Экономия_корр!$G$26:$G$43,$G44)</f>
        <v>0</v>
      </c>
      <c r="AO44" s="615">
        <f>_xlfn.SUMIFS(Экономия_корр!AJ$26:AJ$43,Экономия_корр!$F$26:$F$43,$F44,Экономия_корр!$G$26:$G$43,$G44)</f>
        <v>0</v>
      </c>
      <c r="AP44" s="615">
        <f>_xlfn.SUMIFS(Экономия_корр!AK$26:AK$43,Экономия_корр!$F$26:$F$43,$F44,Экономия_корр!$G$26:$G$43,$G44)</f>
        <v>0</v>
      </c>
      <c r="AQ44" s="615">
        <f>_xlfn.SUMIFS(Экономия_корр!AL$26:AL$43,Экономия_корр!$F$26:$F$43,$F44,Экономия_корр!$G$26:$G$43,$G44)</f>
        <v>0</v>
      </c>
      <c r="AR44" s="615">
        <f>_xlfn.SUMIFS(Экономия_корр!AM$26:AM$43,Экономия_корр!$F$26:$F$43,$F44,Экономия_корр!$G$26:$G$43,$G44)</f>
        <v>0</v>
      </c>
      <c r="AS44" s="615">
        <f>_xlfn.SUMIFS(Экономия_корр!AN$26:AN$43,Экономия_корр!$F$26:$F$43,$F44,Экономия_корр!$G$26:$G$43,$G44)</f>
        <v>0</v>
      </c>
      <c r="AT44" s="615">
        <f>_xlfn.SUMIFS(Экономия_корр!AO$26:AO$43,Экономия_корр!$F$26:$F$43,$F44,Экономия_корр!$G$26:$G$43,$G44)</f>
        <v>0</v>
      </c>
      <c r="AU44" s="615">
        <f>_xlfn.SUMIFS(Экономия_корр!AP$26:AP$43,Экономия_корр!$F$26:$F$43,$F44,Экономия_корр!$G$26:$G$43,$G44)</f>
        <v>0</v>
      </c>
      <c r="AV44" s="615">
        <f>_xlfn.SUMIFS(Экономия_корр!AQ$26:AQ$43,Экономия_корр!$F$26:$F$43,$F44,Экономия_корр!$G$26:$G$43,$G44)</f>
        <v>0</v>
      </c>
      <c r="AW44" s="615">
        <f>_xlfn.SUMIFS(Экономия_корр!AR$26:AR$43,Экономия_корр!$F$26:$F$43,$F44,Экономия_корр!$G$26:$G$43,$G44)</f>
        <v>0</v>
      </c>
      <c r="AX44" s="615">
        <f>_xlfn.SUMIFS(Экономия_корр!AS$26:AS$43,Экономия_корр!$F$26:$F$43,$F44,Экономия_корр!$G$26:$G$43,$G44)</f>
        <v>0</v>
      </c>
      <c r="AY44" s="615">
        <f>_xlfn.SUMIFS(Экономия_корр!AT$26:AT$43,Экономия_корр!$F$26:$F$43,$F44,Экономия_корр!$G$26:$G$43,$G44)</f>
        <v>0</v>
      </c>
      <c r="AZ44" s="615">
        <f>_xlfn.SUMIFS(Экономия_корр!AU$26:AU$43,Экономия_корр!$F$26:$F$43,$F44,Экономия_корр!$G$26:$G$43,$G44)</f>
        <v>0</v>
      </c>
      <c r="BA44" s="615">
        <f>_xlfn.SUMIFS(Экономия_корр!AV$26:AV$43,Экономия_корр!$F$26:$F$43,$F44,Экономия_корр!$G$26:$G$43,$G44)</f>
        <v>0</v>
      </c>
      <c r="BB44" s="615">
        <f>_xlfn.SUMIFS(Экономия_корр!AW$26:AW$43,Экономия_корр!$F$26:$F$43,$F44,Экономия_корр!$G$26:$G$43,$G44)</f>
        <v>0</v>
      </c>
      <c r="BC44" s="615">
        <f>_xlfn.SUMIFS(Экономия_корр!AX$26:AX$43,Экономия_корр!$F$26:$F$43,$F44,Экономия_корр!$G$26:$G$43,$G44)</f>
        <v>0</v>
      </c>
      <c r="BD44" s="310">
        <f>IF(AI44=0,0,(AT44-AI44)/AI44*100)</f>
        <v>0</v>
      </c>
      <c r="BE44" s="310">
        <f>IF(AT44=0,0,(AU44-AT44)/AT44*100)</f>
        <v>0</v>
      </c>
      <c r="BF44" s="310">
        <f>IF(AU44=0,0,(AV44-AU44)/AU44*100)</f>
        <v>0</v>
      </c>
      <c r="BG44" s="310">
        <f>IF(AV44=0,0,(AW44-AV44)/AV44*100)</f>
        <v>0</v>
      </c>
      <c r="BH44" s="310">
        <f>IF(AW44=0,0,(AX44-AW44)/AW44*100)</f>
        <v>0</v>
      </c>
      <c r="BI44" s="310">
        <f>IF(AX44=0,0,(AY44-AX44)/AX44*100)</f>
        <v>0</v>
      </c>
      <c r="BJ44" s="310">
        <f>IF(AY44=0,0,(AZ44-AY44)/AY44*100)</f>
        <v>0</v>
      </c>
      <c r="BK44" s="310">
        <f>IF(AZ44=0,0,(BA44-AZ44)/AZ44*100)</f>
        <v>0</v>
      </c>
      <c r="BL44" s="310">
        <f>IF(BA44=0,0,(BB44-BA44)/BA44*100)</f>
        <v>0</v>
      </c>
      <c r="BM44" s="310">
        <f>IF(BB44=0,0,(BC44-BB44)/BB44*100)</f>
        <v>0</v>
      </c>
      <c r="BN44" s="73"/>
      <c r="BO44" s="73"/>
      <c r="BP44" s="73"/>
      <c r="BS44" s="1184" t="s">
        <v>1380</v>
      </c>
    </row>
    <row customHeight="1" ht="27.105" hidden="1">
      <c r="E45" s="797">
        <v>27.8</v>
      </c>
      <c r="F45" s="922" cm="1" t="str">
        <f t="array" ref="F45:F45">OFFSET(G45,-1,-1)</f>
        <v>0</v>
      </c>
      <c r="T45" s="808" cm="1" t="str">
        <f t="array" ref="T45:T45">T44</f>
        <v>false</v>
      </c>
      <c r="AB45" s="160" t="s">
        <v>432</v>
      </c>
      <c r="AC45" s="167" t="s">
        <v>1381</v>
      </c>
      <c r="AD45" s="160" t="s">
        <v>810</v>
      </c>
      <c r="AE45" s="124"/>
      <c r="AF45" s="124"/>
      <c r="AG45" s="124"/>
      <c r="AH45" s="310">
        <f>AG45-AF45</f>
        <v>0</v>
      </c>
      <c r="AI45" s="124"/>
      <c r="AJ45" s="1956"/>
      <c r="AK45" s="124"/>
      <c r="AL45" s="124"/>
      <c r="AM45" s="124"/>
      <c r="AN45" s="124"/>
      <c r="AO45" s="124"/>
      <c r="AP45" s="124"/>
      <c r="AQ45" s="124"/>
      <c r="AR45" s="124"/>
      <c r="AS45" s="124"/>
      <c r="AT45" s="1956"/>
      <c r="AU45" s="124"/>
      <c r="AV45" s="124"/>
      <c r="AW45" s="124"/>
      <c r="AX45" s="124"/>
      <c r="AY45" s="124"/>
      <c r="AZ45" s="124"/>
      <c r="BA45" s="124"/>
      <c r="BB45" s="124"/>
      <c r="BC45" s="124"/>
      <c r="BD45" s="310">
        <f>IF(AI45=0,0,(AT45-AI45)/AI45*100)</f>
        <v>0</v>
      </c>
      <c r="BE45" s="310">
        <f>IF(AT45=0,0,(AU45-AT45)/AT45*100)</f>
        <v>0</v>
      </c>
      <c r="BF45" s="310">
        <f>IF(AU45=0,0,(AV45-AU45)/AU45*100)</f>
        <v>0</v>
      </c>
      <c r="BG45" s="310">
        <f>IF(AV45=0,0,(AW45-AV45)/AV45*100)</f>
        <v>0</v>
      </c>
      <c r="BH45" s="310">
        <f>IF(AW45=0,0,(AX45-AW45)/AW45*100)</f>
        <v>0</v>
      </c>
      <c r="BI45" s="310">
        <f>IF(AX45=0,0,(AY45-AX45)/AX45*100)</f>
        <v>0</v>
      </c>
      <c r="BJ45" s="310">
        <f>IF(AY45=0,0,(AZ45-AY45)/AY45*100)</f>
        <v>0</v>
      </c>
      <c r="BK45" s="310">
        <f>IF(AZ45=0,0,(BA45-AZ45)/AZ45*100)</f>
        <v>0</v>
      </c>
      <c r="BL45" s="310">
        <f>IF(BA45=0,0,(BB45-BA45)/BA45*100)</f>
        <v>0</v>
      </c>
      <c r="BM45" s="310">
        <f>IF(BB45=0,0,(BC45-BB45)/BB45*100)</f>
        <v>0</v>
      </c>
      <c r="BN45" s="73"/>
      <c r="BO45" s="73"/>
      <c r="BP45" s="73"/>
      <c r="BS45" s="1184" t="s">
        <v>1382</v>
      </c>
    </row>
    <row s="235" customFormat="1" customHeight="1" ht="14.625" hidden="1">
      <c r="E46" s="797">
        <v>15</v>
      </c>
      <c r="F46" s="922" cm="1" t="str">
        <f t="array" ref="F46:F46">OFFSET(G46,-1,-1)</f>
        <v>0</v>
      </c>
      <c r="T46" s="808" cm="1" t="str">
        <f t="array" ref="T46:T46">T44</f>
        <v>false</v>
      </c>
      <c r="AB46" s="161" t="s">
        <v>435</v>
      </c>
      <c r="AC46" s="162" t="s">
        <v>1353</v>
      </c>
      <c r="AD46" s="161" t="s">
        <v>810</v>
      </c>
      <c r="AE46" s="618">
        <f>AE42+AE43+AE44+AE45</f>
        <v>0</v>
      </c>
      <c r="AF46" s="618">
        <f>AF42+AF43+AF44+AF45</f>
        <v>0</v>
      </c>
      <c r="AG46" s="120">
        <f>AG42+AG43+AG44+AG45</f>
        <v>0</v>
      </c>
      <c r="AH46" s="310">
        <f>AG46-AF46</f>
        <v>0</v>
      </c>
      <c r="AI46" s="618">
        <f>AI42+AI43+AI44+AI45</f>
        <v>0</v>
      </c>
      <c r="AJ46" s="618">
        <f>AJ42+AJ43+AJ44+AJ45</f>
        <v>0</v>
      </c>
      <c r="AK46" s="618">
        <f>AK42+AK43+AK44+AK45</f>
        <v>0</v>
      </c>
      <c r="AL46" s="618">
        <f>AL42+AL43+AL44+AL45</f>
        <v>0</v>
      </c>
      <c r="AM46" s="618">
        <f>AM42+AM43+AM44+AM45</f>
        <v>0</v>
      </c>
      <c r="AN46" s="618">
        <f>AN42+AN43+AN44+AN45</f>
        <v>0</v>
      </c>
      <c r="AO46" s="618">
        <f>AO42+AO43+AO44+AO45</f>
        <v>0</v>
      </c>
      <c r="AP46" s="618">
        <f>AP42+AP43+AP44+AP45</f>
        <v>0</v>
      </c>
      <c r="AQ46" s="618">
        <f>AQ42+AQ43+AQ44+AQ45</f>
        <v>0</v>
      </c>
      <c r="AR46" s="618">
        <f>AR42+AR43+AR44+AR45</f>
        <v>0</v>
      </c>
      <c r="AS46" s="618">
        <f>AS42+AS43+AS44+AS45</f>
        <v>0</v>
      </c>
      <c r="AT46" s="618">
        <f>AT42+AT43+AT44+AT45</f>
        <v>0</v>
      </c>
      <c r="AU46" s="618">
        <f>AU42+AU43+AU44+AU45</f>
        <v>0</v>
      </c>
      <c r="AV46" s="618">
        <f>AV42+AV43+AV44+AV45</f>
        <v>0</v>
      </c>
      <c r="AW46" s="618">
        <f>AW42+AW43+AW44+AW45</f>
        <v>0</v>
      </c>
      <c r="AX46" s="618">
        <f>AX42+AX43+AX44+AX45</f>
        <v>0</v>
      </c>
      <c r="AY46" s="618">
        <f>AY42+AY43+AY44+AY45</f>
        <v>0</v>
      </c>
      <c r="AZ46" s="618">
        <f>AZ42+AZ43+AZ44+AZ45</f>
        <v>0</v>
      </c>
      <c r="BA46" s="618">
        <f>BA42+BA43+BA44+BA45</f>
        <v>0</v>
      </c>
      <c r="BB46" s="618">
        <f>BB42+BB43+BB44+BB45</f>
        <v>0</v>
      </c>
      <c r="BC46" s="618">
        <f>BC42+BC43+BC44+BC45</f>
        <v>0</v>
      </c>
      <c r="BD46" s="309">
        <f>IF(AI46=0,0,(AT46-AI46)/AI46*100)</f>
        <v>0</v>
      </c>
      <c r="BE46" s="309">
        <f>IF(AT46=0,0,(AU46-AT46)/AT46*100)</f>
        <v>0</v>
      </c>
      <c r="BF46" s="309">
        <f>IF(AU46=0,0,(AV46-AU46)/AU46*100)</f>
        <v>0</v>
      </c>
      <c r="BG46" s="309">
        <f>IF(AV46=0,0,(AW46-AV46)/AV46*100)</f>
        <v>0</v>
      </c>
      <c r="BH46" s="309">
        <f>IF(AW46=0,0,(AX46-AW46)/AW46*100)</f>
        <v>0</v>
      </c>
      <c r="BI46" s="309">
        <f>IF(AX46=0,0,(AY46-AX46)/AX46*100)</f>
        <v>0</v>
      </c>
      <c r="BJ46" s="309">
        <f>IF(AY46=0,0,(AZ46-AY46)/AY46*100)</f>
        <v>0</v>
      </c>
      <c r="BK46" s="309">
        <f>IF(AZ46=0,0,(BA46-AZ46)/AZ46*100)</f>
        <v>0</v>
      </c>
      <c r="BL46" s="309">
        <f>IF(BA46=0,0,(BB46-BA46)/BA46*100)</f>
        <v>0</v>
      </c>
      <c r="BM46" s="309">
        <f>IF(BB46=0,0,(BC46-BB46)/BB46*100)</f>
        <v>0</v>
      </c>
      <c r="BN46" s="73"/>
      <c r="BO46" s="73"/>
      <c r="BP46" s="73"/>
      <c r="BS46" s="1184" t="s">
        <v>1383</v>
      </c>
    </row>
    <row s="1957" customFormat="1" customHeight="1" ht="18">
      <c r="A47" s="220"/>
      <c r="B47" s="220"/>
      <c r="C47" s="220"/>
      <c r="D47" s="220"/>
      <c r="E47" s="797">
        <v>18.8</v>
      </c>
      <c r="F47" s="922" cm="1" t="str">
        <f t="array" ref="F47:F47">X47</f>
        <v>1</v>
      </c>
      <c r="G47" s="739" cm="1" t="str">
        <f t="array" ref="G47:G47">INDEX('Общие сведения'!$AK$169:$AK$202,MATCH($F47,'Общие сведения'!$Z$169:$Z$202,0))</f>
        <v>одноставочный</v>
      </c>
      <c r="H47" s="220"/>
      <c r="I47" s="213" cm="1" t="str">
        <f t="array" ref="I47:I47">INDEX('Общие сведения'!$AE$169:$AE$202,MATCH($F47,'Общие сведения'!$Z$169:$Z$202,0))</f>
        <v>Теплоснабжение</v>
      </c>
      <c r="J47" s="220"/>
      <c r="K47" s="220"/>
      <c r="L47" s="220"/>
      <c r="M47" s="220"/>
      <c r="N47" s="220"/>
      <c r="O47" s="220"/>
      <c r="P47" s="220"/>
      <c r="Q47" s="220"/>
      <c r="R47" s="220"/>
      <c r="S47" s="220"/>
      <c r="T47" s="808">
        <f>X47&gt;0</f>
        <v>1</v>
      </c>
      <c r="U47" s="220"/>
      <c r="V47" s="175" cm="1" t="str">
        <f t="array" ref="V47:V47">'Операционные (5.2)'!$AB$36</f>
        <v>Тариф 1 (Теплоснабжение) - Тариф на тепловую энергию (мощность), поставляемую потребителям (Не определено)</v>
      </c>
      <c r="W47" s="220"/>
      <c r="X47" s="175" t="s">
        <v>336</v>
      </c>
      <c r="Y47" s="220"/>
      <c r="Z47" s="220"/>
      <c r="AA47" s="220"/>
      <c r="AB47" s="330"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1"/>
      <c r="AD47" s="331"/>
      <c r="AE47" s="331"/>
      <c r="AF47" s="331"/>
      <c r="AG47" s="331"/>
      <c r="AH47" s="331"/>
      <c r="AI47" s="331"/>
      <c r="AJ47" s="331"/>
      <c r="AK47" s="331"/>
      <c r="AL47" s="331"/>
      <c r="AM47" s="331"/>
      <c r="AN47" s="331"/>
      <c r="AO47" s="331"/>
      <c r="AP47" s="331"/>
      <c r="AQ47" s="331"/>
      <c r="AR47" s="331"/>
      <c r="AS47" s="331"/>
      <c r="AT47" s="331"/>
      <c r="AU47" s="331"/>
      <c r="AV47" s="331"/>
      <c r="AW47" s="331"/>
      <c r="AX47" s="331"/>
      <c r="AY47" s="331"/>
      <c r="AZ47" s="331"/>
      <c r="BA47" s="331"/>
      <c r="BB47" s="331"/>
      <c r="BC47" s="331"/>
      <c r="BD47" s="331"/>
      <c r="BE47" s="331"/>
      <c r="BF47" s="331"/>
      <c r="BG47" s="331"/>
      <c r="BH47" s="331"/>
      <c r="BI47" s="331"/>
      <c r="BJ47" s="331"/>
      <c r="BK47" s="331"/>
      <c r="BL47" s="331"/>
      <c r="BM47" s="331"/>
      <c r="BN47" s="331"/>
      <c r="BO47" s="331"/>
      <c r="BP47" s="331"/>
      <c r="BQ47" s="220"/>
      <c r="BR47" s="220"/>
      <c r="BS47" s="1184"/>
    </row>
    <row s="1958" customFormat="1" customHeight="1" ht="13.5">
      <c r="A48" s="220"/>
      <c r="B48" s="220"/>
      <c r="C48" s="220"/>
      <c r="D48" s="220"/>
      <c r="E48" s="797">
        <v>14.1</v>
      </c>
      <c r="F48" s="922" cm="1" t="str">
        <f t="array" ref="F48:F48">OFFSET(G48,-1,-1)</f>
        <v>1</v>
      </c>
      <c r="G48" s="739" t="s">
        <v>1352</v>
      </c>
      <c r="H48" s="220"/>
      <c r="I48" s="220"/>
      <c r="J48" s="220"/>
      <c r="K48" s="230" t="str">
        <f>F48&amp;"komm"</f>
        <v>1komm</v>
      </c>
      <c r="L48" s="229" cm="1" t="str">
        <f t="array" ref="L48:L48">BO48</f>
        <v>0</v>
      </c>
      <c r="M48" s="220"/>
      <c r="N48" s="220"/>
      <c r="O48" s="220"/>
      <c r="P48" s="220"/>
      <c r="Q48" s="220"/>
      <c r="R48" s="220"/>
      <c r="S48" s="220"/>
      <c r="T48" s="808" cm="1" t="str">
        <f t="array" ref="T48:T48">T47</f>
        <v>true</v>
      </c>
      <c r="U48" s="220"/>
      <c r="V48" s="220"/>
      <c r="W48" s="220"/>
      <c r="X48" s="220"/>
      <c r="Y48" s="220"/>
      <c r="Z48" s="220"/>
      <c r="AA48" s="220"/>
      <c r="AB48" s="1548" t="s">
        <v>1353</v>
      </c>
      <c r="AC48" s="1549"/>
      <c r="AD48" s="305" t="s">
        <v>810</v>
      </c>
      <c r="AE48" s="309" cm="1" t="str">
        <f t="array" ref="AE48:AE48">AE66</f>
        <v>3916.9</v>
      </c>
      <c r="AF48" s="309" cm="1" t="str">
        <f t="array" ref="AF48:AF48">AF66</f>
        <v>3947.28</v>
      </c>
      <c r="AG48" s="309" cm="1" t="str">
        <f t="array" ref="AG48:AG48">AG66</f>
        <v>3932.28</v>
      </c>
      <c r="AH48" s="309" cm="1" t="str">
        <f t="array" ref="AH48:AH48">AH66</f>
        <v>-15</v>
      </c>
      <c r="AI48" s="309" cm="1" t="str">
        <f t="array" ref="AI48:AI48">AI66</f>
        <v>4109.41</v>
      </c>
      <c r="AJ48" s="309" cm="1" t="str">
        <f t="array" ref="AJ48:AJ48">AJ66</f>
        <v>6539.63</v>
      </c>
      <c r="AK48" s="309" cm="1" t="str">
        <f t="array" ref="AK48:AK48">AK66</f>
        <v>1103.3</v>
      </c>
      <c r="AL48" s="309" cm="1" t="str">
        <f t="array" ref="AL48:AL48">AL66</f>
        <v>0</v>
      </c>
      <c r="AM48" s="309" cm="1" t="str">
        <f t="array" ref="AM48:AM48">AM66</f>
        <v>0</v>
      </c>
      <c r="AN48" s="309" cm="1" t="str">
        <f t="array" ref="AN48:AN48">AN66</f>
        <v>0</v>
      </c>
      <c r="AO48" s="309" cm="1" t="str">
        <f t="array" ref="AO48:AO48">AO66</f>
        <v>0</v>
      </c>
      <c r="AP48" s="309" cm="1" t="str">
        <f t="array" ref="AP48:AP48">AP66</f>
        <v>0</v>
      </c>
      <c r="AQ48" s="309" cm="1" t="str">
        <f t="array" ref="AQ48:AQ48">AQ66</f>
        <v>0</v>
      </c>
      <c r="AR48" s="309" cm="1" t="str">
        <f t="array" ref="AR48:AR48">AR66</f>
        <v>0</v>
      </c>
      <c r="AS48" s="309" cm="1" t="str">
        <f t="array" ref="AS48:AS48">AS66</f>
        <v>0</v>
      </c>
      <c r="AT48" s="309" cm="1" t="str">
        <f t="array" ref="AT48:AT48">AT66</f>
        <v>4189.59</v>
      </c>
      <c r="AU48" s="309" cm="1" t="str">
        <f t="array" ref="AU48:AU48">AU66</f>
        <v>0</v>
      </c>
      <c r="AV48" s="309" cm="1" t="str">
        <f t="array" ref="AV48:AV48">AV66</f>
        <v>0</v>
      </c>
      <c r="AW48" s="309" cm="1" t="str">
        <f t="array" ref="AW48:AW48">AW66</f>
        <v>0</v>
      </c>
      <c r="AX48" s="309" cm="1" t="str">
        <f t="array" ref="AX48:AX48">AX66</f>
        <v>0</v>
      </c>
      <c r="AY48" s="309" cm="1" t="str">
        <f t="array" ref="AY48:AY48">AY66</f>
        <v>0</v>
      </c>
      <c r="AZ48" s="309" cm="1" t="str">
        <f t="array" ref="AZ48:AZ48">AZ66</f>
        <v>0</v>
      </c>
      <c r="BA48" s="309" cm="1" t="str">
        <f t="array" ref="BA48:BA48">BA66</f>
        <v>0</v>
      </c>
      <c r="BB48" s="309" cm="1" t="str">
        <f t="array" ref="BB48:BB48">BB66</f>
        <v>0</v>
      </c>
      <c r="BC48" s="309" cm="1" t="str">
        <f t="array" ref="BC48:BC48">BC66</f>
        <v>0</v>
      </c>
      <c r="BD48" s="309" cm="1" t="str">
        <f t="array" ref="BD48:BD48">BD66</f>
        <v>1.95113167096981</v>
      </c>
      <c r="BE48" s="309" cm="1" t="str">
        <f t="array" ref="BE48:BE48">BE66</f>
        <v>-100</v>
      </c>
      <c r="BF48" s="309" cm="1" t="str">
        <f t="array" ref="BF48:BF48">BF66</f>
        <v>0</v>
      </c>
      <c r="BG48" s="309" cm="1" t="str">
        <f t="array" ref="BG48:BG48">BG66</f>
        <v>0</v>
      </c>
      <c r="BH48" s="309" cm="1" t="str">
        <f t="array" ref="BH48:BH48">BH66</f>
        <v>0</v>
      </c>
      <c r="BI48" s="309" cm="1" t="str">
        <f t="array" ref="BI48:BI48">BI66</f>
        <v>0</v>
      </c>
      <c r="BJ48" s="309" cm="1" t="str">
        <f t="array" ref="BJ48:BJ48">BJ66</f>
        <v>0</v>
      </c>
      <c r="BK48" s="309" cm="1" t="str">
        <f t="array" ref="BK48:BK48">BK66</f>
        <v>0</v>
      </c>
      <c r="BL48" s="309" cm="1" t="str">
        <f t="array" ref="BL48:BL48">BL66</f>
        <v>0</v>
      </c>
      <c r="BM48" s="309" cm="1" t="str">
        <f t="array" ref="BM48:BM48">BM66</f>
        <v>0</v>
      </c>
      <c r="BN48" s="1719"/>
      <c r="BO48" s="1719"/>
      <c r="BP48" s="1719"/>
      <c r="BQ48" s="220"/>
      <c r="BR48" s="220"/>
      <c r="BS48" s="1184" t="s">
        <v>1354</v>
      </c>
    </row>
    <row s="1632" customFormat="1" customHeight="1" ht="27">
      <c r="A49" s="228"/>
      <c r="B49" s="927"/>
      <c r="C49" s="228"/>
      <c r="D49" s="228"/>
      <c r="E49" s="797">
        <v>27.8</v>
      </c>
      <c r="F49" s="922" cm="1" t="str">
        <f t="array" ref="F49:F49">OFFSET(G49,-1,-1)</f>
        <v>1</v>
      </c>
      <c r="G49" s="193" t="s">
        <v>1183</v>
      </c>
      <c r="H49" s="230"/>
      <c r="I49" s="230"/>
      <c r="J49" s="230"/>
      <c r="K49" s="230"/>
      <c r="L49" s="230"/>
      <c r="M49" s="230"/>
      <c r="N49" s="230"/>
      <c r="O49" s="230"/>
      <c r="P49" s="230"/>
      <c r="Q49" s="193"/>
      <c r="R49" s="193"/>
      <c r="S49" s="230"/>
      <c r="T49" s="808" cm="1" t="str">
        <f t="array" ref="T49:T49">T48</f>
        <v>true</v>
      </c>
      <c r="U49" s="1582"/>
      <c r="V49" s="1582"/>
      <c r="W49" s="1582"/>
      <c r="X49" s="1582"/>
      <c r="Y49" s="1582"/>
      <c r="Z49" s="1582"/>
      <c r="AA49" s="230"/>
      <c r="AB49" s="160" t="s">
        <v>449</v>
      </c>
      <c r="AC49" s="167" t="s">
        <v>47</v>
      </c>
      <c r="AD49" s="160" t="s">
        <v>810</v>
      </c>
      <c r="AE49" s="615">
        <f>_xlfn.SUMIFS('Покупка услуг'!AE$26:AE$65,'Покупка услуг'!$F$26:$F$65,$F49,'Покупка услуг'!$G$26:$G$65,$G49)</f>
        <v>0</v>
      </c>
      <c r="AF49" s="615">
        <f>_xlfn.SUMIFS('Покупка услуг'!AF$26:AF$65,'Покупка услуг'!$F$26:$F$65,$F49,'Покупка услуг'!$G$26:$G$65,$G49)</f>
        <v>0</v>
      </c>
      <c r="AG49" s="1956">
        <f>_xlfn.SUMIFS('Покупка услуг'!AG$26:AG$65,'Покупка услуг'!$F$26:$F$65,$F49,'Покупка услуг'!$G$26:$G$65,$G49)</f>
        <v>0</v>
      </c>
      <c r="AH49" s="310">
        <f>AG49-AF49</f>
        <v>0</v>
      </c>
      <c r="AI49" s="615">
        <f>_xlfn.SUMIFS('Покупка услуг'!AH$26:AH$65,'Покупка услуг'!$F$26:$F$65,$F49,'Покупка услуг'!$G$26:$G$65,$G49)</f>
        <v>0</v>
      </c>
      <c r="AJ49" s="615">
        <f>_xlfn.SUMIFS('Покупка услуг'!AI$26:AI$65,'Покупка услуг'!$F$26:$F$65,$F49,'Покупка услуг'!$G$26:$G$65,$G49)</f>
        <v>0</v>
      </c>
      <c r="AK49" s="615">
        <f>_xlfn.SUMIFS('Покупка услуг'!AJ$26:AJ$65,'Покупка услуг'!$F$26:$F$65,$F49,'Покупка услуг'!$G$26:$G$65,$G49)</f>
        <v>0</v>
      </c>
      <c r="AL49" s="615">
        <f>_xlfn.SUMIFS('Покупка услуг'!AK$26:AK$65,'Покупка услуг'!$F$26:$F$65,$F49,'Покупка услуг'!$G$26:$G$65,$G49)</f>
        <v>0</v>
      </c>
      <c r="AM49" s="615">
        <f>_xlfn.SUMIFS('Покупка услуг'!AL$26:AL$65,'Покупка услуг'!$F$26:$F$65,$F49,'Покупка услуг'!$G$26:$G$65,$G49)</f>
        <v>0</v>
      </c>
      <c r="AN49" s="615">
        <f>_xlfn.SUMIFS('Покупка услуг'!AM$26:AM$65,'Покупка услуг'!$F$26:$F$65,$F49,'Покупка услуг'!$G$26:$G$65,$G49)</f>
        <v>0</v>
      </c>
      <c r="AO49" s="615">
        <f>_xlfn.SUMIFS('Покупка услуг'!AN$26:AN$65,'Покупка услуг'!$F$26:$F$65,$F49,'Покупка услуг'!$G$26:$G$65,$G49)</f>
        <v>0</v>
      </c>
      <c r="AP49" s="615">
        <f>_xlfn.SUMIFS('Покупка услуг'!AO$26:AO$65,'Покупка услуг'!$F$26:$F$65,$F49,'Покупка услуг'!$G$26:$G$65,$G49)</f>
        <v>0</v>
      </c>
      <c r="AQ49" s="615">
        <f>_xlfn.SUMIFS('Покупка услуг'!AP$26:AP$65,'Покупка услуг'!$F$26:$F$65,$F49,'Покупка услуг'!$G$26:$G$65,$G49)</f>
        <v>0</v>
      </c>
      <c r="AR49" s="615">
        <f>_xlfn.SUMIFS('Покупка услуг'!AQ$26:AQ$65,'Покупка услуг'!$F$26:$F$65,$F49,'Покупка услуг'!$G$26:$G$65,$G49)</f>
        <v>0</v>
      </c>
      <c r="AS49" s="615">
        <f>_xlfn.SUMIFS('Покупка услуг'!AR$26:AR$65,'Покупка услуг'!$F$26:$F$65,$F49,'Покупка услуг'!$G$26:$G$65,$G49)</f>
        <v>0</v>
      </c>
      <c r="AT49" s="615">
        <f>_xlfn.SUMIFS('Покупка услуг'!AS$26:AS$65,'Покупка услуг'!$F$26:$F$65,$F49,'Покупка услуг'!$G$26:$G$65,$G49)</f>
        <v>0</v>
      </c>
      <c r="AU49" s="615">
        <f>_xlfn.SUMIFS('Покупка услуг'!AT$26:AT$65,'Покупка услуг'!$F$26:$F$65,$F49,'Покупка услуг'!$G$26:$G$65,$G49)</f>
        <v>0</v>
      </c>
      <c r="AV49" s="615">
        <f>_xlfn.SUMIFS('Покупка услуг'!AU$26:AU$65,'Покупка услуг'!$F$26:$F$65,$F49,'Покупка услуг'!$G$26:$G$65,$G49)</f>
        <v>0</v>
      </c>
      <c r="AW49" s="615">
        <f>_xlfn.SUMIFS('Покупка услуг'!AV$26:AV$65,'Покупка услуг'!$F$26:$F$65,$F49,'Покупка услуг'!$G$26:$G$65,$G49)</f>
        <v>0</v>
      </c>
      <c r="AX49" s="615">
        <f>_xlfn.SUMIFS('Покупка услуг'!AW$26:AW$65,'Покупка услуг'!$F$26:$F$65,$F49,'Покупка услуг'!$G$26:$G$65,$G49)</f>
        <v>0</v>
      </c>
      <c r="AY49" s="615">
        <f>_xlfn.SUMIFS('Покупка услуг'!AX$26:AX$65,'Покупка услуг'!$F$26:$F$65,$F49,'Покупка услуг'!$G$26:$G$65,$G49)</f>
        <v>0</v>
      </c>
      <c r="AZ49" s="615">
        <f>_xlfn.SUMIFS('Покупка услуг'!AY$26:AY$65,'Покупка услуг'!$F$26:$F$65,$F49,'Покупка услуг'!$G$26:$G$65,$G49)</f>
        <v>0</v>
      </c>
      <c r="BA49" s="615">
        <f>_xlfn.SUMIFS('Покупка услуг'!AZ$26:AZ$65,'Покупка услуг'!$F$26:$F$65,$F49,'Покупка услуг'!$G$26:$G$65,$G49)</f>
        <v>0</v>
      </c>
      <c r="BB49" s="615">
        <f>_xlfn.SUMIFS('Покупка услуг'!BA$26:BA$65,'Покупка услуг'!$F$26:$F$65,$F49,'Покупка услуг'!$G$26:$G$65,$G49)</f>
        <v>0</v>
      </c>
      <c r="BC49" s="615">
        <f>_xlfn.SUMIFS('Покупка услуг'!BB$26:BB$65,'Покупка услуг'!$F$26:$F$65,$F49,'Покупка услуг'!$G$26:$G$65,$G49)</f>
        <v>0</v>
      </c>
      <c r="BD49" s="310">
        <f>IF(AI49=0,0,(AT49-AI49)/AI49*100)</f>
        <v>0</v>
      </c>
      <c r="BE49" s="310">
        <f>IF(AT49=0,0,(AU49-AT49)/AT49*100)</f>
        <v>0</v>
      </c>
      <c r="BF49" s="310">
        <f>IF(AU49=0,0,(AV49-AU49)/AU49*100)</f>
        <v>0</v>
      </c>
      <c r="BG49" s="310">
        <f>IF(AV49=0,0,(AW49-AV49)/AV49*100)</f>
        <v>0</v>
      </c>
      <c r="BH49" s="310">
        <f>IF(AW49=0,0,(AX49-AW49)/AW49*100)</f>
        <v>0</v>
      </c>
      <c r="BI49" s="310">
        <f>IF(AX49=0,0,(AY49-AX49)/AX49*100)</f>
        <v>0</v>
      </c>
      <c r="BJ49" s="310">
        <f>IF(AY49=0,0,(AZ49-AY49)/AY49*100)</f>
        <v>0</v>
      </c>
      <c r="BK49" s="310">
        <f>IF(AZ49=0,0,(BA49-AZ49)/AZ49*100)</f>
        <v>0</v>
      </c>
      <c r="BL49" s="310">
        <f>IF(BA49=0,0,(BB49-BA49)/BA49*100)</f>
        <v>0</v>
      </c>
      <c r="BM49" s="310">
        <f>IF(BB49=0,0,(BC49-BB49)/BB49*100)</f>
        <v>0</v>
      </c>
      <c r="BN49" s="1719"/>
      <c r="BO49" s="1719"/>
      <c r="BP49" s="1719"/>
      <c r="BQ49" s="230"/>
      <c r="BR49" s="230"/>
      <c r="BS49" s="1184" t="s">
        <v>1355</v>
      </c>
    </row>
    <row s="1632" customFormat="1" customHeight="1" ht="14.25">
      <c r="A50" s="228"/>
      <c r="B50" s="927"/>
      <c r="C50" s="228"/>
      <c r="D50" s="228"/>
      <c r="E50" s="797">
        <v>15</v>
      </c>
      <c r="F50" s="922" cm="1" t="str">
        <f t="array" ref="F50:F50">OFFSET(G50,-1,-1)</f>
        <v>1</v>
      </c>
      <c r="G50" s="739" t="s">
        <v>1159</v>
      </c>
      <c r="H50" s="230"/>
      <c r="I50" s="230"/>
      <c r="J50" s="230"/>
      <c r="K50" s="230"/>
      <c r="L50" s="230"/>
      <c r="M50" s="230"/>
      <c r="N50" s="230"/>
      <c r="O50" s="230"/>
      <c r="P50" s="230"/>
      <c r="Q50" s="193"/>
      <c r="R50" s="193"/>
      <c r="S50" s="230"/>
      <c r="T50" s="808" cm="1" t="str">
        <f t="array" ref="T50:T50">T49</f>
        <v>true</v>
      </c>
      <c r="U50" s="1582"/>
      <c r="V50" s="1582"/>
      <c r="W50" s="1582"/>
      <c r="X50" s="1582"/>
      <c r="Y50" s="1582"/>
      <c r="Z50" s="1582"/>
      <c r="AA50" s="230"/>
      <c r="AB50" s="160" t="s">
        <v>935</v>
      </c>
      <c r="AC50" s="167" t="s">
        <v>1356</v>
      </c>
      <c r="AD50" s="160" t="s">
        <v>810</v>
      </c>
      <c r="AE50" s="310">
        <f>_xlfn.SUMIFS(Аренда!AE$26:AE$51,Аренда!$F$26:$F$51,$F50,Аренда!$G$26:$G$51,$G50)</f>
        <v>0</v>
      </c>
      <c r="AF50" s="310">
        <f>_xlfn.SUMIFS(Аренда!AF$26:AF$51,Аренда!$F$26:$F$51,$F50,Аренда!$G$26:$G$51,$G50)</f>
        <v>0</v>
      </c>
      <c r="AG50" s="1868">
        <f>_xlfn.SUMIFS(Аренда!AG$26:AG$51,Аренда!$F$26:$F$51,$F50,Аренда!$G$26:$G$51,$G50)</f>
        <v>0</v>
      </c>
      <c r="AH50" s="310">
        <f>AG50-AF50</f>
        <v>0</v>
      </c>
      <c r="AI50" s="310">
        <f>_xlfn.SUMIFS(Аренда!AH$26:AH$51,Аренда!$F$26:$F$51,$F50,Аренда!$G$26:$G$51,$G50)</f>
        <v>0</v>
      </c>
      <c r="AJ50" s="310">
        <f>_xlfn.SUMIFS(Аренда!AI$26:AI$51,Аренда!$F$26:$F$51,$F50,Аренда!$G$26:$G$51,$G50)</f>
        <v>0</v>
      </c>
      <c r="AK50" s="310">
        <f>_xlfn.SUMIFS(Аренда!AJ$26:AJ$51,Аренда!$F$26:$F$51,$F50,Аренда!$G$26:$G$51,$G50)</f>
        <v>0</v>
      </c>
      <c r="AL50" s="310">
        <f>_xlfn.SUMIFS(Аренда!AK$26:AK$51,Аренда!$F$26:$F$51,$F50,Аренда!$G$26:$G$51,$G50)</f>
        <v>0</v>
      </c>
      <c r="AM50" s="310">
        <f>_xlfn.SUMIFS(Аренда!AL$26:AL$51,Аренда!$F$26:$F$51,$F50,Аренда!$G$26:$G$51,$G50)</f>
        <v>0</v>
      </c>
      <c r="AN50" s="310">
        <f>_xlfn.SUMIFS(Аренда!AM$26:AM$51,Аренда!$F$26:$F$51,$F50,Аренда!$G$26:$G$51,$G50)</f>
        <v>0</v>
      </c>
      <c r="AO50" s="310">
        <f>_xlfn.SUMIFS(Аренда!AN$26:AN$51,Аренда!$F$26:$F$51,$F50,Аренда!$G$26:$G$51,$G50)</f>
        <v>0</v>
      </c>
      <c r="AP50" s="310">
        <f>_xlfn.SUMIFS(Аренда!AO$26:AO$51,Аренда!$F$26:$F$51,$F50,Аренда!$G$26:$G$51,$G50)</f>
        <v>0</v>
      </c>
      <c r="AQ50" s="310">
        <f>_xlfn.SUMIFS(Аренда!AP$26:AP$51,Аренда!$F$26:$F$51,$F50,Аренда!$G$26:$G$51,$G50)</f>
        <v>0</v>
      </c>
      <c r="AR50" s="310">
        <f>_xlfn.SUMIFS(Аренда!AQ$26:AQ$51,Аренда!$F$26:$F$51,$F50,Аренда!$G$26:$G$51,$G50)</f>
        <v>0</v>
      </c>
      <c r="AS50" s="310">
        <f>_xlfn.SUMIFS(Аренда!AR$26:AR$51,Аренда!$F$26:$F$51,$F50,Аренда!$G$26:$G$51,$G50)</f>
        <v>0</v>
      </c>
      <c r="AT50" s="310">
        <f>_xlfn.SUMIFS(Аренда!AS$26:AS$51,Аренда!$F$26:$F$51,$F50,Аренда!$G$26:$G$51,$G50)</f>
        <v>0</v>
      </c>
      <c r="AU50" s="310">
        <f>_xlfn.SUMIFS(Аренда!AT$26:AT$51,Аренда!$F$26:$F$51,$F50,Аренда!$G$26:$G$51,$G50)</f>
        <v>0</v>
      </c>
      <c r="AV50" s="310">
        <f>_xlfn.SUMIFS(Аренда!AU$26:AU$51,Аренда!$F$26:$F$51,$F50,Аренда!$G$26:$G$51,$G50)</f>
        <v>0</v>
      </c>
      <c r="AW50" s="310">
        <f>_xlfn.SUMIFS(Аренда!AV$26:AV$51,Аренда!$F$26:$F$51,$F50,Аренда!$G$26:$G$51,$G50)</f>
        <v>0</v>
      </c>
      <c r="AX50" s="310">
        <f>_xlfn.SUMIFS(Аренда!AW$26:AW$51,Аренда!$F$26:$F$51,$F50,Аренда!$G$26:$G$51,$G50)</f>
        <v>0</v>
      </c>
      <c r="AY50" s="310">
        <f>_xlfn.SUMIFS(Аренда!AX$26:AX$51,Аренда!$F$26:$F$51,$F50,Аренда!$G$26:$G$51,$G50)</f>
        <v>0</v>
      </c>
      <c r="AZ50" s="310">
        <f>_xlfn.SUMIFS(Аренда!AY$26:AY$51,Аренда!$F$26:$F$51,$F50,Аренда!$G$26:$G$51,$G50)</f>
        <v>0</v>
      </c>
      <c r="BA50" s="310">
        <f>_xlfn.SUMIFS(Аренда!AZ$26:AZ$51,Аренда!$F$26:$F$51,$F50,Аренда!$G$26:$G$51,$G50)</f>
        <v>0</v>
      </c>
      <c r="BB50" s="310">
        <f>_xlfn.SUMIFS(Аренда!BA$26:BA$51,Аренда!$F$26:$F$51,$F50,Аренда!$G$26:$G$51,$G50)</f>
        <v>0</v>
      </c>
      <c r="BC50" s="310">
        <f>_xlfn.SUMIFS(Аренда!BB$26:BB$51,Аренда!$F$26:$F$51,$F50,Аренда!$G$26:$G$51,$G50)</f>
        <v>0</v>
      </c>
      <c r="BD50" s="310">
        <f>IF(AI50=0,0,(AT50-AI50)/AI50*100)</f>
        <v>0</v>
      </c>
      <c r="BE50" s="310">
        <f>IF(AT50=0,0,(AU50-AT50)/AT50*100)</f>
        <v>0</v>
      </c>
      <c r="BF50" s="310">
        <f>IF(AU50=0,0,(AV50-AU50)/AU50*100)</f>
        <v>0</v>
      </c>
      <c r="BG50" s="310">
        <f>IF(AV50=0,0,(AW50-AV50)/AV50*100)</f>
        <v>0</v>
      </c>
      <c r="BH50" s="310">
        <f>IF(AW50=0,0,(AX50-AW50)/AW50*100)</f>
        <v>0</v>
      </c>
      <c r="BI50" s="310">
        <f>IF(AX50=0,0,(AY50-AX50)/AX50*100)</f>
        <v>0</v>
      </c>
      <c r="BJ50" s="310">
        <f>IF(AY50=0,0,(AZ50-AY50)/AY50*100)</f>
        <v>0</v>
      </c>
      <c r="BK50" s="310">
        <f>IF(AZ50=0,0,(BA50-AZ50)/AZ50*100)</f>
        <v>0</v>
      </c>
      <c r="BL50" s="310">
        <f>IF(BA50=0,0,(BB50-BA50)/BA50*100)</f>
        <v>0</v>
      </c>
      <c r="BM50" s="310">
        <f>IF(BB50=0,0,(BC50-BB50)/BB50*100)</f>
        <v>0</v>
      </c>
      <c r="BN50" s="1719"/>
      <c r="BO50" s="1719"/>
      <c r="BP50" s="1719"/>
      <c r="BQ50" s="230"/>
      <c r="BR50" s="230"/>
      <c r="BS50" s="1184" t="s">
        <v>1162</v>
      </c>
    </row>
    <row s="1632" customFormat="1" customHeight="1" ht="14.25">
      <c r="A51" s="228"/>
      <c r="B51" s="927"/>
      <c r="C51" s="228"/>
      <c r="D51" s="228"/>
      <c r="E51" s="797">
        <v>15</v>
      </c>
      <c r="F51" s="922" cm="1" t="str">
        <f t="array" ref="F51:F51">OFFSET(G51,-1,-1)</f>
        <v>1</v>
      </c>
      <c r="G51" s="193" t="s">
        <v>1163</v>
      </c>
      <c r="H51" s="230"/>
      <c r="I51" s="230"/>
      <c r="J51" s="230"/>
      <c r="K51" s="230"/>
      <c r="L51" s="230"/>
      <c r="M51" s="230"/>
      <c r="N51" s="230"/>
      <c r="O51" s="230"/>
      <c r="P51" s="230"/>
      <c r="Q51" s="193"/>
      <c r="R51" s="193"/>
      <c r="S51" s="230"/>
      <c r="T51" s="808" cm="1" t="str">
        <f t="array" ref="T51:T51">T50</f>
        <v>true</v>
      </c>
      <c r="U51" s="1582"/>
      <c r="V51" s="1582"/>
      <c r="W51" s="1582"/>
      <c r="X51" s="1582"/>
      <c r="Y51" s="1582"/>
      <c r="Z51" s="1582"/>
      <c r="AA51" s="230"/>
      <c r="AB51" s="160" t="s">
        <v>937</v>
      </c>
      <c r="AC51" s="167" t="s">
        <v>1164</v>
      </c>
      <c r="AD51" s="160" t="s">
        <v>810</v>
      </c>
      <c r="AE51" s="310">
        <f>_xlfn.SUMIFS(Аренда!AE$26:AE$51,Аренда!$F$26:$F$51,$F51,Аренда!$G$26:$G$51,$G51)</f>
        <v>0</v>
      </c>
      <c r="AF51" s="310">
        <f>_xlfn.SUMIFS(Аренда!AF$26:AF$51,Аренда!$F$26:$F$51,$F51,Аренда!$G$26:$G$51,$G51)</f>
        <v>0</v>
      </c>
      <c r="AG51" s="1868">
        <f>_xlfn.SUMIFS(Аренда!AG$26:AG$51,Аренда!$F$26:$F$51,$F51,Аренда!$G$26:$G$51,$G51)</f>
        <v>0</v>
      </c>
      <c r="AH51" s="310">
        <f>AG51-AF51</f>
        <v>0</v>
      </c>
      <c r="AI51" s="310">
        <f>_xlfn.SUMIFS(Аренда!AH$26:AH$51,Аренда!$F$26:$F$51,$F51,Аренда!$G$26:$G$51,$G51)</f>
        <v>0</v>
      </c>
      <c r="AJ51" s="310">
        <f>_xlfn.SUMIFS(Аренда!AI$26:AI$51,Аренда!$F$26:$F$51,$F51,Аренда!$G$26:$G$51,$G51)</f>
        <v>0</v>
      </c>
      <c r="AK51" s="310">
        <f>_xlfn.SUMIFS(Аренда!AJ$26:AJ$51,Аренда!$F$26:$F$51,$F51,Аренда!$G$26:$G$51,$G51)</f>
        <v>0</v>
      </c>
      <c r="AL51" s="310">
        <f>_xlfn.SUMIFS(Аренда!AK$26:AK$51,Аренда!$F$26:$F$51,$F51,Аренда!$G$26:$G$51,$G51)</f>
        <v>0</v>
      </c>
      <c r="AM51" s="310">
        <f>_xlfn.SUMIFS(Аренда!AL$26:AL$51,Аренда!$F$26:$F$51,$F51,Аренда!$G$26:$G$51,$G51)</f>
        <v>0</v>
      </c>
      <c r="AN51" s="310">
        <f>_xlfn.SUMIFS(Аренда!AM$26:AM$51,Аренда!$F$26:$F$51,$F51,Аренда!$G$26:$G$51,$G51)</f>
        <v>0</v>
      </c>
      <c r="AO51" s="310">
        <f>_xlfn.SUMIFS(Аренда!AN$26:AN$51,Аренда!$F$26:$F$51,$F51,Аренда!$G$26:$G$51,$G51)</f>
        <v>0</v>
      </c>
      <c r="AP51" s="310">
        <f>_xlfn.SUMIFS(Аренда!AO$26:AO$51,Аренда!$F$26:$F$51,$F51,Аренда!$G$26:$G$51,$G51)</f>
        <v>0</v>
      </c>
      <c r="AQ51" s="310">
        <f>_xlfn.SUMIFS(Аренда!AP$26:AP$51,Аренда!$F$26:$F$51,$F51,Аренда!$G$26:$G$51,$G51)</f>
        <v>0</v>
      </c>
      <c r="AR51" s="310">
        <f>_xlfn.SUMIFS(Аренда!AQ$26:AQ$51,Аренда!$F$26:$F$51,$F51,Аренда!$G$26:$G$51,$G51)</f>
        <v>0</v>
      </c>
      <c r="AS51" s="310">
        <f>_xlfn.SUMIFS(Аренда!AR$26:AR$51,Аренда!$F$26:$F$51,$F51,Аренда!$G$26:$G$51,$G51)</f>
        <v>0</v>
      </c>
      <c r="AT51" s="310">
        <f>_xlfn.SUMIFS(Аренда!AS$26:AS$51,Аренда!$F$26:$F$51,$F51,Аренда!$G$26:$G$51,$G51)</f>
        <v>0</v>
      </c>
      <c r="AU51" s="310">
        <f>_xlfn.SUMIFS(Аренда!AT$26:AT$51,Аренда!$F$26:$F$51,$F51,Аренда!$G$26:$G$51,$G51)</f>
        <v>0</v>
      </c>
      <c r="AV51" s="310">
        <f>_xlfn.SUMIFS(Аренда!AU$26:AU$51,Аренда!$F$26:$F$51,$F51,Аренда!$G$26:$G$51,$G51)</f>
        <v>0</v>
      </c>
      <c r="AW51" s="310">
        <f>_xlfn.SUMIFS(Аренда!AV$26:AV$51,Аренда!$F$26:$F$51,$F51,Аренда!$G$26:$G$51,$G51)</f>
        <v>0</v>
      </c>
      <c r="AX51" s="310">
        <f>_xlfn.SUMIFS(Аренда!AW$26:AW$51,Аренда!$F$26:$F$51,$F51,Аренда!$G$26:$G$51,$G51)</f>
        <v>0</v>
      </c>
      <c r="AY51" s="310">
        <f>_xlfn.SUMIFS(Аренда!AX$26:AX$51,Аренда!$F$26:$F$51,$F51,Аренда!$G$26:$G$51,$G51)</f>
        <v>0</v>
      </c>
      <c r="AZ51" s="310">
        <f>_xlfn.SUMIFS(Аренда!AY$26:AY$51,Аренда!$F$26:$F$51,$F51,Аренда!$G$26:$G$51,$G51)</f>
        <v>0</v>
      </c>
      <c r="BA51" s="310">
        <f>_xlfn.SUMIFS(Аренда!AZ$26:AZ$51,Аренда!$F$26:$F$51,$F51,Аренда!$G$26:$G$51,$G51)</f>
        <v>0</v>
      </c>
      <c r="BB51" s="310">
        <f>_xlfn.SUMIFS(Аренда!BA$26:BA$51,Аренда!$F$26:$F$51,$F51,Аренда!$G$26:$G$51,$G51)</f>
        <v>0</v>
      </c>
      <c r="BC51" s="310">
        <f>_xlfn.SUMIFS(Аренда!BB$26:BB$51,Аренда!$F$26:$F$51,$F51,Аренда!$G$26:$G$51,$G51)</f>
        <v>0</v>
      </c>
      <c r="BD51" s="310">
        <f>IF(AI51=0,0,(AT51-AI51)/AI51*100)</f>
        <v>0</v>
      </c>
      <c r="BE51" s="310">
        <f>IF(AT51=0,0,(AU51-AT51)/AT51*100)</f>
        <v>0</v>
      </c>
      <c r="BF51" s="310">
        <f>IF(AU51=0,0,(AV51-AU51)/AU51*100)</f>
        <v>0</v>
      </c>
      <c r="BG51" s="310">
        <f>IF(AV51=0,0,(AW51-AV51)/AV51*100)</f>
        <v>0</v>
      </c>
      <c r="BH51" s="310">
        <f>IF(AW51=0,0,(AX51-AW51)/AW51*100)</f>
        <v>0</v>
      </c>
      <c r="BI51" s="310">
        <f>IF(AX51=0,0,(AY51-AX51)/AX51*100)</f>
        <v>0</v>
      </c>
      <c r="BJ51" s="310">
        <f>IF(AY51=0,0,(AZ51-AY51)/AY51*100)</f>
        <v>0</v>
      </c>
      <c r="BK51" s="310">
        <f>IF(AZ51=0,0,(BA51-AZ51)/AZ51*100)</f>
        <v>0</v>
      </c>
      <c r="BL51" s="310">
        <f>IF(BA51=0,0,(BB51-BA51)/BA51*100)</f>
        <v>0</v>
      </c>
      <c r="BM51" s="310">
        <f>IF(BB51=0,0,(BC51-BB51)/BB51*100)</f>
        <v>0</v>
      </c>
      <c r="BN51" s="1719"/>
      <c r="BO51" s="1719"/>
      <c r="BP51" s="1719"/>
      <c r="BQ51" s="230"/>
      <c r="BR51" s="230"/>
      <c r="BS51" s="1184" t="s">
        <v>1357</v>
      </c>
    </row>
    <row s="1632" customFormat="1" customHeight="1" ht="14.25">
      <c r="A52" s="228"/>
      <c r="B52" s="927"/>
      <c r="C52" s="228"/>
      <c r="D52" s="228"/>
      <c r="E52" s="797">
        <v>15</v>
      </c>
      <c r="F52" s="922" cm="1" t="str">
        <f t="array" ref="F52:F52">OFFSET(G52,-1,-1)</f>
        <v>1</v>
      </c>
      <c r="G52" s="230"/>
      <c r="H52" s="230"/>
      <c r="I52" s="230"/>
      <c r="J52" s="230"/>
      <c r="K52" s="230"/>
      <c r="L52" s="230"/>
      <c r="M52" s="230"/>
      <c r="N52" s="230"/>
      <c r="O52" s="230"/>
      <c r="P52" s="230"/>
      <c r="Q52" s="193"/>
      <c r="R52" s="193"/>
      <c r="S52" s="230"/>
      <c r="T52" s="808" cm="1" t="str">
        <f t="array" ref="T52:T52">T51</f>
        <v>true</v>
      </c>
      <c r="U52" s="1582"/>
      <c r="V52" s="1582"/>
      <c r="W52" s="1582"/>
      <c r="X52" s="1582"/>
      <c r="Y52" s="1582"/>
      <c r="Z52" s="1582"/>
      <c r="AA52" s="230"/>
      <c r="AB52" s="160" t="s">
        <v>941</v>
      </c>
      <c r="AC52" s="167" t="s">
        <v>1358</v>
      </c>
      <c r="AD52" s="160" t="s">
        <v>810</v>
      </c>
      <c r="AE52" s="615">
        <f>SUM(AE53:AE55)</f>
        <v>930</v>
      </c>
      <c r="AF52" s="615">
        <f>SUM(AF53:AF55)</f>
        <v>945</v>
      </c>
      <c r="AG52" s="1956">
        <f>SUM(AG53:AG55)</f>
        <v>930</v>
      </c>
      <c r="AH52" s="310">
        <f>AG52-AF52</f>
        <v>-15</v>
      </c>
      <c r="AI52" s="615">
        <f>SUM(AI53:AI55)</f>
        <v>980.87</v>
      </c>
      <c r="AJ52" s="615">
        <f>SUM(AJ53:AJ55)</f>
        <v>2450.43</v>
      </c>
      <c r="AK52" s="615">
        <f>SUM(AK53:AK55)</f>
        <v>1103.3</v>
      </c>
      <c r="AL52" s="615">
        <f>SUM(AL53:AL55)</f>
        <v>0</v>
      </c>
      <c r="AM52" s="615">
        <f>SUM(AM53:AM55)</f>
        <v>0</v>
      </c>
      <c r="AN52" s="615">
        <f>SUM(AN53:AN55)</f>
        <v>0</v>
      </c>
      <c r="AO52" s="615">
        <f>SUM(AO53:AO55)</f>
        <v>0</v>
      </c>
      <c r="AP52" s="615">
        <f>SUM(AP53:AP55)</f>
        <v>0</v>
      </c>
      <c r="AQ52" s="615">
        <f>SUM(AQ53:AQ55)</f>
        <v>0</v>
      </c>
      <c r="AR52" s="615">
        <f>SUM(AR53:AR55)</f>
        <v>0</v>
      </c>
      <c r="AS52" s="615">
        <f>SUM(AS53:AS55)</f>
        <v>0</v>
      </c>
      <c r="AT52" s="615">
        <f>SUM(AT53:AT55)</f>
        <v>934.37</v>
      </c>
      <c r="AU52" s="615">
        <f>SUM(AU53:AU55)</f>
        <v>0</v>
      </c>
      <c r="AV52" s="615">
        <f>SUM(AV53:AV55)</f>
        <v>0</v>
      </c>
      <c r="AW52" s="615">
        <f>SUM(AW53:AW55)</f>
        <v>0</v>
      </c>
      <c r="AX52" s="615">
        <f>SUM(AX53:AX55)</f>
        <v>0</v>
      </c>
      <c r="AY52" s="615">
        <f>SUM(AY53:AY55)</f>
        <v>0</v>
      </c>
      <c r="AZ52" s="615">
        <f>SUM(AZ53:AZ55)</f>
        <v>0</v>
      </c>
      <c r="BA52" s="615">
        <f>SUM(BA53:BA55)</f>
        <v>0</v>
      </c>
      <c r="BB52" s="615">
        <f>SUM(BB53:BB55)</f>
        <v>0</v>
      </c>
      <c r="BC52" s="615">
        <f>SUM(BC53:BC55)</f>
        <v>0</v>
      </c>
      <c r="BD52" s="310">
        <f>IF(AI52=0,0,(AT52-AI52)/AI52*100)</f>
        <v>-4.74068938799229</v>
      </c>
      <c r="BE52" s="310">
        <f>IF(AT52=0,0,(AU52-AT52)/AT52*100)</f>
        <v>-100</v>
      </c>
      <c r="BF52" s="310">
        <f>IF(AU52=0,0,(AV52-AU52)/AU52*100)</f>
        <v>0</v>
      </c>
      <c r="BG52" s="310">
        <f>IF(AV52=0,0,(AW52-AV52)/AV52*100)</f>
        <v>0</v>
      </c>
      <c r="BH52" s="310">
        <f>IF(AW52=0,0,(AX52-AW52)/AW52*100)</f>
        <v>0</v>
      </c>
      <c r="BI52" s="310">
        <f>IF(AX52=0,0,(AY52-AX52)/AX52*100)</f>
        <v>0</v>
      </c>
      <c r="BJ52" s="310">
        <f>IF(AY52=0,0,(AZ52-AY52)/AY52*100)</f>
        <v>0</v>
      </c>
      <c r="BK52" s="310">
        <f>IF(AZ52=0,0,(BA52-AZ52)/AZ52*100)</f>
        <v>0</v>
      </c>
      <c r="BL52" s="310">
        <f>IF(BA52=0,0,(BB52-BA52)/BA52*100)</f>
        <v>0</v>
      </c>
      <c r="BM52" s="310">
        <f>IF(BB52=0,0,(BC52-BB52)/BB52*100)</f>
        <v>0</v>
      </c>
      <c r="BN52" s="1719"/>
      <c r="BO52" s="1719"/>
      <c r="BP52" s="1719"/>
      <c r="BQ52" s="230"/>
      <c r="BR52" s="230"/>
      <c r="BS52" s="1184" t="s">
        <v>1359</v>
      </c>
    </row>
    <row s="1632" customFormat="1" customHeight="1" ht="39">
      <c r="A53" s="228"/>
      <c r="B53" s="927"/>
      <c r="C53" s="228"/>
      <c r="D53" s="228"/>
      <c r="E53" s="797">
        <v>40.5</v>
      </c>
      <c r="F53" s="922" cm="1" t="str">
        <f t="array" ref="F53:F53">OFFSET(G53,-1,-1)</f>
        <v>1</v>
      </c>
      <c r="G53" s="193" t="s">
        <v>1247</v>
      </c>
      <c r="H53" s="230"/>
      <c r="I53" s="230"/>
      <c r="J53" s="230"/>
      <c r="K53" s="230"/>
      <c r="L53" s="230"/>
      <c r="M53" s="230"/>
      <c r="N53" s="230"/>
      <c r="O53" s="230"/>
      <c r="P53" s="230"/>
      <c r="Q53" s="193"/>
      <c r="R53" s="193"/>
      <c r="S53" s="230"/>
      <c r="T53" s="808" cm="1" t="str">
        <f t="array" ref="T53:T53">T52</f>
        <v>true</v>
      </c>
      <c r="U53" s="1582"/>
      <c r="V53" s="1582"/>
      <c r="W53" s="1582"/>
      <c r="X53" s="1582"/>
      <c r="Y53" s="1582"/>
      <c r="Z53" s="1582"/>
      <c r="AA53" s="230"/>
      <c r="AB53" s="160" t="s">
        <v>1031</v>
      </c>
      <c r="AC53" s="167" t="s">
        <v>1248</v>
      </c>
      <c r="AD53" s="160" t="s">
        <v>810</v>
      </c>
      <c r="AE53" s="615">
        <f>_xlfn.SUMIFS(Налоги!AE$26:AE$55,Налоги!$F$26:$F$55,$F53,Налоги!$G$26:$G$55,$G53)</f>
        <v>0</v>
      </c>
      <c r="AF53" s="615">
        <f>_xlfn.SUMIFS(Налоги!AF$26:AF$55,Налоги!$F$26:$F$55,$F53,Налоги!$G$26:$G$55,$G53)</f>
        <v>15</v>
      </c>
      <c r="AG53" s="1956">
        <f>_xlfn.SUMIFS(Налоги!AG$26:AG$55,Налоги!$F$26:$F$55,$F53,Налоги!$G$26:$G$55,$G53)</f>
        <v>0</v>
      </c>
      <c r="AH53" s="310">
        <f>AG53-AF53</f>
        <v>-15</v>
      </c>
      <c r="AI53" s="615">
        <f>_xlfn.SUMIFS(Налоги!AH$26:AH$55,Налоги!$F$26:$F$55,$F53,Налоги!$G$26:$G$55,$G53)</f>
        <v>2.28</v>
      </c>
      <c r="AJ53" s="615">
        <f>_xlfn.SUMIFS(Налоги!AI$26:AI$55,Налоги!$F$26:$F$55,$F53,Налоги!$G$26:$G$55,$G53)</f>
        <v>0</v>
      </c>
      <c r="AK53" s="615">
        <f>_xlfn.SUMIFS(Налоги!AJ$26:AJ$55,Налоги!$F$26:$F$55,$F53,Налоги!$G$26:$G$55,$G53)</f>
        <v>0</v>
      </c>
      <c r="AL53" s="615">
        <f>_xlfn.SUMIFS(Налоги!AK$26:AK$55,Налоги!$F$26:$F$55,$F53,Налоги!$G$26:$G$55,$G53)</f>
        <v>0</v>
      </c>
      <c r="AM53" s="615">
        <f>_xlfn.SUMIFS(Налоги!AL$26:AL$55,Налоги!$F$26:$F$55,$F53,Налоги!$G$26:$G$55,$G53)</f>
        <v>0</v>
      </c>
      <c r="AN53" s="615">
        <f>_xlfn.SUMIFS(Налоги!AM$26:AM$55,Налоги!$F$26:$F$55,$F53,Налоги!$G$26:$G$55,$G53)</f>
        <v>0</v>
      </c>
      <c r="AO53" s="615">
        <f>_xlfn.SUMIFS(Налоги!AN$26:AN$55,Налоги!$F$26:$F$55,$F53,Налоги!$G$26:$G$55,$G53)</f>
        <v>0</v>
      </c>
      <c r="AP53" s="615">
        <f>_xlfn.SUMIFS(Налоги!AO$26:AO$55,Налоги!$F$26:$F$55,$F53,Налоги!$G$26:$G$55,$G53)</f>
        <v>0</v>
      </c>
      <c r="AQ53" s="615">
        <f>_xlfn.SUMIFS(Налоги!AP$26:AP$55,Налоги!$F$26:$F$55,$F53,Налоги!$G$26:$G$55,$G53)</f>
        <v>0</v>
      </c>
      <c r="AR53" s="615">
        <f>_xlfn.SUMIFS(Налоги!AQ$26:AQ$55,Налоги!$F$26:$F$55,$F53,Налоги!$G$26:$G$55,$G53)</f>
        <v>0</v>
      </c>
      <c r="AS53" s="615">
        <f>_xlfn.SUMIFS(Налоги!AR$26:AR$55,Налоги!$F$26:$F$55,$F53,Налоги!$G$26:$G$55,$G53)</f>
        <v>0</v>
      </c>
      <c r="AT53" s="615">
        <f>_xlfn.SUMIFS(Налоги!AS$26:AS$55,Налоги!$F$26:$F$55,$F53,Налоги!$G$26:$G$55,$G53)</f>
        <v>0</v>
      </c>
      <c r="AU53" s="615">
        <f>_xlfn.SUMIFS(Налоги!AT$26:AT$55,Налоги!$F$26:$F$55,$F53,Налоги!$G$26:$G$55,$G53)</f>
        <v>0</v>
      </c>
      <c r="AV53" s="615">
        <f>_xlfn.SUMIFS(Налоги!AU$26:AU$55,Налоги!$F$26:$F$55,$F53,Налоги!$G$26:$G$55,$G53)</f>
        <v>0</v>
      </c>
      <c r="AW53" s="615">
        <f>_xlfn.SUMIFS(Налоги!AV$26:AV$55,Налоги!$F$26:$F$55,$F53,Налоги!$G$26:$G$55,$G53)</f>
        <v>0</v>
      </c>
      <c r="AX53" s="615">
        <f>_xlfn.SUMIFS(Налоги!AW$26:AW$55,Налоги!$F$26:$F$55,$F53,Налоги!$G$26:$G$55,$G53)</f>
        <v>0</v>
      </c>
      <c r="AY53" s="615">
        <f>_xlfn.SUMIFS(Налоги!AX$26:AX$55,Налоги!$F$26:$F$55,$F53,Налоги!$G$26:$G$55,$G53)</f>
        <v>0</v>
      </c>
      <c r="AZ53" s="615">
        <f>_xlfn.SUMIFS(Налоги!AY$26:AY$55,Налоги!$F$26:$F$55,$F53,Налоги!$G$26:$G$55,$G53)</f>
        <v>0</v>
      </c>
      <c r="BA53" s="615">
        <f>_xlfn.SUMIFS(Налоги!AZ$26:AZ$55,Налоги!$F$26:$F$55,$F53,Налоги!$G$26:$G$55,$G53)</f>
        <v>0</v>
      </c>
      <c r="BB53" s="615">
        <f>_xlfn.SUMIFS(Налоги!BA$26:BA$55,Налоги!$F$26:$F$55,$F53,Налоги!$G$26:$G$55,$G53)</f>
        <v>0</v>
      </c>
      <c r="BC53" s="615">
        <f>_xlfn.SUMIFS(Налоги!BB$26:BB$55,Налоги!$F$26:$F$55,$F53,Налоги!$G$26:$G$55,$G53)</f>
        <v>0</v>
      </c>
      <c r="BD53" s="310">
        <f>IF(AI53=0,0,(AT53-AI53)/AI53*100)</f>
        <v>-100</v>
      </c>
      <c r="BE53" s="310">
        <f>IF(AT53=0,0,(AU53-AT53)/AT53*100)</f>
        <v>0</v>
      </c>
      <c r="BF53" s="310">
        <f>IF(AU53=0,0,(AV53-AU53)/AU53*100)</f>
        <v>0</v>
      </c>
      <c r="BG53" s="310">
        <f>IF(AV53=0,0,(AW53-AV53)/AV53*100)</f>
        <v>0</v>
      </c>
      <c r="BH53" s="310">
        <f>IF(AW53=0,0,(AX53-AW53)/AW53*100)</f>
        <v>0</v>
      </c>
      <c r="BI53" s="310">
        <f>IF(AX53=0,0,(AY53-AX53)/AX53*100)</f>
        <v>0</v>
      </c>
      <c r="BJ53" s="310">
        <f>IF(AY53=0,0,(AZ53-AY53)/AY53*100)</f>
        <v>0</v>
      </c>
      <c r="BK53" s="310">
        <f>IF(AZ53=0,0,(BA53-AZ53)/AZ53*100)</f>
        <v>0</v>
      </c>
      <c r="BL53" s="310">
        <f>IF(BA53=0,0,(BB53-BA53)/BA53*100)</f>
        <v>0</v>
      </c>
      <c r="BM53" s="310">
        <f>IF(BB53=0,0,(BC53-BB53)/BB53*100)</f>
        <v>0</v>
      </c>
      <c r="BN53" s="1719"/>
      <c r="BO53" s="1719"/>
      <c r="BP53" s="1719"/>
      <c r="BQ53" s="230"/>
      <c r="BR53" s="230"/>
      <c r="BS53" s="1184" t="s">
        <v>1360</v>
      </c>
    </row>
    <row s="1959" customFormat="1" customHeight="1" ht="14.25">
      <c r="A54" s="235"/>
      <c r="B54" s="235"/>
      <c r="C54" s="235"/>
      <c r="D54" s="235"/>
      <c r="E54" s="797">
        <v>15</v>
      </c>
      <c r="F54" s="922" cm="1" t="str">
        <f t="array" ref="F54:F54">OFFSET(G54,-1,-1)</f>
        <v>1</v>
      </c>
      <c r="G54" s="193" t="s">
        <v>1254</v>
      </c>
      <c r="H54" s="235"/>
      <c r="I54" s="235"/>
      <c r="J54" s="235"/>
      <c r="K54" s="235"/>
      <c r="L54" s="235"/>
      <c r="M54" s="235"/>
      <c r="N54" s="235"/>
      <c r="O54" s="235"/>
      <c r="P54" s="235"/>
      <c r="Q54" s="235"/>
      <c r="R54" s="235"/>
      <c r="S54" s="235"/>
      <c r="T54" s="808" cm="1" t="str">
        <f t="array" ref="T54:T54">T53</f>
        <v>true</v>
      </c>
      <c r="U54" s="235"/>
      <c r="V54" s="235"/>
      <c r="W54" s="235"/>
      <c r="X54" s="235"/>
      <c r="Y54" s="235"/>
      <c r="Z54" s="235"/>
      <c r="AA54" s="235"/>
      <c r="AB54" s="160" t="s">
        <v>1034</v>
      </c>
      <c r="AC54" s="167" t="s">
        <v>1361</v>
      </c>
      <c r="AD54" s="160" t="s">
        <v>810</v>
      </c>
      <c r="AE54" s="615">
        <f>_xlfn.SUMIFS(Налоги!AE$26:AE$55,Налоги!$F$26:$F$55,$F54,Налоги!$G$26:$G$55,$G54)</f>
        <v>0</v>
      </c>
      <c r="AF54" s="615">
        <f>_xlfn.SUMIFS(Налоги!AF$26:AF$55,Налоги!$F$26:$F$55,$F54,Налоги!$G$26:$G$55,$G54)</f>
        <v>0</v>
      </c>
      <c r="AG54" s="1956">
        <f>_xlfn.SUMIFS(Налоги!AG$26:AG$55,Налоги!$F$26:$F$55,$F54,Налоги!$G$26:$G$55,$G54)</f>
        <v>0</v>
      </c>
      <c r="AH54" s="310">
        <f>AG54-AF54</f>
        <v>0</v>
      </c>
      <c r="AI54" s="615">
        <f>_xlfn.SUMIFS(Налоги!AH$26:AH$55,Налоги!$F$26:$F$55,$F54,Налоги!$G$26:$G$55,$G54)</f>
        <v>0</v>
      </c>
      <c r="AJ54" s="615">
        <f>_xlfn.SUMIFS(Налоги!AI$26:AI$55,Налоги!$F$26:$F$55,$F54,Налоги!$G$26:$G$55,$G54)</f>
        <v>0</v>
      </c>
      <c r="AK54" s="615">
        <f>_xlfn.SUMIFS(Налоги!AJ$26:AJ$55,Налоги!$F$26:$F$55,$F54,Налоги!$G$26:$G$55,$G54)</f>
        <v>0</v>
      </c>
      <c r="AL54" s="615">
        <f>_xlfn.SUMIFS(Налоги!AK$26:AK$55,Налоги!$F$26:$F$55,$F54,Налоги!$G$26:$G$55,$G54)</f>
        <v>0</v>
      </c>
      <c r="AM54" s="615">
        <f>_xlfn.SUMIFS(Налоги!AL$26:AL$55,Налоги!$F$26:$F$55,$F54,Налоги!$G$26:$G$55,$G54)</f>
        <v>0</v>
      </c>
      <c r="AN54" s="615">
        <f>_xlfn.SUMIFS(Налоги!AM$26:AM$55,Налоги!$F$26:$F$55,$F54,Налоги!$G$26:$G$55,$G54)</f>
        <v>0</v>
      </c>
      <c r="AO54" s="615">
        <f>_xlfn.SUMIFS(Налоги!AN$26:AN$55,Налоги!$F$26:$F$55,$F54,Налоги!$G$26:$G$55,$G54)</f>
        <v>0</v>
      </c>
      <c r="AP54" s="615">
        <f>_xlfn.SUMIFS(Налоги!AO$26:AO$55,Налоги!$F$26:$F$55,$F54,Налоги!$G$26:$G$55,$G54)</f>
        <v>0</v>
      </c>
      <c r="AQ54" s="615">
        <f>_xlfn.SUMIFS(Налоги!AP$26:AP$55,Налоги!$F$26:$F$55,$F54,Налоги!$G$26:$G$55,$G54)</f>
        <v>0</v>
      </c>
      <c r="AR54" s="615">
        <f>_xlfn.SUMIFS(Налоги!AQ$26:AQ$55,Налоги!$F$26:$F$55,$F54,Налоги!$G$26:$G$55,$G54)</f>
        <v>0</v>
      </c>
      <c r="AS54" s="615">
        <f>_xlfn.SUMIFS(Налоги!AR$26:AR$55,Налоги!$F$26:$F$55,$F54,Налоги!$G$26:$G$55,$G54)</f>
        <v>0</v>
      </c>
      <c r="AT54" s="615">
        <f>_xlfn.SUMIFS(Налоги!AS$26:AS$55,Налоги!$F$26:$F$55,$F54,Налоги!$G$26:$G$55,$G54)</f>
        <v>0</v>
      </c>
      <c r="AU54" s="615">
        <f>_xlfn.SUMIFS(Налоги!AT$26:AT$55,Налоги!$F$26:$F$55,$F54,Налоги!$G$26:$G$55,$G54)</f>
        <v>0</v>
      </c>
      <c r="AV54" s="615">
        <f>_xlfn.SUMIFS(Налоги!AU$26:AU$55,Налоги!$F$26:$F$55,$F54,Налоги!$G$26:$G$55,$G54)</f>
        <v>0</v>
      </c>
      <c r="AW54" s="615">
        <f>_xlfn.SUMIFS(Налоги!AV$26:AV$55,Налоги!$F$26:$F$55,$F54,Налоги!$G$26:$G$55,$G54)</f>
        <v>0</v>
      </c>
      <c r="AX54" s="615">
        <f>_xlfn.SUMIFS(Налоги!AW$26:AW$55,Налоги!$F$26:$F$55,$F54,Налоги!$G$26:$G$55,$G54)</f>
        <v>0</v>
      </c>
      <c r="AY54" s="615">
        <f>_xlfn.SUMIFS(Налоги!AX$26:AX$55,Налоги!$F$26:$F$55,$F54,Налоги!$G$26:$G$55,$G54)</f>
        <v>0</v>
      </c>
      <c r="AZ54" s="615">
        <f>_xlfn.SUMIFS(Налоги!AY$26:AY$55,Налоги!$F$26:$F$55,$F54,Налоги!$G$26:$G$55,$G54)</f>
        <v>0</v>
      </c>
      <c r="BA54" s="615">
        <f>_xlfn.SUMIFS(Налоги!AZ$26:AZ$55,Налоги!$F$26:$F$55,$F54,Налоги!$G$26:$G$55,$G54)</f>
        <v>0</v>
      </c>
      <c r="BB54" s="615">
        <f>_xlfn.SUMIFS(Налоги!BA$26:BA$55,Налоги!$F$26:$F$55,$F54,Налоги!$G$26:$G$55,$G54)</f>
        <v>0</v>
      </c>
      <c r="BC54" s="615">
        <f>_xlfn.SUMIFS(Налоги!BB$26:BB$55,Налоги!$F$26:$F$55,$F54,Налоги!$G$26:$G$55,$G54)</f>
        <v>0</v>
      </c>
      <c r="BD54" s="310">
        <f>IF(AI54=0,0,(AT54-AI54)/AI54*100)</f>
        <v>0</v>
      </c>
      <c r="BE54" s="310">
        <f>IF(AT54=0,0,(AU54-AT54)/AT54*100)</f>
        <v>0</v>
      </c>
      <c r="BF54" s="310">
        <f>IF(AU54=0,0,(AV54-AU54)/AU54*100)</f>
        <v>0</v>
      </c>
      <c r="BG54" s="310">
        <f>IF(AV54=0,0,(AW54-AV54)/AV54*100)</f>
        <v>0</v>
      </c>
      <c r="BH54" s="310">
        <f>IF(AW54=0,0,(AX54-AW54)/AW54*100)</f>
        <v>0</v>
      </c>
      <c r="BI54" s="310">
        <f>IF(AX54=0,0,(AY54-AX54)/AX54*100)</f>
        <v>0</v>
      </c>
      <c r="BJ54" s="310">
        <f>IF(AY54=0,0,(AZ54-AY54)/AY54*100)</f>
        <v>0</v>
      </c>
      <c r="BK54" s="310">
        <f>IF(AZ54=0,0,(BA54-AZ54)/AZ54*100)</f>
        <v>0</v>
      </c>
      <c r="BL54" s="310">
        <f>IF(BA54=0,0,(BB54-BA54)/BA54*100)</f>
        <v>0</v>
      </c>
      <c r="BM54" s="310">
        <f>IF(BB54=0,0,(BC54-BB54)/BB54*100)</f>
        <v>0</v>
      </c>
      <c r="BN54" s="1719"/>
      <c r="BO54" s="1719"/>
      <c r="BP54" s="1719"/>
      <c r="BQ54" s="235"/>
      <c r="BR54" s="235"/>
      <c r="BS54" s="1184" t="s">
        <v>1362</v>
      </c>
    </row>
    <row s="1960" customFormat="1" customHeight="1" ht="14.25">
      <c r="A55" s="235"/>
      <c r="B55" s="235"/>
      <c r="C55" s="235"/>
      <c r="D55" s="235"/>
      <c r="E55" s="797">
        <v>15</v>
      </c>
      <c r="F55" s="922" cm="1" t="str">
        <f t="array" ref="F55:F55">OFFSET(G55,-1,-1)</f>
        <v>1</v>
      </c>
      <c r="G55" s="193" t="s">
        <v>1250</v>
      </c>
      <c r="H55" s="235"/>
      <c r="I55" s="235"/>
      <c r="J55" s="235"/>
      <c r="K55" s="235"/>
      <c r="L55" s="235"/>
      <c r="M55" s="235"/>
      <c r="N55" s="235"/>
      <c r="O55" s="235"/>
      <c r="P55" s="235"/>
      <c r="Q55" s="235"/>
      <c r="R55" s="235"/>
      <c r="S55" s="235"/>
      <c r="T55" s="808" cm="1" t="str">
        <f t="array" ref="T55:T55">T54</f>
        <v>true</v>
      </c>
      <c r="U55" s="235"/>
      <c r="V55" s="235"/>
      <c r="W55" s="235"/>
      <c r="X55" s="235"/>
      <c r="Y55" s="235"/>
      <c r="Z55" s="235"/>
      <c r="AA55" s="235"/>
      <c r="AB55" s="160" t="s">
        <v>1037</v>
      </c>
      <c r="AC55" s="167" t="s">
        <v>1363</v>
      </c>
      <c r="AD55" s="160" t="s">
        <v>810</v>
      </c>
      <c r="AE55" s="1955">
        <f>_xlfn.SUMIFS(Налоги!AE$26:AE$55,Налоги!$F$26:$F$55,$F55,Налоги!$G$26:$G$55,$G55)</f>
        <v>930</v>
      </c>
      <c r="AF55" s="1955">
        <f>_xlfn.SUMIFS(Налоги!AF$26:AF$55,Налоги!$F$26:$F$55,$F55,Налоги!$G$26:$G$55,$G55)</f>
        <v>930</v>
      </c>
      <c r="AG55" s="1956">
        <f>_xlfn.SUMIFS(Налоги!AG$26:AG$55,Налоги!$F$26:$F$55,$F55,Налоги!$G$26:$G$55,$G55)</f>
        <v>930</v>
      </c>
      <c r="AH55" s="310">
        <f>AG55-AF55</f>
        <v>0</v>
      </c>
      <c r="AI55" s="1955">
        <f>_xlfn.SUMIFS(Налоги!AH$26:AH$55,Налоги!$F$26:$F$55,$F55,Налоги!$G$26:$G$55,$G55)</f>
        <v>978.59</v>
      </c>
      <c r="AJ55" s="1955">
        <f>_xlfn.SUMIFS(Налоги!AI$26:AI$55,Налоги!$F$26:$F$55,$F55,Налоги!$G$26:$G$55,$G55)</f>
        <v>2450.43</v>
      </c>
      <c r="AK55" s="1955">
        <f>_xlfn.SUMIFS(Налоги!AJ$26:AJ$55,Налоги!$F$26:$F$55,$F55,Налоги!$G$26:$G$55,$G55)</f>
        <v>1103.3</v>
      </c>
      <c r="AL55" s="1955">
        <f>_xlfn.SUMIFS(Налоги!AK$26:AK$55,Налоги!$F$26:$F$55,$F55,Налоги!$G$26:$G$55,$G55)</f>
        <v>0</v>
      </c>
      <c r="AM55" s="1955">
        <f>_xlfn.SUMIFS(Налоги!AL$26:AL$55,Налоги!$F$26:$F$55,$F55,Налоги!$G$26:$G$55,$G55)</f>
        <v>0</v>
      </c>
      <c r="AN55" s="1955">
        <f>_xlfn.SUMIFS(Налоги!AM$26:AM$55,Налоги!$F$26:$F$55,$F55,Налоги!$G$26:$G$55,$G55)</f>
        <v>0</v>
      </c>
      <c r="AO55" s="1955">
        <f>_xlfn.SUMIFS(Налоги!AN$26:AN$55,Налоги!$F$26:$F$55,$F55,Налоги!$G$26:$G$55,$G55)</f>
        <v>0</v>
      </c>
      <c r="AP55" s="1955">
        <f>_xlfn.SUMIFS(Налоги!AO$26:AO$55,Налоги!$F$26:$F$55,$F55,Налоги!$G$26:$G$55,$G55)</f>
        <v>0</v>
      </c>
      <c r="AQ55" s="1955">
        <f>_xlfn.SUMIFS(Налоги!AP$26:AP$55,Налоги!$F$26:$F$55,$F55,Налоги!$G$26:$G$55,$G55)</f>
        <v>0</v>
      </c>
      <c r="AR55" s="1955">
        <f>_xlfn.SUMIFS(Налоги!AQ$26:AQ$55,Налоги!$F$26:$F$55,$F55,Налоги!$G$26:$G$55,$G55)</f>
        <v>0</v>
      </c>
      <c r="AS55" s="1955">
        <f>_xlfn.SUMIFS(Налоги!AR$26:AR$55,Налоги!$F$26:$F$55,$F55,Налоги!$G$26:$G$55,$G55)</f>
        <v>0</v>
      </c>
      <c r="AT55" s="1955">
        <f>_xlfn.SUMIFS(Налоги!AS$26:AS$55,Налоги!$F$26:$F$55,$F55,Налоги!$G$26:$G$55,$G55)</f>
        <v>934.37</v>
      </c>
      <c r="AU55" s="1955">
        <f>_xlfn.SUMIFS(Налоги!AT$26:AT$55,Налоги!$F$26:$F$55,$F55,Налоги!$G$26:$G$55,$G55)</f>
        <v>0</v>
      </c>
      <c r="AV55" s="1955">
        <f>_xlfn.SUMIFS(Налоги!AU$26:AU$55,Налоги!$F$26:$F$55,$F55,Налоги!$G$26:$G$55,$G55)</f>
        <v>0</v>
      </c>
      <c r="AW55" s="1955">
        <f>_xlfn.SUMIFS(Налоги!AV$26:AV$55,Налоги!$F$26:$F$55,$F55,Налоги!$G$26:$G$55,$G55)</f>
        <v>0</v>
      </c>
      <c r="AX55" s="1955">
        <f>_xlfn.SUMIFS(Налоги!AW$26:AW$55,Налоги!$F$26:$F$55,$F55,Налоги!$G$26:$G$55,$G55)</f>
        <v>0</v>
      </c>
      <c r="AY55" s="1955">
        <f>_xlfn.SUMIFS(Налоги!AX$26:AX$55,Налоги!$F$26:$F$55,$F55,Налоги!$G$26:$G$55,$G55)</f>
        <v>0</v>
      </c>
      <c r="AZ55" s="1955">
        <f>_xlfn.SUMIFS(Налоги!AY$26:AY$55,Налоги!$F$26:$F$55,$F55,Налоги!$G$26:$G$55,$G55)</f>
        <v>0</v>
      </c>
      <c r="BA55" s="1955">
        <f>_xlfn.SUMIFS(Налоги!AZ$26:AZ$55,Налоги!$F$26:$F$55,$F55,Налоги!$G$26:$G$55,$G55)</f>
        <v>0</v>
      </c>
      <c r="BB55" s="1955">
        <f>_xlfn.SUMIFS(Налоги!BA$26:BA$55,Налоги!$F$26:$F$55,$F55,Налоги!$G$26:$G$55,$G55)</f>
        <v>0</v>
      </c>
      <c r="BC55" s="1955">
        <f>_xlfn.SUMIFS(Налоги!BB$26:BB$55,Налоги!$F$26:$F$55,$F55,Налоги!$G$26:$G$55,$G55)</f>
        <v>0</v>
      </c>
      <c r="BD55" s="310">
        <f>IF(AI55=0,0,(AT55-AI55)/AI55*100)</f>
        <v>-4.51874635955814</v>
      </c>
      <c r="BE55" s="310">
        <f>IF(AT55=0,0,(AU55-AT55)/AT55*100)</f>
        <v>-100</v>
      </c>
      <c r="BF55" s="310">
        <f>IF(AU55=0,0,(AV55-AU55)/AU55*100)</f>
        <v>0</v>
      </c>
      <c r="BG55" s="310">
        <f>IF(AV55=0,0,(AW55-AV55)/AV55*100)</f>
        <v>0</v>
      </c>
      <c r="BH55" s="310">
        <f>IF(AW55=0,0,(AX55-AW55)/AW55*100)</f>
        <v>0</v>
      </c>
      <c r="BI55" s="310">
        <f>IF(AX55=0,0,(AY55-AX55)/AX55*100)</f>
        <v>0</v>
      </c>
      <c r="BJ55" s="310">
        <f>IF(AY55=0,0,(AZ55-AY55)/AY55*100)</f>
        <v>0</v>
      </c>
      <c r="BK55" s="310">
        <f>IF(AZ55=0,0,(BA55-AZ55)/AZ55*100)</f>
        <v>0</v>
      </c>
      <c r="BL55" s="310">
        <f>IF(BA55=0,0,(BB55-BA55)/BA55*100)</f>
        <v>0</v>
      </c>
      <c r="BM55" s="310">
        <f>IF(BB55=0,0,(BC55-BB55)/BB55*100)</f>
        <v>0</v>
      </c>
      <c r="BN55" s="1719"/>
      <c r="BO55" s="1719"/>
      <c r="BP55" s="1719"/>
      <c r="BQ55" s="235"/>
      <c r="BR55" s="235"/>
      <c r="BS55" s="1184" t="s">
        <v>1270</v>
      </c>
    </row>
    <row s="1632" customFormat="1" customHeight="1" ht="14.25">
      <c r="A56" s="228"/>
      <c r="B56" s="927"/>
      <c r="C56" s="228"/>
      <c r="D56" s="228"/>
      <c r="E56" s="797">
        <v>15</v>
      </c>
      <c r="F56" s="922" cm="1" t="str">
        <f t="array" ref="F56:F56">OFFSET(G56,-1,-1)</f>
        <v>1</v>
      </c>
      <c r="G56" s="230"/>
      <c r="H56" s="230"/>
      <c r="I56" s="230"/>
      <c r="J56" s="230"/>
      <c r="K56" s="230"/>
      <c r="L56" s="230"/>
      <c r="M56" s="230"/>
      <c r="N56" s="230"/>
      <c r="O56" s="230"/>
      <c r="P56" s="230"/>
      <c r="Q56" s="193"/>
      <c r="R56" s="193"/>
      <c r="S56" s="230"/>
      <c r="T56" s="808" cm="1" t="str">
        <f t="array" ref="T56:T56">T55</f>
        <v>true</v>
      </c>
      <c r="U56" s="1582"/>
      <c r="V56" s="1582"/>
      <c r="W56" s="1582"/>
      <c r="X56" s="1582"/>
      <c r="Y56" s="1582"/>
      <c r="Z56" s="1582"/>
      <c r="AA56" s="230"/>
      <c r="AB56" s="160" t="s">
        <v>1046</v>
      </c>
      <c r="AC56" s="167" t="s">
        <v>1364</v>
      </c>
      <c r="AD56" s="160" t="s">
        <v>810</v>
      </c>
      <c r="AE56" s="1956">
        <v>2986.9</v>
      </c>
      <c r="AF56" s="1956">
        <v>3002.28</v>
      </c>
      <c r="AG56" s="1956">
        <v>3002.28</v>
      </c>
      <c r="AH56" s="310">
        <f>AG56-AF56</f>
        <v>0</v>
      </c>
      <c r="AI56" s="1956">
        <v>3128.54</v>
      </c>
      <c r="AJ56" s="1956">
        <v>4089.2</v>
      </c>
      <c r="AK56" s="1956"/>
      <c r="AL56" s="1956"/>
      <c r="AM56" s="1956"/>
      <c r="AN56" s="1956"/>
      <c r="AO56" s="1956"/>
      <c r="AP56" s="1956"/>
      <c r="AQ56" s="1956"/>
      <c r="AR56" s="1956"/>
      <c r="AS56" s="1956"/>
      <c r="AT56" s="1956">
        <v>3255.22</v>
      </c>
      <c r="AU56" s="1956"/>
      <c r="AV56" s="1956"/>
      <c r="AW56" s="1956"/>
      <c r="AX56" s="1956"/>
      <c r="AY56" s="1956"/>
      <c r="AZ56" s="1956"/>
      <c r="BA56" s="1956"/>
      <c r="BB56" s="1956"/>
      <c r="BC56" s="1956"/>
      <c r="BD56" s="310">
        <f>IF(AI56=0,0,(AT56-AI56)/AI56*100)</f>
        <v>4.04917309671603</v>
      </c>
      <c r="BE56" s="310">
        <f>IF(AT56=0,0,(AU56-AT56)/AT56*100)</f>
        <v>-100</v>
      </c>
      <c r="BF56" s="310">
        <f>IF(AU56=0,0,(AV56-AU56)/AU56*100)</f>
        <v>0</v>
      </c>
      <c r="BG56" s="310">
        <f>IF(AV56=0,0,(AW56-AV56)/AV56*100)</f>
        <v>0</v>
      </c>
      <c r="BH56" s="310">
        <f>IF(AW56=0,0,(AX56-AW56)/AW56*100)</f>
        <v>0</v>
      </c>
      <c r="BI56" s="310">
        <f>IF(AX56=0,0,(AY56-AX56)/AX56*100)</f>
        <v>0</v>
      </c>
      <c r="BJ56" s="310">
        <f>IF(AY56=0,0,(AZ56-AY56)/AY56*100)</f>
        <v>0</v>
      </c>
      <c r="BK56" s="310">
        <f>IF(AZ56=0,0,(BA56-AZ56)/AZ56*100)</f>
        <v>0</v>
      </c>
      <c r="BL56" s="310">
        <f>IF(BA56=0,0,(BB56-BA56)/BA56*100)</f>
        <v>0</v>
      </c>
      <c r="BM56" s="310">
        <f>IF(BB56=0,0,(BC56-BB56)/BB56*100)</f>
        <v>0</v>
      </c>
      <c r="BN56" s="1719"/>
      <c r="BO56" s="1719"/>
      <c r="BP56" s="1719"/>
      <c r="BQ56" s="230"/>
      <c r="BR56" s="230"/>
      <c r="BS56" s="1184" t="s">
        <v>1365</v>
      </c>
    </row>
    <row s="1632" customFormat="1" customHeight="1" ht="14.25">
      <c r="A57" s="228"/>
      <c r="B57" s="927"/>
      <c r="C57" s="228"/>
      <c r="D57" s="228"/>
      <c r="E57" s="797">
        <v>15</v>
      </c>
      <c r="F57" s="922" cm="1" t="str">
        <f t="array" ref="F57:F57">OFFSET(G57,-1,-1)</f>
        <v>1</v>
      </c>
      <c r="G57" s="230"/>
      <c r="H57" s="230"/>
      <c r="I57" s="230"/>
      <c r="J57" s="230"/>
      <c r="K57" s="230"/>
      <c r="L57" s="230"/>
      <c r="M57" s="230"/>
      <c r="N57" s="230"/>
      <c r="O57" s="230"/>
      <c r="P57" s="230"/>
      <c r="Q57" s="193"/>
      <c r="R57" s="193"/>
      <c r="S57" s="230"/>
      <c r="T57" s="808" cm="1" t="str">
        <f t="array" ref="T57:T57">T56</f>
        <v>true</v>
      </c>
      <c r="U57" s="1582"/>
      <c r="V57" s="1582"/>
      <c r="W57" s="1582"/>
      <c r="X57" s="1582"/>
      <c r="Y57" s="1582"/>
      <c r="Z57" s="1582"/>
      <c r="AA57" s="230"/>
      <c r="AB57" s="160" t="s">
        <v>1366</v>
      </c>
      <c r="AC57" s="874" t="s">
        <v>1367</v>
      </c>
      <c r="AD57" s="160" t="s">
        <v>498</v>
      </c>
      <c r="AE57" s="1947"/>
      <c r="AF57" s="1947"/>
      <c r="AG57" s="1947"/>
      <c r="AH57" s="310">
        <f>AG57-AF57</f>
        <v>0</v>
      </c>
      <c r="AI57" s="1947"/>
      <c r="AJ57" s="1947"/>
      <c r="AK57" s="1947"/>
      <c r="AL57" s="1947"/>
      <c r="AM57" s="1947"/>
      <c r="AN57" s="1947"/>
      <c r="AO57" s="1947"/>
      <c r="AP57" s="1947"/>
      <c r="AQ57" s="1947"/>
      <c r="AR57" s="1947"/>
      <c r="AS57" s="1947"/>
      <c r="AT57" s="1947"/>
      <c r="AU57" s="1947"/>
      <c r="AV57" s="1947"/>
      <c r="AW57" s="1947"/>
      <c r="AX57" s="1947"/>
      <c r="AY57" s="1947"/>
      <c r="AZ57" s="1947"/>
      <c r="BA57" s="1947"/>
      <c r="BB57" s="1947"/>
      <c r="BC57" s="1947"/>
      <c r="BD57" s="310">
        <f>IF(AI57=0,0,(AT57-AI57)/AI57*100)</f>
        <v>0</v>
      </c>
      <c r="BE57" s="310">
        <f>IF(AT57=0,0,(AU57-AT57)/AT57*100)</f>
        <v>0</v>
      </c>
      <c r="BF57" s="310">
        <f>IF(AU57=0,0,(AV57-AU57)/AU57*100)</f>
        <v>0</v>
      </c>
      <c r="BG57" s="310">
        <f>IF(AV57=0,0,(AW57-AV57)/AV57*100)</f>
        <v>0</v>
      </c>
      <c r="BH57" s="310">
        <f>IF(AW57=0,0,(AX57-AW57)/AW57*100)</f>
        <v>0</v>
      </c>
      <c r="BI57" s="310">
        <f>IF(AX57=0,0,(AY57-AX57)/AX57*100)</f>
        <v>0</v>
      </c>
      <c r="BJ57" s="310">
        <f>IF(AY57=0,0,(AZ57-AY57)/AY57*100)</f>
        <v>0</v>
      </c>
      <c r="BK57" s="310">
        <f>IF(AZ57=0,0,(BA57-AZ57)/AZ57*100)</f>
        <v>0</v>
      </c>
      <c r="BL57" s="310">
        <f>IF(BA57=0,0,(BB57-BA57)/BA57*100)</f>
        <v>0</v>
      </c>
      <c r="BM57" s="310">
        <f>IF(BB57=0,0,(BC57-BB57)/BB57*100)</f>
        <v>0</v>
      </c>
      <c r="BN57" s="1719"/>
      <c r="BO57" s="1719"/>
      <c r="BP57" s="1719"/>
      <c r="BQ57" s="230"/>
      <c r="BR57" s="230"/>
      <c r="BS57" s="1184" t="s">
        <v>1368</v>
      </c>
    </row>
    <row s="1632" customFormat="1" customHeight="1" ht="14.25">
      <c r="A58" s="228"/>
      <c r="B58" s="927"/>
      <c r="C58" s="228"/>
      <c r="D58" s="228"/>
      <c r="E58" s="797">
        <v>15</v>
      </c>
      <c r="F58" s="922" cm="1" t="str">
        <f t="array" ref="F58:F58">OFFSET(G58,-1,-1)</f>
        <v>1</v>
      </c>
      <c r="G58" s="230"/>
      <c r="H58" s="230"/>
      <c r="I58" s="230"/>
      <c r="J58" s="230"/>
      <c r="K58" s="230"/>
      <c r="L58" s="230"/>
      <c r="M58" s="230"/>
      <c r="N58" s="230"/>
      <c r="O58" s="230"/>
      <c r="P58" s="230"/>
      <c r="Q58" s="193"/>
      <c r="R58" s="193"/>
      <c r="S58" s="230"/>
      <c r="T58" s="808" cm="1" t="str">
        <f t="array" ref="T58:T58">T56</f>
        <v>true</v>
      </c>
      <c r="U58" s="1582"/>
      <c r="V58" s="1582"/>
      <c r="W58" s="1582"/>
      <c r="X58" s="1582"/>
      <c r="Y58" s="1582"/>
      <c r="Z58" s="1582"/>
      <c r="AA58" s="230"/>
      <c r="AB58" s="160" t="s">
        <v>1049</v>
      </c>
      <c r="AC58" s="167" t="s">
        <v>1369</v>
      </c>
      <c r="AD58" s="160" t="s">
        <v>810</v>
      </c>
      <c r="AE58" s="1956"/>
      <c r="AF58" s="1956"/>
      <c r="AG58" s="1956"/>
      <c r="AH58" s="310">
        <f>AG58-AF58</f>
        <v>0</v>
      </c>
      <c r="AI58" s="1956"/>
      <c r="AJ58" s="1956"/>
      <c r="AK58" s="1956"/>
      <c r="AL58" s="1956"/>
      <c r="AM58" s="1956"/>
      <c r="AN58" s="1956"/>
      <c r="AO58" s="1956"/>
      <c r="AP58" s="1956"/>
      <c r="AQ58" s="1956"/>
      <c r="AR58" s="1956"/>
      <c r="AS58" s="1956"/>
      <c r="AT58" s="1956"/>
      <c r="AU58" s="1956"/>
      <c r="AV58" s="1956"/>
      <c r="AW58" s="1956"/>
      <c r="AX58" s="1956"/>
      <c r="AY58" s="1956"/>
      <c r="AZ58" s="1956"/>
      <c r="BA58" s="1956"/>
      <c r="BB58" s="1956"/>
      <c r="BC58" s="1956"/>
      <c r="BD58" s="310">
        <f>IF(AI58=0,0,(AT58-AI58)/AI58*100)</f>
        <v>0</v>
      </c>
      <c r="BE58" s="310">
        <f>IF(AT58=0,0,(AU58-AT58)/AT58*100)</f>
        <v>0</v>
      </c>
      <c r="BF58" s="310">
        <f>IF(AU58=0,0,(AV58-AU58)/AU58*100)</f>
        <v>0</v>
      </c>
      <c r="BG58" s="310">
        <f>IF(AV58=0,0,(AW58-AV58)/AV58*100)</f>
        <v>0</v>
      </c>
      <c r="BH58" s="310">
        <f>IF(AW58=0,0,(AX58-AW58)/AW58*100)</f>
        <v>0</v>
      </c>
      <c r="BI58" s="310">
        <f>IF(AX58=0,0,(AY58-AX58)/AX58*100)</f>
        <v>0</v>
      </c>
      <c r="BJ58" s="310">
        <f>IF(AY58=0,0,(AZ58-AY58)/AY58*100)</f>
        <v>0</v>
      </c>
      <c r="BK58" s="310">
        <f>IF(AZ58=0,0,(BA58-AZ58)/AZ58*100)</f>
        <v>0</v>
      </c>
      <c r="BL58" s="310">
        <f>IF(BA58=0,0,(BB58-BA58)/BA58*100)</f>
        <v>0</v>
      </c>
      <c r="BM58" s="310">
        <f>IF(BB58=0,0,(BC58-BB58)/BB58*100)</f>
        <v>0</v>
      </c>
      <c r="BN58" s="1719"/>
      <c r="BO58" s="1719"/>
      <c r="BP58" s="1719"/>
      <c r="BQ58" s="230"/>
      <c r="BR58" s="230"/>
      <c r="BS58" s="1184" t="s">
        <v>1370</v>
      </c>
    </row>
    <row s="1632" customFormat="1" customHeight="1" ht="14.25">
      <c r="A59" s="228"/>
      <c r="B59" s="927"/>
      <c r="C59" s="228"/>
      <c r="D59" s="228"/>
      <c r="E59" s="797">
        <v>15</v>
      </c>
      <c r="F59" s="922" cm="1" t="str">
        <f t="array" ref="F59:F59">OFFSET(G59,-1,-1)</f>
        <v>1</v>
      </c>
      <c r="G59" s="193" t="s">
        <v>1133</v>
      </c>
      <c r="H59" s="230"/>
      <c r="I59" s="230"/>
      <c r="J59" s="230"/>
      <c r="K59" s="230"/>
      <c r="L59" s="230"/>
      <c r="M59" s="230"/>
      <c r="N59" s="230"/>
      <c r="O59" s="230"/>
      <c r="P59" s="230"/>
      <c r="Q59" s="193"/>
      <c r="R59" s="193"/>
      <c r="S59" s="230"/>
      <c r="T59" s="808" cm="1" t="str">
        <f t="array" ref="T59:T59">T58</f>
        <v>true</v>
      </c>
      <c r="U59" s="1582"/>
      <c r="V59" s="1582"/>
      <c r="W59" s="1582"/>
      <c r="X59" s="1582"/>
      <c r="Y59" s="1582"/>
      <c r="Z59" s="1582"/>
      <c r="AA59" s="230"/>
      <c r="AB59" s="160" t="s">
        <v>1052</v>
      </c>
      <c r="AC59" s="167" t="s">
        <v>1371</v>
      </c>
      <c r="AD59" s="160" t="s">
        <v>810</v>
      </c>
      <c r="AE59" s="615">
        <f>_xlfn.SUMIFS(Амортизация!AE$26:AE$225,Амортизация!$F$26:$F$225,$F59,Амортизация!$G$26:$G$225,$G59)</f>
        <v>0</v>
      </c>
      <c r="AF59" s="615">
        <f>_xlfn.SUMIFS(Амортизация!AF$26:AF$225,Амортизация!$F$26:$F$225,$F59,Амортизация!$G$26:$G$225,$G59)</f>
        <v>0</v>
      </c>
      <c r="AG59" s="1956">
        <f>_xlfn.SUMIFS(Амортизация!AG$26:AG$225,Амортизация!$F$26:$F$225,$F59,Амортизация!$G$26:$G$225,$G59)</f>
        <v>0</v>
      </c>
      <c r="AH59" s="310">
        <f>AG59-AF59</f>
        <v>0</v>
      </c>
      <c r="AI59" s="615">
        <f>_xlfn.SUMIFS(Амортизация!AH$26:AH$225,Амортизация!$F$26:$F$225,$F59,Амортизация!$G$26:$G$225,$G59)</f>
        <v>0</v>
      </c>
      <c r="AJ59" s="615">
        <f>_xlfn.SUMIFS(Амортизация!AI$26:AI$225,Амортизация!$F$26:$F$225,$F59,Амортизация!$G$26:$G$225,$G59)</f>
        <v>0</v>
      </c>
      <c r="AK59" s="615">
        <f>_xlfn.SUMIFS(Амортизация!AJ$26:AJ$225,Амортизация!$F$26:$F$225,$F59,Амортизация!$G$26:$G$225,$G59)</f>
        <v>0</v>
      </c>
      <c r="AL59" s="615">
        <f>_xlfn.SUMIFS(Амортизация!AK$26:AK$225,Амортизация!$F$26:$F$225,$F59,Амортизация!$G$26:$G$225,$G59)</f>
        <v>0</v>
      </c>
      <c r="AM59" s="615">
        <f>_xlfn.SUMIFS(Амортизация!AL$26:AL$225,Амортизация!$F$26:$F$225,$F59,Амортизация!$G$26:$G$225,$G59)</f>
        <v>0</v>
      </c>
      <c r="AN59" s="615">
        <f>_xlfn.SUMIFS(Амортизация!AM$26:AM$225,Амортизация!$F$26:$F$225,$F59,Амортизация!$G$26:$G$225,$G59)</f>
        <v>0</v>
      </c>
      <c r="AO59" s="615">
        <f>_xlfn.SUMIFS(Амортизация!AN$26:AN$225,Амортизация!$F$26:$F$225,$F59,Амортизация!$G$26:$G$225,$G59)</f>
        <v>0</v>
      </c>
      <c r="AP59" s="615">
        <f>_xlfn.SUMIFS(Амортизация!AO$26:AO$225,Амортизация!$F$26:$F$225,$F59,Амортизация!$G$26:$G$225,$G59)</f>
        <v>0</v>
      </c>
      <c r="AQ59" s="615">
        <f>_xlfn.SUMIFS(Амортизация!AP$26:AP$225,Амортизация!$F$26:$F$225,$F59,Амортизация!$G$26:$G$225,$G59)</f>
        <v>0</v>
      </c>
      <c r="AR59" s="615">
        <f>_xlfn.SUMIFS(Амортизация!AQ$26:AQ$225,Амортизация!$F$26:$F$225,$F59,Амортизация!$G$26:$G$225,$G59)</f>
        <v>0</v>
      </c>
      <c r="AS59" s="615">
        <f>_xlfn.SUMIFS(Амортизация!AR$26:AR$225,Амортизация!$F$26:$F$225,$F59,Амортизация!$G$26:$G$225,$G59)</f>
        <v>0</v>
      </c>
      <c r="AT59" s="615">
        <f>_xlfn.SUMIFS(Амортизация!AS$26:AS$225,Амортизация!$F$26:$F$225,$F59,Амортизация!$G$26:$G$225,$G59)</f>
        <v>0</v>
      </c>
      <c r="AU59" s="615">
        <f>_xlfn.SUMIFS(Амортизация!AT$26:AT$225,Амортизация!$F$26:$F$225,$F59,Амортизация!$G$26:$G$225,$G59)</f>
        <v>0</v>
      </c>
      <c r="AV59" s="615">
        <f>_xlfn.SUMIFS(Амортизация!AU$26:AU$225,Амортизация!$F$26:$F$225,$F59,Амортизация!$G$26:$G$225,$G59)</f>
        <v>0</v>
      </c>
      <c r="AW59" s="615">
        <f>_xlfn.SUMIFS(Амортизация!AV$26:AV$225,Амортизация!$F$26:$F$225,$F59,Амортизация!$G$26:$G$225,$G59)</f>
        <v>0</v>
      </c>
      <c r="AX59" s="615">
        <f>_xlfn.SUMIFS(Амортизация!AW$26:AW$225,Амортизация!$F$26:$F$225,$F59,Амортизация!$G$26:$G$225,$G59)</f>
        <v>0</v>
      </c>
      <c r="AY59" s="615">
        <f>_xlfn.SUMIFS(Амортизация!AX$26:AX$225,Амортизация!$F$26:$F$225,$F59,Амортизация!$G$26:$G$225,$G59)</f>
        <v>0</v>
      </c>
      <c r="AZ59" s="615">
        <f>_xlfn.SUMIFS(Амортизация!AY$26:AY$225,Амортизация!$F$26:$F$225,$F59,Амортизация!$G$26:$G$225,$G59)</f>
        <v>0</v>
      </c>
      <c r="BA59" s="615">
        <f>_xlfn.SUMIFS(Амортизация!AZ$26:AZ$225,Амортизация!$F$26:$F$225,$F59,Амортизация!$G$26:$G$225,$G59)</f>
        <v>0</v>
      </c>
      <c r="BB59" s="615">
        <f>_xlfn.SUMIFS(Амортизация!BA$26:BA$225,Амортизация!$F$26:$F$225,$F59,Амортизация!$G$26:$G$225,$G59)</f>
        <v>0</v>
      </c>
      <c r="BC59" s="615">
        <f>_xlfn.SUMIFS(Амортизация!BB$26:BB$225,Амортизация!$F$26:$F$225,$F59,Амортизация!$G$26:$G$225,$G59)</f>
        <v>0</v>
      </c>
      <c r="BD59" s="310">
        <f>IF(AI59=0,0,(AT59-AI59)/AI59*100)</f>
        <v>0</v>
      </c>
      <c r="BE59" s="310">
        <f>IF(AT59=0,0,(AU59-AT59)/AT59*100)</f>
        <v>0</v>
      </c>
      <c r="BF59" s="310">
        <f>IF(AU59=0,0,(AV59-AU59)/AU59*100)</f>
        <v>0</v>
      </c>
      <c r="BG59" s="310">
        <f>IF(AV59=0,0,(AW59-AV59)/AV59*100)</f>
        <v>0</v>
      </c>
      <c r="BH59" s="310">
        <f>IF(AW59=0,0,(AX59-AW59)/AW59*100)</f>
        <v>0</v>
      </c>
      <c r="BI59" s="310">
        <f>IF(AX59=0,0,(AY59-AX59)/AX59*100)</f>
        <v>0</v>
      </c>
      <c r="BJ59" s="310">
        <f>IF(AY59=0,0,(AZ59-AY59)/AY59*100)</f>
        <v>0</v>
      </c>
      <c r="BK59" s="310">
        <f>IF(AZ59=0,0,(BA59-AZ59)/AZ59*100)</f>
        <v>0</v>
      </c>
      <c r="BL59" s="310">
        <f>IF(BA59=0,0,(BB59-BA59)/BA59*100)</f>
        <v>0</v>
      </c>
      <c r="BM59" s="310">
        <f>IF(BB59=0,0,(BC59-BB59)/BB59*100)</f>
        <v>0</v>
      </c>
      <c r="BN59" s="1719"/>
      <c r="BO59" s="1719"/>
      <c r="BP59" s="1719"/>
      <c r="BQ59" s="230"/>
      <c r="BR59" s="230"/>
      <c r="BS59" s="1184" t="s">
        <v>1372</v>
      </c>
    </row>
    <row s="1632" customFormat="1" customHeight="1" ht="24.75">
      <c r="A60" s="228"/>
      <c r="B60" s="927"/>
      <c r="C60" s="228"/>
      <c r="D60" s="228"/>
      <c r="E60" s="797">
        <v>25.5</v>
      </c>
      <c r="F60" s="922" cm="1" t="str">
        <f t="array" ref="F60:F60">OFFSET(G60,-1,-1)</f>
        <v>1</v>
      </c>
      <c r="G60" s="230"/>
      <c r="H60" s="230"/>
      <c r="I60" s="230"/>
      <c r="J60" s="230"/>
      <c r="K60" s="230"/>
      <c r="L60" s="230"/>
      <c r="M60" s="230"/>
      <c r="N60" s="230"/>
      <c r="O60" s="230"/>
      <c r="P60" s="230"/>
      <c r="Q60" s="193"/>
      <c r="R60" s="193"/>
      <c r="S60" s="230"/>
      <c r="T60" s="808" cm="1" t="str">
        <f t="array" ref="T60:T60">T59</f>
        <v>true</v>
      </c>
      <c r="U60" s="1582"/>
      <c r="V60" s="1582"/>
      <c r="W60" s="1582"/>
      <c r="X60" s="1582"/>
      <c r="Y60" s="1582"/>
      <c r="Z60" s="1582"/>
      <c r="AA60" s="230"/>
      <c r="AB60" s="160" t="s">
        <v>1055</v>
      </c>
      <c r="AC60" s="167" t="s">
        <v>1373</v>
      </c>
      <c r="AD60" s="160" t="s">
        <v>810</v>
      </c>
      <c r="AE60" s="1956"/>
      <c r="AF60" s="1956"/>
      <c r="AG60" s="1956"/>
      <c r="AH60" s="310">
        <f>AG60-AF60</f>
        <v>0</v>
      </c>
      <c r="AI60" s="1956"/>
      <c r="AJ60" s="1956"/>
      <c r="AK60" s="1956"/>
      <c r="AL60" s="1956"/>
      <c r="AM60" s="1956"/>
      <c r="AN60" s="1956"/>
      <c r="AO60" s="1956"/>
      <c r="AP60" s="1956"/>
      <c r="AQ60" s="1956"/>
      <c r="AR60" s="1956"/>
      <c r="AS60" s="1956"/>
      <c r="AT60" s="1956"/>
      <c r="AU60" s="1956"/>
      <c r="AV60" s="1956"/>
      <c r="AW60" s="1956"/>
      <c r="AX60" s="1956"/>
      <c r="AY60" s="1956"/>
      <c r="AZ60" s="1956"/>
      <c r="BA60" s="1956"/>
      <c r="BB60" s="1956"/>
      <c r="BC60" s="1956"/>
      <c r="BD60" s="310">
        <f>IF(AI60=0,0,(AT60-AI60)/AI60*100)</f>
        <v>0</v>
      </c>
      <c r="BE60" s="310">
        <f>IF(AT60=0,0,(AU60-AT60)/AT60*100)</f>
        <v>0</v>
      </c>
      <c r="BF60" s="310">
        <f>IF(AU60=0,0,(AV60-AU60)/AU60*100)</f>
        <v>0</v>
      </c>
      <c r="BG60" s="310">
        <f>IF(AV60=0,0,(AW60-AV60)/AV60*100)</f>
        <v>0</v>
      </c>
      <c r="BH60" s="310">
        <f>IF(AW60=0,0,(AX60-AW60)/AW60*100)</f>
        <v>0</v>
      </c>
      <c r="BI60" s="310">
        <f>IF(AX60=0,0,(AY60-AX60)/AX60*100)</f>
        <v>0</v>
      </c>
      <c r="BJ60" s="310">
        <f>IF(AY60=0,0,(AZ60-AY60)/AY60*100)</f>
        <v>0</v>
      </c>
      <c r="BK60" s="310">
        <f>IF(AZ60=0,0,(BA60-AZ60)/AZ60*100)</f>
        <v>0</v>
      </c>
      <c r="BL60" s="310">
        <f>IF(BA60=0,0,(BB60-BA60)/BA60*100)</f>
        <v>0</v>
      </c>
      <c r="BM60" s="310">
        <f>IF(BB60=0,0,(BC60-BB60)/BB60*100)</f>
        <v>0</v>
      </c>
      <c r="BN60" s="1719"/>
      <c r="BO60" s="1719"/>
      <c r="BP60" s="1719"/>
      <c r="BQ60" s="230"/>
      <c r="BR60" s="230"/>
      <c r="BS60" s="1184" t="s">
        <v>1374</v>
      </c>
    </row>
    <row s="1632" customFormat="1" customHeight="1" ht="24.75">
      <c r="A61" s="228"/>
      <c r="B61" s="927"/>
      <c r="C61" s="228"/>
      <c r="D61" s="228"/>
      <c r="E61" s="797">
        <v>25.5</v>
      </c>
      <c r="F61" s="922" cm="1" t="str">
        <f t="array" ref="F61:F61">OFFSET(G61,-1,-1)</f>
        <v>1</v>
      </c>
      <c r="G61" s="230"/>
      <c r="H61" s="230"/>
      <c r="I61" s="230"/>
      <c r="J61" s="230"/>
      <c r="K61" s="230"/>
      <c r="L61" s="230"/>
      <c r="M61" s="230"/>
      <c r="N61" s="230"/>
      <c r="O61" s="230"/>
      <c r="P61" s="230"/>
      <c r="Q61" s="193"/>
      <c r="R61" s="193"/>
      <c r="S61" s="230"/>
      <c r="T61" s="808" cm="1" t="str">
        <f t="array" ref="T61:T61">T60</f>
        <v>true</v>
      </c>
      <c r="U61" s="1582"/>
      <c r="V61" s="1582"/>
      <c r="W61" s="1582"/>
      <c r="X61" s="1582"/>
      <c r="Y61" s="1582"/>
      <c r="Z61" s="1582"/>
      <c r="AA61" s="230"/>
      <c r="AB61" s="160" t="s">
        <v>1268</v>
      </c>
      <c r="AC61" s="167" t="s">
        <v>1375</v>
      </c>
      <c r="AD61" s="160" t="s">
        <v>810</v>
      </c>
      <c r="AE61" s="1956"/>
      <c r="AF61" s="1956"/>
      <c r="AG61" s="1956"/>
      <c r="AH61" s="310">
        <f>AG61-AF61</f>
        <v>0</v>
      </c>
      <c r="AI61" s="1956"/>
      <c r="AJ61" s="1956"/>
      <c r="AK61" s="1956"/>
      <c r="AL61" s="1956"/>
      <c r="AM61" s="1956"/>
      <c r="AN61" s="1956"/>
      <c r="AO61" s="1956"/>
      <c r="AP61" s="1956"/>
      <c r="AQ61" s="1956"/>
      <c r="AR61" s="1956"/>
      <c r="AS61" s="1956"/>
      <c r="AT61" s="1956"/>
      <c r="AU61" s="1956"/>
      <c r="AV61" s="1956"/>
      <c r="AW61" s="1956"/>
      <c r="AX61" s="1956"/>
      <c r="AY61" s="1956"/>
      <c r="AZ61" s="1956"/>
      <c r="BA61" s="1956"/>
      <c r="BB61" s="1956"/>
      <c r="BC61" s="1956"/>
      <c r="BD61" s="310">
        <f>IF(AI61=0,0,(AT61-AI61)/AI61*100)</f>
        <v>0</v>
      </c>
      <c r="BE61" s="310">
        <f>IF(AT61=0,0,(AU61-AT61)/AT61*100)</f>
        <v>0</v>
      </c>
      <c r="BF61" s="310">
        <f>IF(AU61=0,0,(AV61-AU61)/AU61*100)</f>
        <v>0</v>
      </c>
      <c r="BG61" s="310">
        <f>IF(AV61=0,0,(AW61-AV61)/AV61*100)</f>
        <v>0</v>
      </c>
      <c r="BH61" s="310">
        <f>IF(AW61=0,0,(AX61-AW61)/AW61*100)</f>
        <v>0</v>
      </c>
      <c r="BI61" s="310">
        <f>IF(AX61=0,0,(AY61-AX61)/AX61*100)</f>
        <v>0</v>
      </c>
      <c r="BJ61" s="310">
        <f>IF(AY61=0,0,(AZ61-AY61)/AY61*100)</f>
        <v>0</v>
      </c>
      <c r="BK61" s="310">
        <f>IF(AZ61=0,0,(BA61-AZ61)/AZ61*100)</f>
        <v>0</v>
      </c>
      <c r="BL61" s="310">
        <f>IF(BA61=0,0,(BB61-BA61)/BA61*100)</f>
        <v>0</v>
      </c>
      <c r="BM61" s="310">
        <f>IF(BB61=0,0,(BC61-BB61)/BB61*100)</f>
        <v>0</v>
      </c>
      <c r="BN61" s="1719"/>
      <c r="BO61" s="1719"/>
      <c r="BP61" s="1719"/>
      <c r="BQ61" s="230"/>
      <c r="BR61" s="230"/>
      <c r="BS61" s="1184" t="s">
        <v>1376</v>
      </c>
    </row>
    <row s="1632" customFormat="1" customHeight="1" ht="14.25">
      <c r="A62" s="228"/>
      <c r="B62" s="927"/>
      <c r="C62" s="228"/>
      <c r="D62" s="228"/>
      <c r="E62" s="797">
        <v>15</v>
      </c>
      <c r="F62" s="922" cm="1" t="str">
        <f t="array" ref="F62:F62">OFFSET(G62,-1,-1)</f>
        <v>1</v>
      </c>
      <c r="G62" s="230"/>
      <c r="H62" s="230"/>
      <c r="I62" s="230"/>
      <c r="J62" s="230"/>
      <c r="K62" s="230"/>
      <c r="L62" s="230"/>
      <c r="M62" s="230"/>
      <c r="N62" s="230"/>
      <c r="O62" s="230"/>
      <c r="P62" s="230"/>
      <c r="Q62" s="193"/>
      <c r="R62" s="193"/>
      <c r="S62" s="230"/>
      <c r="T62" s="808" cm="1" t="str">
        <f t="array" ref="T62:T62">T61</f>
        <v>true</v>
      </c>
      <c r="U62" s="1582"/>
      <c r="V62" s="1582"/>
      <c r="W62" s="1582"/>
      <c r="X62" s="1582"/>
      <c r="Y62" s="1582"/>
      <c r="Z62" s="1582"/>
      <c r="AA62" s="230"/>
      <c r="AB62" s="160"/>
      <c r="AC62" s="167" t="s">
        <v>1377</v>
      </c>
      <c r="AD62" s="160" t="s">
        <v>810</v>
      </c>
      <c r="AE62" s="615">
        <f>AE49+AE50+AE51+AE52+AE56+AE58+AE59+AE60+AE61</f>
        <v>3916.9</v>
      </c>
      <c r="AF62" s="615">
        <f>AF49+AF50+AF51+AF52+AF56+AF58+AF59+AF60+AF61</f>
        <v>3947.28</v>
      </c>
      <c r="AG62" s="1956">
        <f>AG49+AG50+AG51+AG52+AG56+AG58+AG59+AG60+AG61</f>
        <v>3932.28</v>
      </c>
      <c r="AH62" s="310">
        <f>AG62-AF62</f>
        <v>-15</v>
      </c>
      <c r="AI62" s="615">
        <f>AI49+AI50+AI51+AI52+AI56+AI58+AI59+AI60+AI61</f>
        <v>4109.41</v>
      </c>
      <c r="AJ62" s="615">
        <f>AJ49+AJ50+AJ51+AJ52+AJ56+AJ58+AJ59+AJ60+AJ61</f>
        <v>6539.63</v>
      </c>
      <c r="AK62" s="615">
        <f>AK49+AK50+AK51+AK52+AK56+AK58+AK59+AK60+AK61</f>
        <v>1103.3</v>
      </c>
      <c r="AL62" s="615">
        <f>AL49+AL50+AL51+AL52+AL56+AL58+AL59+AL60+AL61</f>
        <v>0</v>
      </c>
      <c r="AM62" s="615">
        <f>AM49+AM50+AM51+AM52+AM56+AM58+AM59+AM60+AM61</f>
        <v>0</v>
      </c>
      <c r="AN62" s="615">
        <f>AN49+AN50+AN51+AN52+AN56+AN58+AN59+AN60+AN61</f>
        <v>0</v>
      </c>
      <c r="AO62" s="615">
        <f>AO49+AO50+AO51+AO52+AO56+AO58+AO59+AO60+AO61</f>
        <v>0</v>
      </c>
      <c r="AP62" s="615">
        <f>AP49+AP50+AP51+AP52+AP56+AP58+AP59+AP60+AP61</f>
        <v>0</v>
      </c>
      <c r="AQ62" s="615">
        <f>AQ49+AQ50+AQ51+AQ52+AQ56+AQ58+AQ59+AQ60+AQ61</f>
        <v>0</v>
      </c>
      <c r="AR62" s="615">
        <f>AR49+AR50+AR51+AR52+AR56+AR58+AR59+AR60+AR61</f>
        <v>0</v>
      </c>
      <c r="AS62" s="615">
        <f>AS49+AS50+AS51+AS52+AS56+AS58+AS59+AS60+AS61</f>
        <v>0</v>
      </c>
      <c r="AT62" s="615">
        <f>AT49+AT50+AT51+AT52+AT56+AT58+AT59+AT60+AT61</f>
        <v>4189.59</v>
      </c>
      <c r="AU62" s="615">
        <f>AU49+AU50+AU51+AU52+AU56+AU58+AU59+AU60+AU61</f>
        <v>0</v>
      </c>
      <c r="AV62" s="615">
        <f>AV49+AV50+AV51+AV52+AV56+AV58+AV59+AV60+AV61</f>
        <v>0</v>
      </c>
      <c r="AW62" s="615">
        <f>AW49+AW50+AW51+AW52+AW56+AW58+AW59+AW60+AW61</f>
        <v>0</v>
      </c>
      <c r="AX62" s="615">
        <f>AX49+AX50+AX51+AX52+AX56+AX58+AX59+AX60+AX61</f>
        <v>0</v>
      </c>
      <c r="AY62" s="615">
        <f>AY49+AY50+AY51+AY52+AY56+AY58+AY59+AY60+AY61</f>
        <v>0</v>
      </c>
      <c r="AZ62" s="615">
        <f>AZ49+AZ50+AZ51+AZ52+AZ56+AZ58+AZ59+AZ60+AZ61</f>
        <v>0</v>
      </c>
      <c r="BA62" s="615">
        <f>BA49+BA50+BA51+BA52+BA56+BA58+BA59+BA60+BA61</f>
        <v>0</v>
      </c>
      <c r="BB62" s="615">
        <f>BB49+BB50+BB51+BB52+BB56+BB58+BB59+BB60+BB61</f>
        <v>0</v>
      </c>
      <c r="BC62" s="615">
        <f>BC49+BC50+BC51+BC52+BC56+BC58+BC59+BC60+BC61</f>
        <v>0</v>
      </c>
      <c r="BD62" s="310">
        <f>IF(AI62=0,0,(AT62-AI62)/AI62*100)</f>
        <v>1.95113167096981</v>
      </c>
      <c r="BE62" s="310">
        <f>IF(AT62=0,0,(AU62-AT62)/AT62*100)</f>
        <v>-100</v>
      </c>
      <c r="BF62" s="310">
        <f>IF(AU62=0,0,(AV62-AU62)/AU62*100)</f>
        <v>0</v>
      </c>
      <c r="BG62" s="310">
        <f>IF(AV62=0,0,(AW62-AV62)/AV62*100)</f>
        <v>0</v>
      </c>
      <c r="BH62" s="310">
        <f>IF(AW62=0,0,(AX62-AW62)/AW62*100)</f>
        <v>0</v>
      </c>
      <c r="BI62" s="310">
        <f>IF(AX62=0,0,(AY62-AX62)/AX62*100)</f>
        <v>0</v>
      </c>
      <c r="BJ62" s="310">
        <f>IF(AY62=0,0,(AZ62-AY62)/AY62*100)</f>
        <v>0</v>
      </c>
      <c r="BK62" s="310">
        <f>IF(AZ62=0,0,(BA62-AZ62)/AZ62*100)</f>
        <v>0</v>
      </c>
      <c r="BL62" s="310">
        <f>IF(BA62=0,0,(BB62-BA62)/BA62*100)</f>
        <v>0</v>
      </c>
      <c r="BM62" s="310">
        <f>IF(BB62=0,0,(BC62-BB62)/BB62*100)</f>
        <v>0</v>
      </c>
      <c r="BN62" s="1719"/>
      <c r="BO62" s="1719"/>
      <c r="BP62" s="1719"/>
      <c r="BQ62" s="230"/>
      <c r="BR62" s="230"/>
      <c r="BS62" s="1184" t="s">
        <v>600</v>
      </c>
    </row>
    <row s="1632" customFormat="1" customHeight="1" ht="14.25">
      <c r="A63" s="228"/>
      <c r="B63" s="927"/>
      <c r="C63" s="228"/>
      <c r="D63" s="228"/>
      <c r="E63" s="797">
        <v>15</v>
      </c>
      <c r="F63" s="922" cm="1" t="str">
        <f t="array" ref="F63:F63">OFFSET(G63,-1,-1)</f>
        <v>1</v>
      </c>
      <c r="G63" s="193" t="s">
        <v>1263</v>
      </c>
      <c r="H63" s="230"/>
      <c r="I63" s="230"/>
      <c r="J63" s="230"/>
      <c r="K63" s="230"/>
      <c r="L63" s="230"/>
      <c r="M63" s="230"/>
      <c r="N63" s="230"/>
      <c r="O63" s="230"/>
      <c r="P63" s="230"/>
      <c r="Q63" s="193"/>
      <c r="R63" s="193"/>
      <c r="S63" s="230"/>
      <c r="T63" s="808" cm="1" t="str">
        <f t="array" ref="T63:T63">T62</f>
        <v>true</v>
      </c>
      <c r="U63" s="1582"/>
      <c r="V63" s="1582"/>
      <c r="W63" s="1582"/>
      <c r="X63" s="1582"/>
      <c r="Y63" s="1582"/>
      <c r="Z63" s="1582"/>
      <c r="AA63" s="230"/>
      <c r="AB63" s="160" t="s">
        <v>426</v>
      </c>
      <c r="AC63" s="167" t="s">
        <v>1378</v>
      </c>
      <c r="AD63" s="160" t="s">
        <v>810</v>
      </c>
      <c r="AE63" s="615">
        <f>_xlfn.SUMIFS(Налоги!AE$26:AE$55,Налоги!$F$26:$F$55,$F63,Налоги!$G$26:$G$55,$G63)</f>
        <v>0</v>
      </c>
      <c r="AF63" s="615">
        <f>_xlfn.SUMIFS(Налоги!AF$26:AF$55,Налоги!$F$26:$F$55,$F63,Налоги!$G$26:$G$55,$G63)</f>
        <v>0</v>
      </c>
      <c r="AG63" s="1956">
        <f>_xlfn.SUMIFS(Налоги!AG$26:AG$55,Налоги!$F$26:$F$55,$F63,Налоги!$G$26:$G$55,$G63)</f>
        <v>0</v>
      </c>
      <c r="AH63" s="310">
        <f>AG63-AF63</f>
        <v>0</v>
      </c>
      <c r="AI63" s="615">
        <f>_xlfn.SUMIFS(Налоги!AH$26:AH$55,Налоги!$F$26:$F$55,$F63,Налоги!$G$26:$G$55,$G63)</f>
        <v>0</v>
      </c>
      <c r="AJ63" s="615">
        <f>_xlfn.SUMIFS(Налоги!AI$26:AI$55,Налоги!$F$26:$F$55,$F63,Налоги!$G$26:$G$55,$G63)</f>
        <v>0</v>
      </c>
      <c r="AK63" s="615">
        <f>_xlfn.SUMIFS(Налоги!AJ$26:AJ$55,Налоги!$F$26:$F$55,$F63,Налоги!$G$26:$G$55,$G63)</f>
        <v>0</v>
      </c>
      <c r="AL63" s="615">
        <f>_xlfn.SUMIFS(Налоги!AK$26:AK$55,Налоги!$F$26:$F$55,$F63,Налоги!$G$26:$G$55,$G63)</f>
        <v>0</v>
      </c>
      <c r="AM63" s="615">
        <f>_xlfn.SUMIFS(Налоги!AL$26:AL$55,Налоги!$F$26:$F$55,$F63,Налоги!$G$26:$G$55,$G63)</f>
        <v>0</v>
      </c>
      <c r="AN63" s="615">
        <f>_xlfn.SUMIFS(Налоги!AM$26:AM$55,Налоги!$F$26:$F$55,$F63,Налоги!$G$26:$G$55,$G63)</f>
        <v>0</v>
      </c>
      <c r="AO63" s="615">
        <f>_xlfn.SUMIFS(Налоги!AN$26:AN$55,Налоги!$F$26:$F$55,$F63,Налоги!$G$26:$G$55,$G63)</f>
        <v>0</v>
      </c>
      <c r="AP63" s="615">
        <f>_xlfn.SUMIFS(Налоги!AO$26:AO$55,Налоги!$F$26:$F$55,$F63,Налоги!$G$26:$G$55,$G63)</f>
        <v>0</v>
      </c>
      <c r="AQ63" s="615">
        <f>_xlfn.SUMIFS(Налоги!AP$26:AP$55,Налоги!$F$26:$F$55,$F63,Налоги!$G$26:$G$55,$G63)</f>
        <v>0</v>
      </c>
      <c r="AR63" s="615">
        <f>_xlfn.SUMIFS(Налоги!AQ$26:AQ$55,Налоги!$F$26:$F$55,$F63,Налоги!$G$26:$G$55,$G63)</f>
        <v>0</v>
      </c>
      <c r="AS63" s="615">
        <f>_xlfn.SUMIFS(Налоги!AR$26:AR$55,Налоги!$F$26:$F$55,$F63,Налоги!$G$26:$G$55,$G63)</f>
        <v>0</v>
      </c>
      <c r="AT63" s="615">
        <f>_xlfn.SUMIFS(Налоги!AS$26:AS$55,Налоги!$F$26:$F$55,$F63,Налоги!$G$26:$G$55,$G63)</f>
        <v>0</v>
      </c>
      <c r="AU63" s="615">
        <f>_xlfn.SUMIFS(Налоги!AT$26:AT$55,Налоги!$F$26:$F$55,$F63,Налоги!$G$26:$G$55,$G63)</f>
        <v>0</v>
      </c>
      <c r="AV63" s="615">
        <f>_xlfn.SUMIFS(Налоги!AU$26:AU$55,Налоги!$F$26:$F$55,$F63,Налоги!$G$26:$G$55,$G63)</f>
        <v>0</v>
      </c>
      <c r="AW63" s="615">
        <f>_xlfn.SUMIFS(Налоги!AV$26:AV$55,Налоги!$F$26:$F$55,$F63,Налоги!$G$26:$G$55,$G63)</f>
        <v>0</v>
      </c>
      <c r="AX63" s="615">
        <f>_xlfn.SUMIFS(Налоги!AW$26:AW$55,Налоги!$F$26:$F$55,$F63,Налоги!$G$26:$G$55,$G63)</f>
        <v>0</v>
      </c>
      <c r="AY63" s="615">
        <f>_xlfn.SUMIFS(Налоги!AX$26:AX$55,Налоги!$F$26:$F$55,$F63,Налоги!$G$26:$G$55,$G63)</f>
        <v>0</v>
      </c>
      <c r="AZ63" s="615">
        <f>_xlfn.SUMIFS(Налоги!AY$26:AY$55,Налоги!$F$26:$F$55,$F63,Налоги!$G$26:$G$55,$G63)</f>
        <v>0</v>
      </c>
      <c r="BA63" s="615">
        <f>_xlfn.SUMIFS(Налоги!AZ$26:AZ$55,Налоги!$F$26:$F$55,$F63,Налоги!$G$26:$G$55,$G63)</f>
        <v>0</v>
      </c>
      <c r="BB63" s="615">
        <f>_xlfn.SUMIFS(Налоги!BA$26:BA$55,Налоги!$F$26:$F$55,$F63,Налоги!$G$26:$G$55,$G63)</f>
        <v>0</v>
      </c>
      <c r="BC63" s="615">
        <f>_xlfn.SUMIFS(Налоги!BB$26:BB$55,Налоги!$F$26:$F$55,$F63,Налоги!$G$26:$G$55,$G63)</f>
        <v>0</v>
      </c>
      <c r="BD63" s="310">
        <f>IF(AI63=0,0,(AT63-AI63)/AI63*100)</f>
        <v>0</v>
      </c>
      <c r="BE63" s="310">
        <f>IF(AT63=0,0,(AU63-AT63)/AT63*100)</f>
        <v>0</v>
      </c>
      <c r="BF63" s="310">
        <f>IF(AU63=0,0,(AV63-AU63)/AU63*100)</f>
        <v>0</v>
      </c>
      <c r="BG63" s="310">
        <f>IF(AV63=0,0,(AW63-AV63)/AV63*100)</f>
        <v>0</v>
      </c>
      <c r="BH63" s="310">
        <f>IF(AW63=0,0,(AX63-AW63)/AW63*100)</f>
        <v>0</v>
      </c>
      <c r="BI63" s="310">
        <f>IF(AX63=0,0,(AY63-AX63)/AX63*100)</f>
        <v>0</v>
      </c>
      <c r="BJ63" s="310">
        <f>IF(AY63=0,0,(AZ63-AY63)/AY63*100)</f>
        <v>0</v>
      </c>
      <c r="BK63" s="310">
        <f>IF(AZ63=0,0,(BA63-AZ63)/AZ63*100)</f>
        <v>0</v>
      </c>
      <c r="BL63" s="310">
        <f>IF(BA63=0,0,(BB63-BA63)/BA63*100)</f>
        <v>0</v>
      </c>
      <c r="BM63" s="310">
        <f>IF(BB63=0,0,(BC63-BB63)/BB63*100)</f>
        <v>0</v>
      </c>
      <c r="BN63" s="1719"/>
      <c r="BO63" s="1719"/>
      <c r="BP63" s="1719"/>
      <c r="BQ63" s="230"/>
      <c r="BR63" s="230"/>
      <c r="BS63" s="1184" t="s">
        <v>579</v>
      </c>
    </row>
    <row s="1632" customFormat="1" customHeight="1" ht="27">
      <c r="A64" s="228"/>
      <c r="B64" s="927"/>
      <c r="C64" s="228"/>
      <c r="D64" s="228"/>
      <c r="E64" s="797">
        <v>27.8</v>
      </c>
      <c r="F64" s="922" cm="1" t="str">
        <f t="array" ref="F64:F64">OFFSET(G64,-1,-1)</f>
        <v>1</v>
      </c>
      <c r="G64" s="193" t="s">
        <v>1286</v>
      </c>
      <c r="H64" s="230"/>
      <c r="I64" s="230"/>
      <c r="J64" s="230"/>
      <c r="K64" s="230"/>
      <c r="L64" s="230"/>
      <c r="M64" s="230"/>
      <c r="N64" s="230"/>
      <c r="O64" s="230"/>
      <c r="P64" s="230"/>
      <c r="Q64" s="193"/>
      <c r="R64" s="193"/>
      <c r="S64" s="230"/>
      <c r="T64" s="808" cm="1" t="str">
        <f t="array" ref="T64:T64">T63</f>
        <v>true</v>
      </c>
      <c r="U64" s="1582"/>
      <c r="V64" s="1582"/>
      <c r="W64" s="1582"/>
      <c r="X64" s="1582"/>
      <c r="Y64" s="1582"/>
      <c r="Z64" s="1582"/>
      <c r="AA64" s="230"/>
      <c r="AB64" s="160" t="s">
        <v>429</v>
      </c>
      <c r="AC64" s="167" t="s">
        <v>1379</v>
      </c>
      <c r="AD64" s="160" t="s">
        <v>810</v>
      </c>
      <c r="AE64" s="1956"/>
      <c r="AF64" s="1956"/>
      <c r="AG64" s="1956"/>
      <c r="AH64" s="310">
        <f>AG64-AF64</f>
        <v>0</v>
      </c>
      <c r="AI64" s="1956"/>
      <c r="AJ64" s="615">
        <f>_xlfn.SUMIFS(Экономия_корр!AE$26:AE$43,Экономия_корр!$F$26:$F$43,$F64,Экономия_корр!$G$26:$G$43,$G64)</f>
        <v>0</v>
      </c>
      <c r="AK64" s="615">
        <f>_xlfn.SUMIFS(Экономия_корр!AF$26:AF$43,Экономия_корр!$F$26:$F$43,$F64,Экономия_корр!$G$26:$G$43,$G64)</f>
        <v>0</v>
      </c>
      <c r="AL64" s="615">
        <f>_xlfn.SUMIFS(Экономия_корр!AG$26:AG$43,Экономия_корр!$F$26:$F$43,$F64,Экономия_корр!$G$26:$G$43,$G64)</f>
        <v>0</v>
      </c>
      <c r="AM64" s="615">
        <f>_xlfn.SUMIFS(Экономия_корр!AH$26:AH$43,Экономия_корр!$F$26:$F$43,$F64,Экономия_корр!$G$26:$G$43,$G64)</f>
        <v>0</v>
      </c>
      <c r="AN64" s="615">
        <f>_xlfn.SUMIFS(Экономия_корр!AI$26:AI$43,Экономия_корр!$F$26:$F$43,$F64,Экономия_корр!$G$26:$G$43,$G64)</f>
        <v>0</v>
      </c>
      <c r="AO64" s="615">
        <f>_xlfn.SUMIFS(Экономия_корр!AJ$26:AJ$43,Экономия_корр!$F$26:$F$43,$F64,Экономия_корр!$G$26:$G$43,$G64)</f>
        <v>0</v>
      </c>
      <c r="AP64" s="615">
        <f>_xlfn.SUMIFS(Экономия_корр!AK$26:AK$43,Экономия_корр!$F$26:$F$43,$F64,Экономия_корр!$G$26:$G$43,$G64)</f>
        <v>0</v>
      </c>
      <c r="AQ64" s="615">
        <f>_xlfn.SUMIFS(Экономия_корр!AL$26:AL$43,Экономия_корр!$F$26:$F$43,$F64,Экономия_корр!$G$26:$G$43,$G64)</f>
        <v>0</v>
      </c>
      <c r="AR64" s="615">
        <f>_xlfn.SUMIFS(Экономия_корр!AM$26:AM$43,Экономия_корр!$F$26:$F$43,$F64,Экономия_корр!$G$26:$G$43,$G64)</f>
        <v>0</v>
      </c>
      <c r="AS64" s="615">
        <f>_xlfn.SUMIFS(Экономия_корр!AN$26:AN$43,Экономия_корр!$F$26:$F$43,$F64,Экономия_корр!$G$26:$G$43,$G64)</f>
        <v>0</v>
      </c>
      <c r="AT64" s="615">
        <f>_xlfn.SUMIFS(Экономия_корр!AO$26:AO$43,Экономия_корр!$F$26:$F$43,$F64,Экономия_корр!$G$26:$G$43,$G64)</f>
        <v>0</v>
      </c>
      <c r="AU64" s="615">
        <f>_xlfn.SUMIFS(Экономия_корр!AP$26:AP$43,Экономия_корр!$F$26:$F$43,$F64,Экономия_корр!$G$26:$G$43,$G64)</f>
        <v>0</v>
      </c>
      <c r="AV64" s="615">
        <f>_xlfn.SUMIFS(Экономия_корр!AQ$26:AQ$43,Экономия_корр!$F$26:$F$43,$F64,Экономия_корр!$G$26:$G$43,$G64)</f>
        <v>0</v>
      </c>
      <c r="AW64" s="615">
        <f>_xlfn.SUMIFS(Экономия_корр!AR$26:AR$43,Экономия_корр!$F$26:$F$43,$F64,Экономия_корр!$G$26:$G$43,$G64)</f>
        <v>0</v>
      </c>
      <c r="AX64" s="615">
        <f>_xlfn.SUMIFS(Экономия_корр!AS$26:AS$43,Экономия_корр!$F$26:$F$43,$F64,Экономия_корр!$G$26:$G$43,$G64)</f>
        <v>0</v>
      </c>
      <c r="AY64" s="615">
        <f>_xlfn.SUMIFS(Экономия_корр!AT$26:AT$43,Экономия_корр!$F$26:$F$43,$F64,Экономия_корр!$G$26:$G$43,$G64)</f>
        <v>0</v>
      </c>
      <c r="AZ64" s="615">
        <f>_xlfn.SUMIFS(Экономия_корр!AU$26:AU$43,Экономия_корр!$F$26:$F$43,$F64,Экономия_корр!$G$26:$G$43,$G64)</f>
        <v>0</v>
      </c>
      <c r="BA64" s="615">
        <f>_xlfn.SUMIFS(Экономия_корр!AV$26:AV$43,Экономия_корр!$F$26:$F$43,$F64,Экономия_корр!$G$26:$G$43,$G64)</f>
        <v>0</v>
      </c>
      <c r="BB64" s="615">
        <f>_xlfn.SUMIFS(Экономия_корр!AW$26:AW$43,Экономия_корр!$F$26:$F$43,$F64,Экономия_корр!$G$26:$G$43,$G64)</f>
        <v>0</v>
      </c>
      <c r="BC64" s="615">
        <f>_xlfn.SUMIFS(Экономия_корр!AX$26:AX$43,Экономия_корр!$F$26:$F$43,$F64,Экономия_корр!$G$26:$G$43,$G64)</f>
        <v>0</v>
      </c>
      <c r="BD64" s="310">
        <f>IF(AI64=0,0,(AT64-AI64)/AI64*100)</f>
        <v>0</v>
      </c>
      <c r="BE64" s="310">
        <f>IF(AT64=0,0,(AU64-AT64)/AT64*100)</f>
        <v>0</v>
      </c>
      <c r="BF64" s="310">
        <f>IF(AU64=0,0,(AV64-AU64)/AU64*100)</f>
        <v>0</v>
      </c>
      <c r="BG64" s="310">
        <f>IF(AV64=0,0,(AW64-AV64)/AV64*100)</f>
        <v>0</v>
      </c>
      <c r="BH64" s="310">
        <f>IF(AW64=0,0,(AX64-AW64)/AW64*100)</f>
        <v>0</v>
      </c>
      <c r="BI64" s="310">
        <f>IF(AX64=0,0,(AY64-AX64)/AX64*100)</f>
        <v>0</v>
      </c>
      <c r="BJ64" s="310">
        <f>IF(AY64=0,0,(AZ64-AY64)/AY64*100)</f>
        <v>0</v>
      </c>
      <c r="BK64" s="310">
        <f>IF(AZ64=0,0,(BA64-AZ64)/AZ64*100)</f>
        <v>0</v>
      </c>
      <c r="BL64" s="310">
        <f>IF(BA64=0,0,(BB64-BA64)/BA64*100)</f>
        <v>0</v>
      </c>
      <c r="BM64" s="310">
        <f>IF(BB64=0,0,(BC64-BB64)/BB64*100)</f>
        <v>0</v>
      </c>
      <c r="BN64" s="1719"/>
      <c r="BO64" s="1719"/>
      <c r="BP64" s="1719"/>
      <c r="BQ64" s="230"/>
      <c r="BR64" s="230"/>
      <c r="BS64" s="1184" t="s">
        <v>1380</v>
      </c>
    </row>
    <row s="1632" customFormat="1" customHeight="1" ht="27">
      <c r="A65" s="228"/>
      <c r="B65" s="927"/>
      <c r="C65" s="228"/>
      <c r="D65" s="228"/>
      <c r="E65" s="797">
        <v>27.8</v>
      </c>
      <c r="F65" s="922" cm="1" t="str">
        <f t="array" ref="F65:F65">OFFSET(G65,-1,-1)</f>
        <v>1</v>
      </c>
      <c r="G65" s="230"/>
      <c r="H65" s="230"/>
      <c r="I65" s="230"/>
      <c r="J65" s="230"/>
      <c r="K65" s="230"/>
      <c r="L65" s="230"/>
      <c r="M65" s="230"/>
      <c r="N65" s="230"/>
      <c r="O65" s="230"/>
      <c r="P65" s="230"/>
      <c r="Q65" s="193"/>
      <c r="R65" s="193"/>
      <c r="S65" s="230"/>
      <c r="T65" s="808" cm="1" t="str">
        <f t="array" ref="T65:T65">T64</f>
        <v>true</v>
      </c>
      <c r="U65" s="1582"/>
      <c r="V65" s="1582"/>
      <c r="W65" s="1582"/>
      <c r="X65" s="1582"/>
      <c r="Y65" s="1582"/>
      <c r="Z65" s="1582"/>
      <c r="AA65" s="230"/>
      <c r="AB65" s="160" t="s">
        <v>432</v>
      </c>
      <c r="AC65" s="167" t="s">
        <v>1381</v>
      </c>
      <c r="AD65" s="160" t="s">
        <v>810</v>
      </c>
      <c r="AE65" s="1956"/>
      <c r="AF65" s="1956"/>
      <c r="AG65" s="1956"/>
      <c r="AH65" s="310">
        <f>AG65-AF65</f>
        <v>0</v>
      </c>
      <c r="AI65" s="1956"/>
      <c r="AJ65" s="1956"/>
      <c r="AK65" s="1956"/>
      <c r="AL65" s="1956"/>
      <c r="AM65" s="1956"/>
      <c r="AN65" s="1956"/>
      <c r="AO65" s="1956"/>
      <c r="AP65" s="1956"/>
      <c r="AQ65" s="1956"/>
      <c r="AR65" s="1956"/>
      <c r="AS65" s="1956"/>
      <c r="AT65" s="1956"/>
      <c r="AU65" s="1956"/>
      <c r="AV65" s="1956"/>
      <c r="AW65" s="1956"/>
      <c r="AX65" s="1956"/>
      <c r="AY65" s="1956"/>
      <c r="AZ65" s="1956"/>
      <c r="BA65" s="1956"/>
      <c r="BB65" s="1956"/>
      <c r="BC65" s="1956"/>
      <c r="BD65" s="310">
        <f>IF(AI65=0,0,(AT65-AI65)/AI65*100)</f>
        <v>0</v>
      </c>
      <c r="BE65" s="310">
        <f>IF(AT65=0,0,(AU65-AT65)/AT65*100)</f>
        <v>0</v>
      </c>
      <c r="BF65" s="310">
        <f>IF(AU65=0,0,(AV65-AU65)/AU65*100)</f>
        <v>0</v>
      </c>
      <c r="BG65" s="310">
        <f>IF(AV65=0,0,(AW65-AV65)/AV65*100)</f>
        <v>0</v>
      </c>
      <c r="BH65" s="310">
        <f>IF(AW65=0,0,(AX65-AW65)/AW65*100)</f>
        <v>0</v>
      </c>
      <c r="BI65" s="310">
        <f>IF(AX65=0,0,(AY65-AX65)/AX65*100)</f>
        <v>0</v>
      </c>
      <c r="BJ65" s="310">
        <f>IF(AY65=0,0,(AZ65-AY65)/AY65*100)</f>
        <v>0</v>
      </c>
      <c r="BK65" s="310">
        <f>IF(AZ65=0,0,(BA65-AZ65)/AZ65*100)</f>
        <v>0</v>
      </c>
      <c r="BL65" s="310">
        <f>IF(BA65=0,0,(BB65-BA65)/BA65*100)</f>
        <v>0</v>
      </c>
      <c r="BM65" s="310">
        <f>IF(BB65=0,0,(BC65-BB65)/BB65*100)</f>
        <v>0</v>
      </c>
      <c r="BN65" s="1719"/>
      <c r="BO65" s="1719"/>
      <c r="BP65" s="1719"/>
      <c r="BQ65" s="230"/>
      <c r="BR65" s="230"/>
      <c r="BS65" s="1184" t="s">
        <v>1382</v>
      </c>
    </row>
    <row s="1961" customFormat="1" customHeight="1" ht="14.25">
      <c r="A66" s="235"/>
      <c r="B66" s="235"/>
      <c r="C66" s="235"/>
      <c r="D66" s="235"/>
      <c r="E66" s="797">
        <v>15</v>
      </c>
      <c r="F66" s="922" cm="1" t="str">
        <f t="array" ref="F66:F66">OFFSET(G66,-1,-1)</f>
        <v>1</v>
      </c>
      <c r="G66" s="235"/>
      <c r="H66" s="235"/>
      <c r="I66" s="235"/>
      <c r="J66" s="235"/>
      <c r="K66" s="235"/>
      <c r="L66" s="235"/>
      <c r="M66" s="235"/>
      <c r="N66" s="235"/>
      <c r="O66" s="235"/>
      <c r="P66" s="235"/>
      <c r="Q66" s="235"/>
      <c r="R66" s="235"/>
      <c r="S66" s="235"/>
      <c r="T66" s="808" cm="1" t="str">
        <f t="array" ref="T66:T66">T64</f>
        <v>true</v>
      </c>
      <c r="U66" s="235"/>
      <c r="V66" s="235"/>
      <c r="W66" s="235"/>
      <c r="X66" s="235"/>
      <c r="Y66" s="235"/>
      <c r="Z66" s="235"/>
      <c r="AA66" s="235"/>
      <c r="AB66" s="161" t="s">
        <v>435</v>
      </c>
      <c r="AC66" s="162" t="s">
        <v>1353</v>
      </c>
      <c r="AD66" s="161" t="s">
        <v>810</v>
      </c>
      <c r="AE66" s="618">
        <f>AE62+AE63+AE64+AE65</f>
        <v>3916.9</v>
      </c>
      <c r="AF66" s="618">
        <f>AF62+AF63+AF64+AF65</f>
        <v>3947.28</v>
      </c>
      <c r="AG66" s="1948">
        <f>AG62+AG63+AG64+AG65</f>
        <v>3932.28</v>
      </c>
      <c r="AH66" s="310">
        <f>AG66-AF66</f>
        <v>-15</v>
      </c>
      <c r="AI66" s="618">
        <f>AI62+AI63+AI64+AI65</f>
        <v>4109.41</v>
      </c>
      <c r="AJ66" s="618">
        <f>AJ62+AJ63+AJ64+AJ65</f>
        <v>6539.63</v>
      </c>
      <c r="AK66" s="618">
        <f>AK62+AK63+AK64+AK65</f>
        <v>1103.3</v>
      </c>
      <c r="AL66" s="618">
        <f>AL62+AL63+AL64+AL65</f>
        <v>0</v>
      </c>
      <c r="AM66" s="618">
        <f>AM62+AM63+AM64+AM65</f>
        <v>0</v>
      </c>
      <c r="AN66" s="618">
        <f>AN62+AN63+AN64+AN65</f>
        <v>0</v>
      </c>
      <c r="AO66" s="618">
        <f>AO62+AO63+AO64+AO65</f>
        <v>0</v>
      </c>
      <c r="AP66" s="618">
        <f>AP62+AP63+AP64+AP65</f>
        <v>0</v>
      </c>
      <c r="AQ66" s="618">
        <f>AQ62+AQ63+AQ64+AQ65</f>
        <v>0</v>
      </c>
      <c r="AR66" s="618">
        <f>AR62+AR63+AR64+AR65</f>
        <v>0</v>
      </c>
      <c r="AS66" s="618">
        <f>AS62+AS63+AS64+AS65</f>
        <v>0</v>
      </c>
      <c r="AT66" s="618">
        <f>AT62+AT63+AT64+AT65</f>
        <v>4189.59</v>
      </c>
      <c r="AU66" s="618">
        <f>AU62+AU63+AU64+AU65</f>
        <v>0</v>
      </c>
      <c r="AV66" s="618">
        <f>AV62+AV63+AV64+AV65</f>
        <v>0</v>
      </c>
      <c r="AW66" s="618">
        <f>AW62+AW63+AW64+AW65</f>
        <v>0</v>
      </c>
      <c r="AX66" s="618">
        <f>AX62+AX63+AX64+AX65</f>
        <v>0</v>
      </c>
      <c r="AY66" s="618">
        <f>AY62+AY63+AY64+AY65</f>
        <v>0</v>
      </c>
      <c r="AZ66" s="618">
        <f>AZ62+AZ63+AZ64+AZ65</f>
        <v>0</v>
      </c>
      <c r="BA66" s="618">
        <f>BA62+BA63+BA64+BA65</f>
        <v>0</v>
      </c>
      <c r="BB66" s="618">
        <f>BB62+BB63+BB64+BB65</f>
        <v>0</v>
      </c>
      <c r="BC66" s="618">
        <f>BC62+BC63+BC64+BC65</f>
        <v>0</v>
      </c>
      <c r="BD66" s="309">
        <f>IF(AI66=0,0,(AT66-AI66)/AI66*100)</f>
        <v>1.95113167096981</v>
      </c>
      <c r="BE66" s="309">
        <f>IF(AT66=0,0,(AU66-AT66)/AT66*100)</f>
        <v>-100</v>
      </c>
      <c r="BF66" s="309">
        <f>IF(AU66=0,0,(AV66-AU66)/AU66*100)</f>
        <v>0</v>
      </c>
      <c r="BG66" s="309">
        <f>IF(AV66=0,0,(AW66-AV66)/AV66*100)</f>
        <v>0</v>
      </c>
      <c r="BH66" s="309">
        <f>IF(AW66=0,0,(AX66-AW66)/AW66*100)</f>
        <v>0</v>
      </c>
      <c r="BI66" s="309">
        <f>IF(AX66=0,0,(AY66-AX66)/AX66*100)</f>
        <v>0</v>
      </c>
      <c r="BJ66" s="309">
        <f>IF(AY66=0,0,(AZ66-AY66)/AY66*100)</f>
        <v>0</v>
      </c>
      <c r="BK66" s="309">
        <f>IF(AZ66=0,0,(BA66-AZ66)/AZ66*100)</f>
        <v>0</v>
      </c>
      <c r="BL66" s="309">
        <f>IF(BA66=0,0,(BB66-BA66)/BA66*100)</f>
        <v>0</v>
      </c>
      <c r="BM66" s="309">
        <f>IF(BB66=0,0,(BC66-BB66)/BB66*100)</f>
        <v>0</v>
      </c>
      <c r="BN66" s="1719"/>
      <c r="BO66" s="1719"/>
      <c r="BP66" s="1719"/>
      <c r="BQ66" s="235"/>
      <c r="BR66" s="235"/>
      <c r="BS66" s="1184" t="s">
        <v>1383</v>
      </c>
    </row>
    <row customHeight="1" ht="9.945">
      <c r="E67" s="797">
        <v>10.2</v>
      </c>
      <c r="U67" s="179" t="s">
        <v>236</v>
      </c>
      <c r="V67" s="171" t="s">
        <v>1384</v>
      </c>
      <c r="AJ67" s="230"/>
      <c r="AK67" s="230"/>
      <c r="AL67" s="230"/>
      <c r="AM67" s="230"/>
      <c r="AN67" s="230"/>
      <c r="AO67" s="230"/>
      <c r="AP67" s="230"/>
      <c r="AQ67" s="230"/>
      <c r="AR67" s="230"/>
      <c r="AS67" s="230"/>
      <c r="AT67" s="230"/>
      <c r="AU67" s="230"/>
      <c r="AV67" s="230"/>
      <c r="AW67" s="230"/>
      <c r="AX67" s="230"/>
      <c r="AY67" s="230"/>
      <c r="AZ67" s="230"/>
      <c r="BA67" s="230"/>
      <c r="BB67" s="230"/>
      <c r="BC67" s="230"/>
      <c r="BD67" s="230"/>
      <c r="BE67" s="230"/>
      <c r="BF67" s="230"/>
      <c r="BG67" s="230"/>
      <c r="BH67" s="230"/>
      <c r="BI67" s="230"/>
      <c r="BJ67" s="230"/>
      <c r="BK67" s="230"/>
      <c r="BL67" s="230"/>
      <c r="BM67" s="230"/>
    </row>
    <row customHeight="1" ht="11.25" hidden="1">
      <c r="E68" s="797">
        <v>0</v>
      </c>
      <c r="AJ68" s="230"/>
      <c r="AK68" s="230"/>
      <c r="AL68" s="230"/>
      <c r="AM68" s="230"/>
      <c r="AN68" s="230"/>
      <c r="AO68" s="230"/>
      <c r="AP68" s="230"/>
      <c r="AQ68" s="230"/>
      <c r="AR68" s="230"/>
      <c r="AS68" s="230"/>
      <c r="AT68" s="230"/>
      <c r="AU68" s="230"/>
      <c r="AV68" s="230"/>
      <c r="AW68" s="230"/>
      <c r="AX68" s="230"/>
      <c r="AY68" s="230"/>
      <c r="AZ68" s="230"/>
      <c r="BA68" s="230"/>
      <c r="BB68" s="230"/>
      <c r="BC68" s="230"/>
      <c r="BD68" s="230"/>
      <c r="BE68" s="230"/>
      <c r="BF68" s="230"/>
      <c r="BG68" s="230"/>
      <c r="BH68" s="230"/>
      <c r="BI68" s="230"/>
      <c r="BJ68" s="230"/>
      <c r="BK68" s="230"/>
      <c r="BL68" s="230"/>
      <c r="BM68" s="230"/>
    </row>
    <row customHeight="1" ht="14.625">
      <c r="E69" s="797">
        <v>15</v>
      </c>
      <c r="AB69" s="1530" t="s">
        <v>705</v>
      </c>
      <c r="AC69" s="1530"/>
      <c r="AD69" s="1530"/>
      <c r="AE69" s="1530"/>
      <c r="AF69" s="1530"/>
      <c r="AG69" s="1530"/>
      <c r="AH69" s="1530"/>
      <c r="AI69" s="1530"/>
      <c r="AJ69" s="1530"/>
      <c r="AK69" s="1530"/>
      <c r="AL69" s="1530"/>
      <c r="AM69" s="1530"/>
      <c r="AN69" s="1530"/>
      <c r="AO69" s="1530"/>
      <c r="AP69" s="1530"/>
      <c r="AQ69" s="1530"/>
      <c r="AR69" s="1530"/>
      <c r="AS69" s="1530"/>
      <c r="AT69" s="1530"/>
      <c r="AU69" s="1530"/>
      <c r="AV69" s="1530"/>
      <c r="AW69" s="1530"/>
      <c r="AX69" s="1530"/>
      <c r="AY69" s="1530"/>
      <c r="AZ69" s="1530"/>
      <c r="BA69" s="1530"/>
      <c r="BB69" s="1530"/>
      <c r="BC69" s="1530"/>
      <c r="BD69" s="1530"/>
      <c r="BE69" s="1530"/>
      <c r="BF69" s="1530"/>
      <c r="BG69" s="1530"/>
      <c r="BH69" s="1530"/>
      <c r="BI69" s="1530"/>
      <c r="BJ69" s="1530"/>
      <c r="BK69" s="1530"/>
      <c r="BL69" s="1530"/>
      <c r="BM69" s="1530"/>
      <c r="BN69" s="1530"/>
      <c r="BO69" s="1530"/>
      <c r="BP69" s="1530"/>
    </row>
    <row customHeight="1" ht="14.625">
      <c r="E70" s="797">
        <v>15</v>
      </c>
      <c r="AA70" s="921"/>
      <c r="AB70" s="1543"/>
      <c r="AC70" s="1544"/>
      <c r="AD70" s="1544"/>
      <c r="AE70" s="1544"/>
      <c r="AF70" s="1544"/>
      <c r="AG70" s="1544"/>
      <c r="AH70" s="1544"/>
      <c r="AI70" s="1544"/>
      <c r="AJ70" s="1544"/>
      <c r="AK70" s="1544"/>
      <c r="AL70" s="1544"/>
      <c r="AM70" s="1544"/>
      <c r="AN70" s="1544"/>
      <c r="AO70" s="1544"/>
      <c r="AP70" s="1544"/>
      <c r="AQ70" s="1544"/>
      <c r="AR70" s="1544"/>
      <c r="AS70" s="1544"/>
      <c r="AT70" s="1544"/>
      <c r="AU70" s="1544"/>
      <c r="AV70" s="1544"/>
      <c r="AW70" s="1544"/>
      <c r="AX70" s="1544"/>
      <c r="AY70" s="1544"/>
      <c r="AZ70" s="1544"/>
      <c r="BA70" s="1544"/>
      <c r="BB70" s="1544"/>
      <c r="BC70" s="1544"/>
      <c r="BD70" s="1544"/>
      <c r="BE70" s="1544"/>
      <c r="BF70" s="1544"/>
      <c r="BG70" s="1544"/>
      <c r="BH70" s="1544"/>
      <c r="BI70" s="1544"/>
      <c r="BJ70" s="1544"/>
      <c r="BK70" s="1544"/>
      <c r="BL70" s="1544"/>
      <c r="BM70" s="1544"/>
      <c r="BN70" s="1544"/>
      <c r="BO70" s="1544"/>
      <c r="BP70" s="1544"/>
    </row>
    <row customHeight="1" ht="14.625" hidden="1">
      <c r="A71" s="228"/>
      <c r="B71" s="927"/>
      <c r="C71" s="228"/>
      <c r="D71" s="228"/>
      <c r="E71" s="797">
        <v>15</v>
      </c>
      <c r="F71" s="228"/>
      <c r="G71" s="230"/>
      <c r="H71" s="230"/>
      <c r="I71" s="230"/>
      <c r="J71" s="230"/>
      <c r="K71" s="230"/>
      <c r="L71" s="230"/>
      <c r="M71" s="230"/>
      <c r="N71" s="230"/>
      <c r="O71" s="230"/>
      <c r="P71" s="230"/>
      <c r="Q71" s="193"/>
      <c r="R71" s="193"/>
      <c r="S71" s="230"/>
      <c r="T71" s="808">
        <f>ROW(W71)&gt;ROW(W$71)</f>
        <v>0</v>
      </c>
      <c r="U71" s="1582"/>
      <c r="V71" s="1582"/>
      <c r="W71" s="175" t="s">
        <v>234</v>
      </c>
      <c r="X71" s="1582"/>
      <c r="Y71" s="1582"/>
      <c r="Z71" s="1582"/>
      <c r="AA71" s="917" t="s">
        <v>218</v>
      </c>
      <c r="AB71" s="1932"/>
      <c r="AC71" s="1544"/>
      <c r="AD71" s="1544"/>
      <c r="AE71" s="1544"/>
      <c r="AF71" s="1544"/>
      <c r="AG71" s="1544"/>
      <c r="AH71" s="1544"/>
      <c r="AI71" s="1544"/>
      <c r="AJ71" s="1544"/>
      <c r="AK71" s="1544"/>
      <c r="AL71" s="1544"/>
      <c r="AM71" s="1544"/>
      <c r="AN71" s="1544"/>
      <c r="AO71" s="1544"/>
      <c r="AP71" s="1544"/>
      <c r="AQ71" s="1544"/>
      <c r="AR71" s="1544"/>
      <c r="AS71" s="1544"/>
      <c r="AT71" s="1544"/>
      <c r="AU71" s="1544"/>
      <c r="AV71" s="1544"/>
      <c r="AW71" s="1544"/>
      <c r="AX71" s="1544"/>
      <c r="AY71" s="1544"/>
      <c r="AZ71" s="1544"/>
      <c r="BA71" s="1544"/>
      <c r="BB71" s="1544"/>
      <c r="BC71" s="1544"/>
      <c r="BD71" s="1544"/>
      <c r="BE71" s="1544"/>
      <c r="BF71" s="1544"/>
      <c r="BG71" s="1544"/>
      <c r="BH71" s="1544"/>
      <c r="BI71" s="1544"/>
      <c r="BJ71" s="1544"/>
      <c r="BK71" s="1544"/>
      <c r="BL71" s="1544"/>
      <c r="BM71" s="1544"/>
      <c r="BN71" s="1544"/>
      <c r="BO71" s="1544"/>
      <c r="BP71" s="1544"/>
      <c r="BQ71" s="230"/>
      <c r="BR71" s="230"/>
      <c r="BS71" s="1235"/>
    </row>
    <row customHeight="1" ht="14.625">
      <c r="E72" s="797">
        <v>15</v>
      </c>
      <c r="W72" s="171" t="s">
        <v>235</v>
      </c>
      <c r="AA72" s="213"/>
      <c r="AB72" s="1478" t="s">
        <v>706</v>
      </c>
      <c r="AC72" s="1479"/>
      <c r="AD72" s="383"/>
      <c r="AE72" s="383"/>
      <c r="AF72" s="383"/>
      <c r="AG72" s="383"/>
      <c r="AH72" s="383"/>
      <c r="AI72" s="383"/>
      <c r="AJ72" s="383"/>
      <c r="AK72" s="383"/>
      <c r="AL72" s="383"/>
      <c r="AM72" s="383"/>
      <c r="AN72" s="383"/>
      <c r="AO72" s="383"/>
      <c r="AP72" s="383"/>
      <c r="AQ72" s="383"/>
      <c r="AR72" s="383"/>
      <c r="AS72" s="383"/>
      <c r="AT72" s="383"/>
      <c r="AU72" s="383"/>
      <c r="AV72" s="383"/>
      <c r="AW72" s="383"/>
      <c r="AX72" s="383"/>
      <c r="AY72" s="383"/>
      <c r="AZ72" s="383"/>
      <c r="BA72" s="383"/>
      <c r="BB72" s="383"/>
      <c r="BC72" s="383"/>
      <c r="BD72" s="383"/>
      <c r="BE72" s="383"/>
      <c r="BF72" s="383"/>
      <c r="BG72" s="383"/>
      <c r="BH72" s="383"/>
      <c r="BI72" s="383"/>
      <c r="BJ72" s="383"/>
      <c r="BK72" s="383"/>
      <c r="BL72" s="383"/>
      <c r="BM72" s="383"/>
      <c r="BN72" s="383"/>
      <c r="BO72" s="383"/>
      <c r="BP72" s="350"/>
    </row>
    <row customHeight="1" ht="11.25">
      <c r="AJ73" s="230"/>
      <c r="AK73" s="230"/>
      <c r="AL73" s="230"/>
      <c r="AM73" s="230"/>
      <c r="AN73" s="230"/>
      <c r="AO73" s="230"/>
      <c r="AP73" s="230"/>
      <c r="AQ73" s="230"/>
      <c r="AR73" s="230"/>
      <c r="AS73" s="230"/>
      <c r="AT73" s="230"/>
      <c r="AU73" s="230"/>
      <c r="AV73" s="230"/>
      <c r="AW73" s="230"/>
      <c r="AX73" s="230"/>
      <c r="AY73" s="230"/>
      <c r="AZ73" s="230"/>
      <c r="BA73" s="230"/>
      <c r="BB73" s="230"/>
      <c r="BC73" s="230"/>
      <c r="BD73" s="230"/>
      <c r="BE73" s="230"/>
      <c r="BF73" s="230"/>
      <c r="BG73" s="230"/>
      <c r="BH73" s="230"/>
      <c r="BI73" s="230"/>
      <c r="BJ73" s="230"/>
      <c r="BK73" s="230"/>
      <c r="BL73" s="230"/>
      <c r="BM73" s="230"/>
      <c r="BQ73" s="230"/>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1BFBB-E618-6DB8-149A-26EDB8C912A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B49" sqref="AB49:BP49"/>
    </sheetView>
  </sheetViews>
  <sheetFormatPr defaultColWidth="9.140625" customHeight="1" defaultRowHeight="11.25"/>
  <cols>
    <col min="1" max="1" style="228"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1" style="230" width="3.57421875" hidden="1" customWidth="1"/>
    <col min="12" max="12" style="230" width="7.00390625" hidden="1" customWidth="1"/>
    <col min="13" max="16" style="230" width="3.57421875" hidden="1" customWidth="1"/>
    <col min="17" max="17" style="193" width="3.57421875" hidden="1" customWidth="1"/>
    <col min="18" max="18" style="193" width="12.7109375" hidden="1" customWidth="1"/>
    <col min="19" max="19" style="230" width="3.57421875" hidden="1" customWidth="1"/>
    <col min="20" max="20" style="228" width="8.7109375" hidden="1" customWidth="1"/>
    <col min="21" max="21" style="228" width="6.00390625" hidden="1" customWidth="1"/>
    <col min="22" max="23" style="228" width="6.28125" hidden="1" customWidth="1"/>
    <col min="24" max="25" style="228" width="5.7109375" hidden="1" customWidth="1"/>
    <col min="26" max="26" style="22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233" width="9.140625" hidden="1"/>
  </cols>
  <sheetData>
    <row s="228" customFormat="1" customHeight="1" ht="12" hidden="1">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372</v>
      </c>
      <c r="Z1" s="808" t="s">
        <v>93</v>
      </c>
      <c r="AA1" s="819" t="s">
        <v>90</v>
      </c>
      <c r="AB1" s="819" t="s">
        <v>92</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61" t="s">
        <v>373</v>
      </c>
    </row>
    <row s="927" customFormat="1" customHeight="1" ht="12" hidden="1">
      <c r="B2" s="910" t="s">
        <v>15</v>
      </c>
      <c r="G2" s="930"/>
      <c r="H2" s="930"/>
      <c r="I2" s="930"/>
      <c r="J2" s="930"/>
      <c r="K2" s="930"/>
      <c r="L2" s="930"/>
      <c r="M2" s="930"/>
      <c r="N2" s="930"/>
      <c r="O2" s="930"/>
      <c r="P2" s="930"/>
      <c r="Q2" s="930"/>
      <c r="R2" s="930"/>
      <c r="S2" s="93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60"/>
    </row>
    <row s="228" customFormat="1" customHeight="1" ht="12" hidden="1">
      <c r="B3" s="788"/>
      <c r="E3" s="788"/>
      <c r="G3" s="230"/>
      <c r="H3" s="230"/>
      <c r="I3" s="230"/>
      <c r="J3" s="230"/>
      <c r="K3" s="230"/>
      <c r="L3" s="230"/>
      <c r="M3" s="230"/>
      <c r="N3" s="230"/>
      <c r="O3" s="230"/>
      <c r="P3" s="230"/>
      <c r="Q3" s="193"/>
      <c r="R3" s="193"/>
      <c r="S3" s="230"/>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3"/>
    </row>
    <row s="228" customFormat="1" customHeight="1" ht="12" hidden="1">
      <c r="B4" s="788"/>
      <c r="E4" s="788"/>
      <c r="G4" s="230"/>
      <c r="H4" s="230"/>
      <c r="I4" s="230"/>
      <c r="J4" s="230"/>
      <c r="K4" s="230"/>
      <c r="L4" s="230"/>
      <c r="M4" s="230"/>
      <c r="N4" s="230"/>
      <c r="O4" s="230"/>
      <c r="P4" s="230"/>
      <c r="Q4" s="193"/>
      <c r="R4" s="193"/>
      <c r="S4" s="230"/>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12.63</v>
      </c>
      <c r="AF5" s="797">
        <v>12.63</v>
      </c>
      <c r="AG5" s="797">
        <v>12.63</v>
      </c>
      <c r="AH5" s="797">
        <v>19.13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60"/>
    </row>
    <row s="228" customFormat="1" customHeight="1" ht="12" hidden="1">
      <c r="B6" s="788"/>
      <c r="E6" s="797"/>
      <c r="G6" s="230"/>
      <c r="H6" s="230"/>
      <c r="I6" s="230"/>
      <c r="J6" s="230"/>
      <c r="K6" s="230"/>
      <c r="L6" s="230"/>
      <c r="M6" s="230"/>
      <c r="N6" s="230"/>
      <c r="O6" s="230"/>
      <c r="P6" s="230"/>
      <c r="Q6" s="193"/>
      <c r="R6" s="193"/>
      <c r="S6" s="230"/>
      <c r="AC6" s="232"/>
      <c r="AE6" s="228">
        <f>god-2</f>
        <v>2024</v>
      </c>
      <c r="AF6" s="228">
        <f>god-2</f>
        <v>2024</v>
      </c>
      <c r="AG6" s="228">
        <f>god-2</f>
        <v>2024</v>
      </c>
      <c r="AH6" s="228">
        <f>god-2</f>
        <v>2024</v>
      </c>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3"/>
    </row>
    <row customHeight="1" ht="12" hidden="1">
      <c r="F7" s="230"/>
      <c r="T7" s="230"/>
      <c r="U7" s="230"/>
      <c r="V7" s="230"/>
      <c r="W7" s="230"/>
      <c r="X7" s="230"/>
      <c r="Y7" s="230"/>
      <c r="Z7" s="230"/>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13"/>
      <c r="BJ7" s="213"/>
      <c r="BK7" s="213"/>
      <c r="BL7" s="213"/>
      <c r="BM7" s="213"/>
    </row>
    <row customHeight="1" ht="12" hidden="1">
      <c r="F8" s="230"/>
      <c r="T8" s="230"/>
      <c r="U8" s="230"/>
      <c r="V8" s="230"/>
      <c r="W8" s="230"/>
      <c r="X8" s="230"/>
      <c r="Y8" s="230"/>
      <c r="Z8" s="230"/>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234" customFormat="1" customHeight="1" ht="12" hidden="1">
      <c r="A9" s="1161" t="s">
        <v>437</v>
      </c>
      <c r="B9" s="1154"/>
      <c r="E9" s="1154"/>
      <c r="Q9" s="1212"/>
      <c r="R9" s="121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3"/>
    </row>
    <row s="1234" customFormat="1" customHeight="1" ht="12" hidden="1">
      <c r="A10" s="1161" t="s">
        <v>438</v>
      </c>
      <c r="B10" s="1154"/>
      <c r="E10" s="1154"/>
      <c r="Q10" s="1212"/>
      <c r="R10" s="121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4" customFormat="1" customHeight="1" ht="12" hidden="1">
      <c r="A11" s="1161" t="s">
        <v>439</v>
      </c>
      <c r="B11" s="1154"/>
      <c r="E11" s="1154"/>
      <c r="G11" s="1237"/>
      <c r="H11" s="1237"/>
      <c r="I11" s="1237"/>
      <c r="J11" s="1237"/>
      <c r="K11" s="1237"/>
      <c r="L11" s="1237"/>
      <c r="M11" s="1237"/>
      <c r="N11" s="1237"/>
      <c r="O11" s="1237"/>
      <c r="P11" s="1237"/>
      <c r="Q11" s="1214"/>
      <c r="R11" s="1214"/>
      <c r="S11" s="1237"/>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234"/>
      <c r="BJ11" s="1234"/>
      <c r="BK11" s="1234"/>
      <c r="BL11" s="1234"/>
      <c r="BM11" s="1234"/>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8" customFormat="1" customHeight="1" ht="12" hidden="1">
      <c r="B12" s="788"/>
      <c r="E12" s="797"/>
      <c r="G12" s="230"/>
      <c r="H12" s="230"/>
      <c r="I12" s="230"/>
      <c r="J12" s="230"/>
      <c r="K12" s="230"/>
      <c r="L12" s="230"/>
      <c r="M12" s="230"/>
      <c r="N12" s="230"/>
      <c r="O12" s="230"/>
      <c r="P12" s="230"/>
      <c r="Q12" s="193"/>
      <c r="R12" s="193"/>
      <c r="S12" s="230"/>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233"/>
    </row>
    <row s="228" customFormat="1" customHeight="1" ht="12" hidden="1">
      <c r="B13" s="788"/>
      <c r="E13" s="797"/>
      <c r="G13" s="230"/>
      <c r="H13" s="230"/>
      <c r="I13" s="230"/>
      <c r="J13" s="230"/>
      <c r="K13" s="230"/>
      <c r="L13" s="230"/>
      <c r="M13" s="230"/>
      <c r="N13" s="230"/>
      <c r="O13" s="230"/>
      <c r="P13" s="230"/>
      <c r="Q13" s="193"/>
      <c r="R13" s="193"/>
      <c r="S13" s="230"/>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233"/>
    </row>
    <row s="228" customFormat="1" customHeight="1" ht="12" hidden="1">
      <c r="B14" s="788"/>
      <c r="E14" s="797"/>
      <c r="G14" s="230"/>
      <c r="H14" s="230"/>
      <c r="I14" s="230"/>
      <c r="J14" s="230"/>
      <c r="K14" s="230"/>
      <c r="L14" s="230"/>
      <c r="M14" s="230"/>
      <c r="N14" s="230"/>
      <c r="O14" s="230"/>
      <c r="P14" s="230"/>
      <c r="Q14" s="193"/>
      <c r="R14" s="193"/>
      <c r="S14" s="230"/>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233"/>
    </row>
    <row s="228" customFormat="1" customHeight="1" ht="12" hidden="1">
      <c r="B15" s="788"/>
      <c r="E15" s="797"/>
      <c r="G15" s="230"/>
      <c r="H15" s="230"/>
      <c r="I15" s="230"/>
      <c r="J15" s="230"/>
      <c r="K15" s="230"/>
      <c r="L15" s="230"/>
      <c r="M15" s="230"/>
      <c r="N15" s="230"/>
      <c r="O15" s="230"/>
      <c r="P15" s="230"/>
      <c r="Q15" s="193"/>
      <c r="R15" s="193"/>
      <c r="S15" s="230"/>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233"/>
    </row>
    <row s="228" customFormat="1" customHeight="1" ht="12" hidden="1">
      <c r="B16" s="788"/>
      <c r="E16" s="797"/>
      <c r="G16" s="230"/>
      <c r="H16" s="230"/>
      <c r="I16" s="230"/>
      <c r="J16" s="230"/>
      <c r="K16" s="230"/>
      <c r="L16" s="230"/>
      <c r="M16" s="230"/>
      <c r="N16" s="230"/>
      <c r="O16" s="230"/>
      <c r="P16" s="230"/>
      <c r="Q16" s="193"/>
      <c r="R16" s="193"/>
      <c r="S16" s="230"/>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233"/>
    </row>
    <row s="228" customFormat="1" customHeight="1" ht="12" hidden="1">
      <c r="B17" s="788"/>
      <c r="E17" s="797"/>
      <c r="G17" s="230"/>
      <c r="H17" s="230"/>
      <c r="I17" s="230"/>
      <c r="J17" s="230"/>
      <c r="K17" s="230"/>
      <c r="L17" s="230"/>
      <c r="M17" s="230"/>
      <c r="N17" s="230"/>
      <c r="O17" s="230"/>
      <c r="P17" s="230"/>
      <c r="Q17" s="193"/>
      <c r="R17" s="193"/>
      <c r="S17" s="230"/>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233"/>
    </row>
    <row s="228" customFormat="1" customHeight="1" ht="12" hidden="1">
      <c r="B18" s="788"/>
      <c r="E18" s="797"/>
      <c r="G18" s="230"/>
      <c r="H18" s="230"/>
      <c r="I18" s="230"/>
      <c r="J18" s="230"/>
      <c r="K18" s="230"/>
      <c r="L18" s="230"/>
      <c r="M18" s="230"/>
      <c r="N18" s="230"/>
      <c r="O18" s="230"/>
      <c r="P18" s="230"/>
      <c r="Q18" s="193"/>
      <c r="R18" s="193"/>
      <c r="S18" s="230"/>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233"/>
    </row>
    <row s="228" customFormat="1" customHeight="1" ht="12" hidden="1">
      <c r="B19" s="788"/>
      <c r="E19" s="797"/>
      <c r="G19" s="230"/>
      <c r="H19" s="230"/>
      <c r="I19" s="230"/>
      <c r="J19" s="230"/>
      <c r="K19" s="230"/>
      <c r="L19" s="230"/>
      <c r="M19" s="230"/>
      <c r="N19" s="230"/>
      <c r="O19" s="230"/>
      <c r="P19" s="230"/>
      <c r="Q19" s="193"/>
      <c r="R19" s="193"/>
      <c r="S19" s="230"/>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3"/>
    </row>
    <row s="228" customFormat="1" customHeight="1" ht="12" hidden="1">
      <c r="B20" s="788"/>
      <c r="E20" s="797"/>
      <c r="G20" s="230"/>
      <c r="H20" s="230"/>
      <c r="I20" s="230"/>
      <c r="J20" s="230"/>
      <c r="K20" s="230"/>
      <c r="L20" s="230"/>
      <c r="M20" s="230"/>
      <c r="N20" s="230"/>
      <c r="O20" s="230"/>
      <c r="P20" s="230"/>
      <c r="Q20" s="193"/>
      <c r="R20" s="193"/>
      <c r="S20" s="230"/>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3"/>
    </row>
    <row customHeight="1" ht="14.625">
      <c r="E21" s="797">
        <v>15</v>
      </c>
      <c r="AA21" s="820"/>
      <c r="AB21" s="230"/>
      <c r="AC21" s="403" cm="1" t="str">
        <f t="array" ref="AC21:AC21">tpl_title</f>
        <v>Кемеровская область / 2026 / ООО "ВЕЛЕС" (ИНН:4212036655,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83"/>
      <c r="D22" s="183"/>
      <c r="E22" s="797">
        <v>20.1</v>
      </c>
      <c r="F22" s="183"/>
      <c r="Q22" s="193"/>
      <c r="R22" s="193"/>
      <c r="T22" s="183"/>
      <c r="U22" s="183"/>
      <c r="V22" s="183"/>
      <c r="W22" s="183"/>
      <c r="X22" s="183"/>
      <c r="Y22" s="183"/>
      <c r="Z22" s="183"/>
      <c r="AB22" s="392" t="s">
        <v>61</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223"/>
    </row>
    <row s="1535" customFormat="1" customHeight="1" ht="9.945">
      <c r="A23" s="183"/>
      <c r="B23" s="788"/>
      <c r="C23" s="183"/>
      <c r="D23" s="183"/>
      <c r="E23" s="797">
        <v>10.2</v>
      </c>
      <c r="F23" s="183"/>
      <c r="Q23" s="193"/>
      <c r="R23" s="193"/>
      <c r="T23" s="183"/>
      <c r="U23" s="183"/>
      <c r="V23" s="183"/>
      <c r="W23" s="183"/>
      <c r="X23" s="183"/>
      <c r="Y23" s="183"/>
      <c r="Z23" s="183"/>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223"/>
    </row>
    <row s="229" customFormat="1" customHeight="1" ht="24.180000000000003">
      <c r="A24" s="232"/>
      <c r="B24" s="792"/>
      <c r="C24" s="232"/>
      <c r="D24" s="232"/>
      <c r="E24" s="803">
        <v>24.8</v>
      </c>
      <c r="F24" s="232"/>
      <c r="Q24" s="932"/>
      <c r="R24" s="932"/>
      <c r="T24" s="232"/>
      <c r="U24" s="232"/>
      <c r="V24" s="232"/>
      <c r="W24" s="232"/>
      <c r="X24" s="232"/>
      <c r="Y24" s="232"/>
      <c r="Z24" s="232"/>
      <c r="AB24" s="1547" t="s">
        <v>386</v>
      </c>
      <c r="AC24" s="1547" t="s">
        <v>440</v>
      </c>
      <c r="AD24" s="1547" t="s">
        <v>441</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1290</v>
      </c>
      <c r="BO24" s="1546" t="s">
        <v>595</v>
      </c>
      <c r="BP24" s="1546" t="s">
        <v>1291</v>
      </c>
      <c r="BS24" s="1233"/>
    </row>
    <row s="229" customFormat="1" customHeight="1" ht="44.655">
      <c r="A25" s="232"/>
      <c r="B25" s="792"/>
      <c r="C25" s="232"/>
      <c r="D25" s="232"/>
      <c r="E25" s="803">
        <v>45.8</v>
      </c>
      <c r="F25" s="232"/>
      <c r="Q25" s="932"/>
      <c r="R25" s="932"/>
      <c r="T25" s="232"/>
      <c r="U25" s="232"/>
      <c r="V25" s="232"/>
      <c r="W25" s="232"/>
      <c r="X25" s="232"/>
      <c r="Y25" s="232"/>
      <c r="Z25" s="232"/>
      <c r="AB25" s="1547"/>
      <c r="AC25" s="1547"/>
      <c r="AD25" s="1547"/>
      <c r="AE25" s="169" t="s">
        <v>402</v>
      </c>
      <c r="AF25" s="1358" t="s">
        <v>596</v>
      </c>
      <c r="AG25" s="169" t="s">
        <v>597</v>
      </c>
      <c r="AH25" s="261" t="s">
        <v>1292</v>
      </c>
      <c r="AI25" s="169" t="s">
        <v>402</v>
      </c>
      <c r="AJ25" s="1357" t="s">
        <v>403</v>
      </c>
      <c r="AK25" s="1357" t="s">
        <v>403</v>
      </c>
      <c r="AL25" s="1357" t="s">
        <v>403</v>
      </c>
      <c r="AM25" s="1357" t="s">
        <v>403</v>
      </c>
      <c r="AN25" s="1357" t="s">
        <v>403</v>
      </c>
      <c r="AO25" s="1357" t="s">
        <v>403</v>
      </c>
      <c r="AP25" s="1357" t="s">
        <v>403</v>
      </c>
      <c r="AQ25" s="1357" t="s">
        <v>403</v>
      </c>
      <c r="AR25" s="1357" t="s">
        <v>403</v>
      </c>
      <c r="AS25" s="1357" t="s">
        <v>403</v>
      </c>
      <c r="AT25" s="413" t="s">
        <v>402</v>
      </c>
      <c r="AU25" s="413" t="s">
        <v>402</v>
      </c>
      <c r="AV25" s="413" t="s">
        <v>402</v>
      </c>
      <c r="AW25" s="413" t="s">
        <v>402</v>
      </c>
      <c r="AX25" s="413" t="s">
        <v>402</v>
      </c>
      <c r="AY25" s="413" t="s">
        <v>402</v>
      </c>
      <c r="AZ25" s="413" t="s">
        <v>402</v>
      </c>
      <c r="BA25" s="413" t="s">
        <v>402</v>
      </c>
      <c r="BB25" s="413" t="s">
        <v>402</v>
      </c>
      <c r="BC25" s="413" t="s">
        <v>402</v>
      </c>
      <c r="BD25" s="1546" t="s">
        <v>1293</v>
      </c>
      <c r="BE25" s="1546"/>
      <c r="BF25" s="1546"/>
      <c r="BG25" s="1546"/>
      <c r="BH25" s="1546"/>
      <c r="BI25" s="1546"/>
      <c r="BJ25" s="1546"/>
      <c r="BK25" s="1546"/>
      <c r="BL25" s="1546"/>
      <c r="BM25" s="1546"/>
      <c r="BN25" s="1546"/>
      <c r="BO25" s="1546"/>
      <c r="BP25" s="1546"/>
      <c r="BS25" s="1233"/>
    </row>
    <row s="229" customFormat="1" customHeight="1" ht="12" hidden="1">
      <c r="A26" s="232"/>
      <c r="B26" s="792"/>
      <c r="C26" s="232"/>
      <c r="D26" s="232"/>
      <c r="E26" s="803">
        <v>0</v>
      </c>
      <c r="F26" s="232"/>
      <c r="Q26" s="932"/>
      <c r="R26" s="932"/>
      <c r="T26" s="232"/>
      <c r="U26" s="232"/>
      <c r="V26" s="232"/>
      <c r="W26" s="232"/>
      <c r="X26" s="232"/>
      <c r="Y26" s="232"/>
      <c r="Z26" s="232"/>
      <c r="AB26" s="712"/>
      <c r="AC26" s="712"/>
      <c r="AD26" s="712"/>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233"/>
    </row>
    <row s="220" customFormat="1" customHeight="1" ht="16.575" hidden="1">
      <c r="E27" s="797">
        <v>17</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J27" s="213" cm="1" t="str">
        <f t="array" ref="J27:J27">INDEX('Общие сведения'!$AK$169:$AK$202,MATCH($F27,'Общие сведения'!$Z$169:$Z$202,0))</f>
        <v>0</v>
      </c>
      <c r="K27" s="213" cm="1" t="str">
        <f t="array" ref="K27:K27">INDEX('Общие сведения'!$AH$169:$AH$202,MATCH($F27,'Общие сведения'!$Z$169:$Z$202,0))</f>
        <v>0</v>
      </c>
      <c r="L27" s="213" cm="1" t="str">
        <f t="array" ref="L27:L27">INDEX('Общие сведения'!$AI$169:$AI$202,MATCH($F27,'Общие сведения'!$Z$169:$Z$202,0))</f>
        <v>0</v>
      </c>
      <c r="M27" s="213" cm="1" t="str">
        <f t="array" ref="M27:M27">INDEX('Общие сведения'!$AJ$169:$AJ$202,MATCH($F27,'Общие сведения'!$Z$169:$Z$202,0))</f>
        <v>0</v>
      </c>
      <c r="T27" s="808">
        <f>X27&gt;0</f>
        <v>0</v>
      </c>
      <c r="V27" s="175" t="s">
        <v>310</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206" t="str">
        <f>IF(AND(ISNUMBER(VALUE(TRIM(SUBSTITUTE(AB28,".","")))),TRIM(SUBSTITUTE(AB28,".",""))&lt;&gt;""),"P"&amp;SUBSTITUTE(AB28,".",""),"")</f>
        <v/>
      </c>
    </row>
    <row s="220" customFormat="1" customHeight="1" ht="16.575" hidden="1">
      <c r="E28" s="797">
        <v>17</v>
      </c>
      <c r="F28" s="922" cm="1" t="str">
        <f t="array" ref="F28:F28">OFFSET(G28,-1,-1)</f>
        <v>0</v>
      </c>
      <c r="K28" s="230" t="str">
        <f>F28&amp;"komm"</f>
        <v>0komm</v>
      </c>
      <c r="L28" s="229" cm="1" t="str">
        <f t="array" ref="L28:L28">BO28</f>
        <v>0</v>
      </c>
      <c r="T28" s="808" cm="1" t="str">
        <f t="array" ref="T28:T28">T27</f>
        <v>false</v>
      </c>
      <c r="AB28" s="1548" t="s">
        <v>1385</v>
      </c>
      <c r="AC28" s="1549"/>
      <c r="AD28" s="305" t="s">
        <v>810</v>
      </c>
      <c r="AE28" s="309" cm="1" t="str">
        <f t="array" ref="AE28:AE28">AE35</f>
        <v>0</v>
      </c>
      <c r="AF28" s="309" cm="1" t="str">
        <f t="array" ref="AF28:AF28">AF35</f>
        <v>0</v>
      </c>
      <c r="AG28" s="309" cm="1" t="str">
        <f t="array" ref="AG28:AG28">AG35</f>
        <v>0</v>
      </c>
      <c r="AH28" s="309" cm="1" t="str">
        <f t="array" ref="AH28:AH28">AH35</f>
        <v>0</v>
      </c>
      <c r="AI28" s="309" cm="1" t="str">
        <f t="array" ref="AI28:AI28">AI35</f>
        <v>0</v>
      </c>
      <c r="AJ28" s="309" cm="1" t="str">
        <f t="array" ref="AJ28:AJ28">AJ35</f>
        <v>0</v>
      </c>
      <c r="AK28" s="309" cm="1" t="str">
        <f t="array" ref="AK28:AK28">AK35</f>
        <v>0</v>
      </c>
      <c r="AL28" s="309" cm="1" t="str">
        <f t="array" ref="AL28:AL28">AL35</f>
        <v>0</v>
      </c>
      <c r="AM28" s="309" cm="1" t="str">
        <f t="array" ref="AM28:AM28">AM35</f>
        <v>0</v>
      </c>
      <c r="AN28" s="309" cm="1" t="str">
        <f t="array" ref="AN28:AN28">AN35</f>
        <v>0</v>
      </c>
      <c r="AO28" s="309" cm="1" t="str">
        <f t="array" ref="AO28:AO28">AO35</f>
        <v>0</v>
      </c>
      <c r="AP28" s="309" cm="1" t="str">
        <f t="array" ref="AP28:AP28">AP35</f>
        <v>0</v>
      </c>
      <c r="AQ28" s="309" cm="1" t="str">
        <f t="array" ref="AQ28:AQ28">AQ35</f>
        <v>0</v>
      </c>
      <c r="AR28" s="309" cm="1" t="str">
        <f t="array" ref="AR28:AR28">AR35</f>
        <v>0</v>
      </c>
      <c r="AS28" s="309" cm="1" t="str">
        <f t="array" ref="AS28:AS28">AS35</f>
        <v>0</v>
      </c>
      <c r="AT28" s="309" cm="1" t="str">
        <f t="array" ref="AT28:AT28">AT35</f>
        <v>0</v>
      </c>
      <c r="AU28" s="309" cm="1" t="str">
        <f t="array" ref="AU28:AU28">AU35</f>
        <v>0</v>
      </c>
      <c r="AV28" s="309" cm="1" t="str">
        <f t="array" ref="AV28:AV28">AV35</f>
        <v>0</v>
      </c>
      <c r="AW28" s="309" cm="1" t="str">
        <f t="array" ref="AW28:AW28">AW35</f>
        <v>0</v>
      </c>
      <c r="AX28" s="309" cm="1" t="str">
        <f t="array" ref="AX28:AX28">AX35</f>
        <v>0</v>
      </c>
      <c r="AY28" s="309" cm="1" t="str">
        <f t="array" ref="AY28:AY28">AY35</f>
        <v>0</v>
      </c>
      <c r="AZ28" s="309" cm="1" t="str">
        <f t="array" ref="AZ28:AZ28">AZ35</f>
        <v>0</v>
      </c>
      <c r="BA28" s="309" cm="1" t="str">
        <f t="array" ref="BA28:BA28">BA35</f>
        <v>0</v>
      </c>
      <c r="BB28" s="309" cm="1" t="str">
        <f t="array" ref="BB28:BB28">BB35</f>
        <v>0</v>
      </c>
      <c r="BC28" s="309" cm="1" t="str">
        <f t="array" ref="BC28:BC28">BC35</f>
        <v>0</v>
      </c>
      <c r="BD28" s="309" cm="1" t="str">
        <f t="array" ref="BD28:BD28">BD35</f>
        <v>0</v>
      </c>
      <c r="BE28" s="309" cm="1" t="str">
        <f t="array" ref="BE28:BE28">BE35</f>
        <v>0</v>
      </c>
      <c r="BF28" s="309" cm="1" t="str">
        <f t="array" ref="BF28:BF28">BF35</f>
        <v>0</v>
      </c>
      <c r="BG28" s="309" cm="1" t="str">
        <f t="array" ref="BG28:BG28">BG35</f>
        <v>0</v>
      </c>
      <c r="BH28" s="309" cm="1" t="str">
        <f t="array" ref="BH28:BH28">BH35</f>
        <v>0</v>
      </c>
      <c r="BI28" s="309" cm="1" t="str">
        <f t="array" ref="BI28:BI28">BI35</f>
        <v>0</v>
      </c>
      <c r="BJ28" s="309" cm="1" t="str">
        <f t="array" ref="BJ28:BJ28">BJ35</f>
        <v>0</v>
      </c>
      <c r="BK28" s="309" cm="1" t="str">
        <f t="array" ref="BK28:BK28">BK35</f>
        <v>0</v>
      </c>
      <c r="BL28" s="309" cm="1" t="str">
        <f t="array" ref="BL28:BL28">BL35</f>
        <v>0</v>
      </c>
      <c r="BM28" s="309" cm="1" t="str">
        <f t="array" ref="BM28:BM28">BM35</f>
        <v>0</v>
      </c>
      <c r="BN28" s="73"/>
      <c r="BO28" s="73"/>
      <c r="BP28" s="73"/>
      <c r="BS28" s="1206" t="s">
        <v>1386</v>
      </c>
    </row>
    <row customHeight="1" ht="16.575" hidden="1">
      <c r="E29" s="797">
        <v>17</v>
      </c>
      <c r="F29" s="922" cm="1" t="str">
        <f t="array" ref="F29:F29">OFFSET(G29,-1,-1)</f>
        <v>0</v>
      </c>
      <c r="G29" s="193" t="s">
        <v>1387</v>
      </c>
      <c r="T29" s="808" cm="1" t="str">
        <f t="array" ref="T29:T29">T28</f>
        <v>false</v>
      </c>
      <c r="AB29" s="480" t="s">
        <v>336</v>
      </c>
      <c r="AC29" s="747" t="s">
        <v>1388</v>
      </c>
      <c r="AD29" s="488" t="s">
        <v>1023</v>
      </c>
      <c r="AE29" s="310">
        <f>_xlfn.SUMIFS('Топливо 4.4'!AH$27:AH$275,'Топливо 4.4'!$F$27:$F$275,$F29,'Топливо 4.4'!$G$27:$G$275,$G29)</f>
        <v>0</v>
      </c>
      <c r="AF29" s="310">
        <f>_xlfn.SUMIFS('Топливо 4.4'!AI$27:AI$275,'Топливо 4.4'!$F$27:$F$275,$F29,'Топливо 4.4'!$G$27:$G$275,$G29)</f>
        <v>0</v>
      </c>
      <c r="AG29" s="310">
        <f>_xlfn.SUMIFS('Топливо 4.4'!AJ$27:AJ$275,'Топливо 4.4'!$F$27:$F$275,$F29,'Топливо 4.4'!$G$27:$G$275,$G29)</f>
        <v>0</v>
      </c>
      <c r="AH29" s="310">
        <f>AG29-AF29</f>
        <v>0</v>
      </c>
      <c r="AI29" s="310">
        <f>_xlfn.SUMIFS('Топливо 4.4'!AK$27:AK$275,'Топливо 4.4'!$F$27:$F$275,$F29,'Топливо 4.4'!$G$27:$G$275,$G29)</f>
        <v>0</v>
      </c>
      <c r="AJ29" s="310">
        <f>_xlfn.SUMIFS('Топливо 4.4'!AL$27:AL$275,'Топливо 4.4'!$F$27:$F$275,$F29,'Топливо 4.4'!$G$27:$G$275,$G29)</f>
        <v>0</v>
      </c>
      <c r="AK29" s="310">
        <f>_xlfn.SUMIFS('Топливо 4.4'!AO$27:AO$275,'Топливо 4.4'!$F$27:$F$275,$F29,'Топливо 4.4'!$G$27:$G$275,$G29)</f>
        <v>0</v>
      </c>
      <c r="AL29" s="310">
        <f>_xlfn.SUMIFS('Топливо 4.4'!AR$27:AR$275,'Топливо 4.4'!$F$27:$F$275,$F29,'Топливо 4.4'!$G$27:$G$275,$G29)</f>
        <v>0</v>
      </c>
      <c r="AM29" s="310">
        <f>_xlfn.SUMIFS('Топливо 4.4'!AU$27:AU$275,'Топливо 4.4'!$F$27:$F$275,$F29,'Топливо 4.4'!$G$27:$G$275,$G29)</f>
        <v>0</v>
      </c>
      <c r="AN29" s="310">
        <f>_xlfn.SUMIFS('Топливо 4.4'!AX$27:AX$275,'Топливо 4.4'!$F$27:$F$275,$F29,'Топливо 4.4'!$G$27:$G$275,$G29)</f>
        <v>0</v>
      </c>
      <c r="AO29" s="310">
        <f>_xlfn.SUMIFS('Топливо 4.4'!BA$27:BA$275,'Топливо 4.4'!$F$27:$F$275,$F29,'Топливо 4.4'!$G$27:$G$275,$G29)</f>
        <v>0</v>
      </c>
      <c r="AP29" s="310">
        <f>_xlfn.SUMIFS('Топливо 4.4'!BD$27:BD$275,'Топливо 4.4'!$F$27:$F$275,$F29,'Топливо 4.4'!$G$27:$G$275,$G29)</f>
        <v>0</v>
      </c>
      <c r="AQ29" s="310">
        <f>_xlfn.SUMIFS('Топливо 4.4'!BG$27:BG$275,'Топливо 4.4'!$F$27:$F$275,$F29,'Топливо 4.4'!$G$27:$G$275,$G29)</f>
        <v>0</v>
      </c>
      <c r="AR29" s="310">
        <f>_xlfn.SUMIFS('Топливо 4.4'!BJ$27:BJ$275,'Топливо 4.4'!$F$27:$F$275,$F29,'Топливо 4.4'!$G$27:$G$275,$G29)</f>
        <v>0</v>
      </c>
      <c r="AS29" s="310">
        <f>_xlfn.SUMIFS('Топливо 4.4'!BM$27:BM$275,'Топливо 4.4'!$F$27:$F$275,$F29,'Топливо 4.4'!$G$27:$G$275,$G29)</f>
        <v>0</v>
      </c>
      <c r="AT29" s="310">
        <f>_xlfn.SUMIFS('Топливо 4.4'!BP$27:BP$275,'Топливо 4.4'!$F$27:$F$275,$F29,'Топливо 4.4'!$G$27:$G$275,$G29)</f>
        <v>0</v>
      </c>
      <c r="AU29" s="310">
        <f>_xlfn.SUMIFS('Топливо 4.4'!BS$27:BS$275,'Топливо 4.4'!$F$27:$F$275,$F29,'Топливо 4.4'!$G$27:$G$275,$G29)</f>
        <v>0</v>
      </c>
      <c r="AV29" s="310">
        <f>_xlfn.SUMIFS('Топливо 4.4'!BV$27:BV$275,'Топливо 4.4'!$F$27:$F$275,$F29,'Топливо 4.4'!$G$27:$G$275,$G29)</f>
        <v>0</v>
      </c>
      <c r="AW29" s="310">
        <f>_xlfn.SUMIFS('Топливо 4.4'!BY$27:BY$275,'Топливо 4.4'!$F$27:$F$275,$F29,'Топливо 4.4'!$G$27:$G$275,$G29)</f>
        <v>0</v>
      </c>
      <c r="AX29" s="310">
        <f>_xlfn.SUMIFS('Топливо 4.4'!CB$27:CB$275,'Топливо 4.4'!$F$27:$F$275,$F29,'Топливо 4.4'!$G$27:$G$275,$G29)</f>
        <v>0</v>
      </c>
      <c r="AY29" s="310">
        <f>_xlfn.SUMIFS('Топливо 4.4'!CE$27:CE$275,'Топливо 4.4'!$F$27:$F$275,$F29,'Топливо 4.4'!$G$27:$G$275,$G29)</f>
        <v>0</v>
      </c>
      <c r="AZ29" s="310">
        <f>_xlfn.SUMIFS('Топливо 4.4'!CH$27:CH$275,'Топливо 4.4'!$F$27:$F$275,$F29,'Топливо 4.4'!$G$27:$G$275,$G29)</f>
        <v>0</v>
      </c>
      <c r="BA29" s="310">
        <f>_xlfn.SUMIFS('Топливо 4.4'!CK$27:CK$275,'Топливо 4.4'!$F$27:$F$275,$F29,'Топливо 4.4'!$G$27:$G$275,$G29)</f>
        <v>0</v>
      </c>
      <c r="BB29" s="310">
        <f>_xlfn.SUMIFS('Топливо 4.4'!CN$27:CN$275,'Топливо 4.4'!$F$27:$F$275,$F29,'Топливо 4.4'!$G$27:$G$275,$G29)</f>
        <v>0</v>
      </c>
      <c r="BC29" s="310">
        <f>_xlfn.SUMIFS('Топливо 4.4'!CQ$27:CQ$275,'Топливо 4.4'!$F$27:$F$275,$F29,'Топливо 4.4'!$G$27:$G$275,$G29)</f>
        <v>0</v>
      </c>
      <c r="BD29" s="310">
        <f>IF(AI29=0,0,(AT29-AI29)/AI29*100)</f>
        <v>0</v>
      </c>
      <c r="BE29" s="310">
        <f>IF(AT29=0,0,(AU29-AT29)/AT29*100)</f>
        <v>0</v>
      </c>
      <c r="BF29" s="310">
        <f>IF(AU29=0,0,(AV29-AU29)/AU29*100)</f>
        <v>0</v>
      </c>
      <c r="BG29" s="310">
        <f>IF(AV29=0,0,(AW29-AV29)/AV29*100)</f>
        <v>0</v>
      </c>
      <c r="BH29" s="310">
        <f>IF(AW29=0,0,(AX29-AW29)/AW29*100)</f>
        <v>0</v>
      </c>
      <c r="BI29" s="310">
        <f>IF(AX29=0,0,(AY29-AX29)/AX29*100)</f>
        <v>0</v>
      </c>
      <c r="BJ29" s="310">
        <f>IF(AY29=0,0,(AZ29-AY29)/AY29*100)</f>
        <v>0</v>
      </c>
      <c r="BK29" s="310">
        <f>IF(AZ29=0,0,(BA29-AZ29)/AZ29*100)</f>
        <v>0</v>
      </c>
      <c r="BL29" s="310">
        <f>IF(BA29=0,0,(BB29-BA29)/BA29*100)</f>
        <v>0</v>
      </c>
      <c r="BM29" s="310">
        <f>IF(BB29=0,0,(BC29-BB29)/BB29*100)</f>
        <v>0</v>
      </c>
      <c r="BN29" s="73"/>
      <c r="BO29" s="73"/>
      <c r="BP29" s="73"/>
      <c r="BS29" s="1206" t="s">
        <v>1382</v>
      </c>
    </row>
    <row customHeight="1" ht="16.575" hidden="1">
      <c r="E30" s="797">
        <v>17</v>
      </c>
      <c r="F30" s="922" cm="1" t="str">
        <f t="array" ref="F30:F30">OFFSET(G30,-1,-1)</f>
        <v>0</v>
      </c>
      <c r="G30" s="193" t="s">
        <v>929</v>
      </c>
      <c r="T30" s="808" cm="1" t="str">
        <f t="array" ref="T30:T30">T29</f>
        <v>false</v>
      </c>
      <c r="AB30" s="514" t="s">
        <v>426</v>
      </c>
      <c r="AC30" s="745" t="s">
        <v>931</v>
      </c>
      <c r="AD30" s="499" t="s">
        <v>1023</v>
      </c>
      <c r="AE30" s="310">
        <f>_xlfn.SUMIFS(ЭнергоРесурсы!AE$26:AE$112,ЭнергоРесурсы!$F$26:$F$112,$F30,ЭнергоРесурсы!$G$26:$G$112,$G30)</f>
        <v>0</v>
      </c>
      <c r="AF30" s="310">
        <f>_xlfn.SUMIFS(ЭнергоРесурсы!AF$26:AF$112,ЭнергоРесурсы!$F$26:$F$112,$F30,ЭнергоРесурсы!$G$26:$G$112,$G30)</f>
        <v>0</v>
      </c>
      <c r="AG30" s="310">
        <f>_xlfn.SUMIFS(ЭнергоРесурсы!AG$26:AG$112,ЭнергоРесурсы!$F$26:$F$112,$F30,ЭнергоРесурсы!$G$26:$G$112,$G30)</f>
        <v>0</v>
      </c>
      <c r="AH30" s="310">
        <f>AG30-AF30</f>
        <v>0</v>
      </c>
      <c r="AI30" s="310">
        <f>_xlfn.SUMIFS(ЭнергоРесурсы!AH$26:AH$112,ЭнергоРесурсы!$F$26:$F$112,$F30,ЭнергоРесурсы!$G$26:$G$112,$G30)</f>
        <v>0</v>
      </c>
      <c r="AJ30" s="310">
        <f>_xlfn.SUMIFS(ЭнергоРесурсы!AI$26:AI$112,ЭнергоРесурсы!$F$26:$F$112,$F30,ЭнергоРесурсы!$G$26:$G$112,$G30)</f>
        <v>0</v>
      </c>
      <c r="AK30" s="310">
        <f>_xlfn.SUMIFS(ЭнергоРесурсы!AJ$26:AJ$112,ЭнергоРесурсы!$F$26:$F$112,$F30,ЭнергоРесурсы!$G$26:$G$112,$G30)</f>
        <v>0</v>
      </c>
      <c r="AL30" s="310">
        <f>_xlfn.SUMIFS(ЭнергоРесурсы!AK$26:AK$112,ЭнергоРесурсы!$F$26:$F$112,$F30,ЭнергоРесурсы!$G$26:$G$112,$G30)</f>
        <v>0</v>
      </c>
      <c r="AM30" s="310">
        <f>_xlfn.SUMIFS(ЭнергоРесурсы!AL$26:AL$112,ЭнергоРесурсы!$F$26:$F$112,$F30,ЭнергоРесурсы!$G$26:$G$112,$G30)</f>
        <v>0</v>
      </c>
      <c r="AN30" s="310">
        <f>_xlfn.SUMIFS(ЭнергоРесурсы!AM$26:AM$112,ЭнергоРесурсы!$F$26:$F$112,$F30,ЭнергоРесурсы!$G$26:$G$112,$G30)</f>
        <v>0</v>
      </c>
      <c r="AO30" s="310">
        <f>_xlfn.SUMIFS(ЭнергоРесурсы!AN$26:AN$112,ЭнергоРесурсы!$F$26:$F$112,$F30,ЭнергоРесурсы!$G$26:$G$112,$G30)</f>
        <v>0</v>
      </c>
      <c r="AP30" s="310">
        <f>_xlfn.SUMIFS(ЭнергоРесурсы!AO$26:AO$112,ЭнергоРесурсы!$F$26:$F$112,$F30,ЭнергоРесурсы!$G$26:$G$112,$G30)</f>
        <v>0</v>
      </c>
      <c r="AQ30" s="310">
        <f>_xlfn.SUMIFS(ЭнергоРесурсы!AP$26:AP$112,ЭнергоРесурсы!$F$26:$F$112,$F30,ЭнергоРесурсы!$G$26:$G$112,$G30)</f>
        <v>0</v>
      </c>
      <c r="AR30" s="310">
        <f>_xlfn.SUMIFS(ЭнергоРесурсы!AQ$26:AQ$112,ЭнергоРесурсы!$F$26:$F$112,$F30,ЭнергоРесурсы!$G$26:$G$112,$G30)</f>
        <v>0</v>
      </c>
      <c r="AS30" s="310">
        <f>_xlfn.SUMIFS(ЭнергоРесурсы!AR$26:AR$112,ЭнергоРесурсы!$F$26:$F$112,$F30,ЭнергоРесурсы!$G$26:$G$112,$G30)</f>
        <v>0</v>
      </c>
      <c r="AT30" s="310">
        <f>_xlfn.SUMIFS(ЭнергоРесурсы!AS$26:AS$112,ЭнергоРесурсы!$F$26:$F$112,$F30,ЭнергоРесурсы!$G$26:$G$112,$G30)</f>
        <v>0</v>
      </c>
      <c r="AU30" s="310">
        <f>_xlfn.SUMIFS(ЭнергоРесурсы!AT$26:AT$112,ЭнергоРесурсы!$F$26:$F$112,$F30,ЭнергоРесурсы!$G$26:$G$112,$G30)</f>
        <v>0</v>
      </c>
      <c r="AV30" s="310">
        <f>_xlfn.SUMIFS(ЭнергоРесурсы!AU$26:AU$112,ЭнергоРесурсы!$F$26:$F$112,$F30,ЭнергоРесурсы!$G$26:$G$112,$G30)</f>
        <v>0</v>
      </c>
      <c r="AW30" s="310">
        <f>_xlfn.SUMIFS(ЭнергоРесурсы!AV$26:AV$112,ЭнергоРесурсы!$F$26:$F$112,$F30,ЭнергоРесурсы!$G$26:$G$112,$G30)</f>
        <v>0</v>
      </c>
      <c r="AX30" s="310">
        <f>_xlfn.SUMIFS(ЭнергоРесурсы!AW$26:AW$112,ЭнергоРесурсы!$F$26:$F$112,$F30,ЭнергоРесурсы!$G$26:$G$112,$G30)</f>
        <v>0</v>
      </c>
      <c r="AY30" s="310">
        <f>_xlfn.SUMIFS(ЭнергоРесурсы!AX$26:AX$112,ЭнергоРесурсы!$F$26:$F$112,$F30,ЭнергоРесурсы!$G$26:$G$112,$G30)</f>
        <v>0</v>
      </c>
      <c r="AZ30" s="310">
        <f>_xlfn.SUMIFS(ЭнергоРесурсы!AY$26:AY$112,ЭнергоРесурсы!$F$26:$F$112,$F30,ЭнергоРесурсы!$G$26:$G$112,$G30)</f>
        <v>0</v>
      </c>
      <c r="BA30" s="310">
        <f>_xlfn.SUMIFS(ЭнергоРесурсы!AZ$26:AZ$112,ЭнергоРесурсы!$F$26:$F$112,$F30,ЭнергоРесурсы!$G$26:$G$112,$G30)</f>
        <v>0</v>
      </c>
      <c r="BB30" s="310">
        <f>_xlfn.SUMIFS(ЭнергоРесурсы!BA$26:BA$112,ЭнергоРесурсы!$F$26:$F$112,$F30,ЭнергоРесурсы!$G$26:$G$112,$G30)</f>
        <v>0</v>
      </c>
      <c r="BC30" s="310">
        <f>_xlfn.SUMIFS(ЭнергоРесурсы!BB$26:BB$112,ЭнергоРесурсы!$F$26:$F$112,$F30,ЭнергоРесурсы!$G$26:$G$112,$G30)</f>
        <v>0</v>
      </c>
      <c r="BD30" s="310">
        <f>IF(AI30=0,0,(AT30-AI30)/AI30*100)</f>
        <v>0</v>
      </c>
      <c r="BE30" s="310">
        <f>IF(AT30=0,0,(AU30-AT30)/AT30*100)</f>
        <v>0</v>
      </c>
      <c r="BF30" s="310">
        <f>IF(AU30=0,0,(AV30-AU30)/AU30*100)</f>
        <v>0</v>
      </c>
      <c r="BG30" s="310">
        <f>IF(AV30=0,0,(AW30-AV30)/AV30*100)</f>
        <v>0</v>
      </c>
      <c r="BH30" s="310">
        <f>IF(AW30=0,0,(AX30-AW30)/AW30*100)</f>
        <v>0</v>
      </c>
      <c r="BI30" s="310">
        <f>IF(AX30=0,0,(AY30-AX30)/AX30*100)</f>
        <v>0</v>
      </c>
      <c r="BJ30" s="310">
        <f>IF(AY30=0,0,(AZ30-AY30)/AY30*100)</f>
        <v>0</v>
      </c>
      <c r="BK30" s="310">
        <f>IF(AZ30=0,0,(BA30-AZ30)/AZ30*100)</f>
        <v>0</v>
      </c>
      <c r="BL30" s="310">
        <f>IF(BA30=0,0,(BB30-BA30)/BA30*100)</f>
        <v>0</v>
      </c>
      <c r="BM30" s="310">
        <f>IF(BB30=0,0,(BC30-BB30)/BB30*100)</f>
        <v>0</v>
      </c>
      <c r="BN30" s="73"/>
      <c r="BO30" s="73"/>
      <c r="BP30" s="73"/>
      <c r="BS30" s="1206" t="s">
        <v>1389</v>
      </c>
    </row>
    <row customHeight="1" ht="16.575" hidden="1">
      <c r="E31" s="797">
        <v>17</v>
      </c>
      <c r="F31" s="922" cm="1" t="str">
        <f t="array" ref="F31:F31">OFFSET(G31,-1,-1)</f>
        <v>0</v>
      </c>
      <c r="G31" s="193" t="s">
        <v>964</v>
      </c>
      <c r="T31" s="808" cm="1" t="str">
        <f t="array" ref="T31:T31">T30</f>
        <v>false</v>
      </c>
      <c r="AB31" s="288" t="s">
        <v>429</v>
      </c>
      <c r="AC31" s="746" t="s">
        <v>984</v>
      </c>
      <c r="AD31" s="499" t="s">
        <v>1023</v>
      </c>
      <c r="AE31" s="310">
        <f>_xlfn.SUMIFS(ЭнергоРесурсы!AE$26:AE$112,ЭнергоРесурсы!$F$26:$F$112,$F31,ЭнергоРесурсы!$G$26:$G$112,$G31)</f>
        <v>0</v>
      </c>
      <c r="AF31" s="310">
        <f>_xlfn.SUMIFS(ЭнергоРесурсы!AF$26:AF$112,ЭнергоРесурсы!$F$26:$F$112,$F31,ЭнергоРесурсы!$G$26:$G$112,$G31)</f>
        <v>0</v>
      </c>
      <c r="AG31" s="310">
        <f>_xlfn.SUMIFS(ЭнергоРесурсы!AG$26:AG$112,ЭнергоРесурсы!$F$26:$F$112,$F31,ЭнергоРесурсы!$G$26:$G$112,$G31)</f>
        <v>0</v>
      </c>
      <c r="AH31" s="310">
        <f>AG31-AF31</f>
        <v>0</v>
      </c>
      <c r="AI31" s="310">
        <f>_xlfn.SUMIFS(ЭнергоРесурсы!AH$26:AH$112,ЭнергоРесурсы!$F$26:$F$112,$F31,ЭнергоРесурсы!$G$26:$G$112,$G31)</f>
        <v>0</v>
      </c>
      <c r="AJ31" s="310">
        <f>_xlfn.SUMIFS(ЭнергоРесурсы!AI$26:AI$112,ЭнергоРесурсы!$F$26:$F$112,$F31,ЭнергоРесурсы!$G$26:$G$112,$G31)</f>
        <v>0</v>
      </c>
      <c r="AK31" s="310">
        <f>_xlfn.SUMIFS(ЭнергоРесурсы!AJ$26:AJ$112,ЭнергоРесурсы!$F$26:$F$112,$F31,ЭнергоРесурсы!$G$26:$G$112,$G31)</f>
        <v>0</v>
      </c>
      <c r="AL31" s="310">
        <f>_xlfn.SUMIFS(ЭнергоРесурсы!AK$26:AK$112,ЭнергоРесурсы!$F$26:$F$112,$F31,ЭнергоРесурсы!$G$26:$G$112,$G31)</f>
        <v>0</v>
      </c>
      <c r="AM31" s="310">
        <f>_xlfn.SUMIFS(ЭнергоРесурсы!AL$26:AL$112,ЭнергоРесурсы!$F$26:$F$112,$F31,ЭнергоРесурсы!$G$26:$G$112,$G31)</f>
        <v>0</v>
      </c>
      <c r="AN31" s="310">
        <f>_xlfn.SUMIFS(ЭнергоРесурсы!AM$26:AM$112,ЭнергоРесурсы!$F$26:$F$112,$F31,ЭнергоРесурсы!$G$26:$G$112,$G31)</f>
        <v>0</v>
      </c>
      <c r="AO31" s="310">
        <f>_xlfn.SUMIFS(ЭнергоРесурсы!AN$26:AN$112,ЭнергоРесурсы!$F$26:$F$112,$F31,ЭнергоРесурсы!$G$26:$G$112,$G31)</f>
        <v>0</v>
      </c>
      <c r="AP31" s="310">
        <f>_xlfn.SUMIFS(ЭнергоРесурсы!AO$26:AO$112,ЭнергоРесурсы!$F$26:$F$112,$F31,ЭнергоРесурсы!$G$26:$G$112,$G31)</f>
        <v>0</v>
      </c>
      <c r="AQ31" s="310">
        <f>_xlfn.SUMIFS(ЭнергоРесурсы!AP$26:AP$112,ЭнергоРесурсы!$F$26:$F$112,$F31,ЭнергоРесурсы!$G$26:$G$112,$G31)</f>
        <v>0</v>
      </c>
      <c r="AR31" s="310">
        <f>_xlfn.SUMIFS(ЭнергоРесурсы!AQ$26:AQ$112,ЭнергоРесурсы!$F$26:$F$112,$F31,ЭнергоРесурсы!$G$26:$G$112,$G31)</f>
        <v>0</v>
      </c>
      <c r="AS31" s="310">
        <f>_xlfn.SUMIFS(ЭнергоРесурсы!AR$26:AR$112,ЭнергоРесурсы!$F$26:$F$112,$F31,ЭнергоРесурсы!$G$26:$G$112,$G31)</f>
        <v>0</v>
      </c>
      <c r="AT31" s="310">
        <f>_xlfn.SUMIFS(ЭнергоРесурсы!AS$26:AS$112,ЭнергоРесурсы!$F$26:$F$112,$F31,ЭнергоРесурсы!$G$26:$G$112,$G31)</f>
        <v>0</v>
      </c>
      <c r="AU31" s="310">
        <f>_xlfn.SUMIFS(ЭнергоРесурсы!AT$26:AT$112,ЭнергоРесурсы!$F$26:$F$112,$F31,ЭнергоРесурсы!$G$26:$G$112,$G31)</f>
        <v>0</v>
      </c>
      <c r="AV31" s="310">
        <f>_xlfn.SUMIFS(ЭнергоРесурсы!AU$26:AU$112,ЭнергоРесурсы!$F$26:$F$112,$F31,ЭнергоРесурсы!$G$26:$G$112,$G31)</f>
        <v>0</v>
      </c>
      <c r="AW31" s="310">
        <f>_xlfn.SUMIFS(ЭнергоРесурсы!AV$26:AV$112,ЭнергоРесурсы!$F$26:$F$112,$F31,ЭнергоРесурсы!$G$26:$G$112,$G31)</f>
        <v>0</v>
      </c>
      <c r="AX31" s="310">
        <f>_xlfn.SUMIFS(ЭнергоРесурсы!AW$26:AW$112,ЭнергоРесурсы!$F$26:$F$112,$F31,ЭнергоРесурсы!$G$26:$G$112,$G31)</f>
        <v>0</v>
      </c>
      <c r="AY31" s="310">
        <f>_xlfn.SUMIFS(ЭнергоРесурсы!AX$26:AX$112,ЭнергоРесурсы!$F$26:$F$112,$F31,ЭнергоРесурсы!$G$26:$G$112,$G31)</f>
        <v>0</v>
      </c>
      <c r="AZ31" s="310">
        <f>_xlfn.SUMIFS(ЭнергоРесурсы!AY$26:AY$112,ЭнергоРесурсы!$F$26:$F$112,$F31,ЭнергоРесурсы!$G$26:$G$112,$G31)</f>
        <v>0</v>
      </c>
      <c r="BA31" s="310">
        <f>_xlfn.SUMIFS(ЭнергоРесурсы!AZ$26:AZ$112,ЭнергоРесурсы!$F$26:$F$112,$F31,ЭнергоРесурсы!$G$26:$G$112,$G31)</f>
        <v>0</v>
      </c>
      <c r="BB31" s="310">
        <f>_xlfn.SUMIFS(ЭнергоРесурсы!BA$26:BA$112,ЭнергоРесурсы!$F$26:$F$112,$F31,ЭнергоРесурсы!$G$26:$G$112,$G31)</f>
        <v>0</v>
      </c>
      <c r="BC31" s="310">
        <f>_xlfn.SUMIFS(ЭнергоРесурсы!BB$26:BB$112,ЭнергоРесурсы!$F$26:$F$112,$F31,ЭнергоРесурсы!$G$26:$G$112,$G31)</f>
        <v>0</v>
      </c>
      <c r="BD31" s="310">
        <f>IF(AI31=0,0,(AT31-AI31)/AI31*100)</f>
        <v>0</v>
      </c>
      <c r="BE31" s="310">
        <f>IF(AT31=0,0,(AU31-AT31)/AT31*100)</f>
        <v>0</v>
      </c>
      <c r="BF31" s="310">
        <f>IF(AU31=0,0,(AV31-AU31)/AU31*100)</f>
        <v>0</v>
      </c>
      <c r="BG31" s="310">
        <f>IF(AV31=0,0,(AW31-AV31)/AV31*100)</f>
        <v>0</v>
      </c>
      <c r="BH31" s="310">
        <f>IF(AW31=0,0,(AX31-AW31)/AW31*100)</f>
        <v>0</v>
      </c>
      <c r="BI31" s="310">
        <f>IF(AX31=0,0,(AY31-AX31)/AX31*100)</f>
        <v>0</v>
      </c>
      <c r="BJ31" s="310">
        <f>IF(AY31=0,0,(AZ31-AY31)/AY31*100)</f>
        <v>0</v>
      </c>
      <c r="BK31" s="310">
        <f>IF(AZ31=0,0,(BA31-AZ31)/AZ31*100)</f>
        <v>0</v>
      </c>
      <c r="BL31" s="310">
        <f>IF(BA31=0,0,(BB31-BA31)/BA31*100)</f>
        <v>0</v>
      </c>
      <c r="BM31" s="310">
        <f>IF(BB31=0,0,(BC31-BB31)/BB31*100)</f>
        <v>0</v>
      </c>
      <c r="BN31" s="73"/>
      <c r="BO31" s="73"/>
      <c r="BP31" s="73"/>
      <c r="BS31" s="1206" t="s">
        <v>1390</v>
      </c>
    </row>
    <row customHeight="1" ht="16.575" hidden="1">
      <c r="E32" s="797">
        <v>17</v>
      </c>
      <c r="F32" s="922" cm="1" t="str">
        <f t="array" ref="F32:F32">OFFSET(G32,-1,-1)</f>
        <v>0</v>
      </c>
      <c r="G32" s="193" t="s">
        <v>966</v>
      </c>
      <c r="R32" s="193" t="s">
        <v>967</v>
      </c>
      <c r="T32" s="808">
        <f>AND(T31,G27="двухставочный")</f>
        <v>0</v>
      </c>
      <c r="AB32" s="288" t="s">
        <v>715</v>
      </c>
      <c r="AC32" s="1083" t="s">
        <v>969</v>
      </c>
      <c r="AD32" s="1031" t="s">
        <v>810</v>
      </c>
      <c r="AE32" s="551">
        <f>_xlfn.SUMIFS(ЭнергоРесурсы!AE$26:AE$112,ЭнергоРесурсы!$F$26:$F$112,$F32,ЭнергоРесурсы!$G$26:$G$112,$G32)</f>
        <v>0</v>
      </c>
      <c r="AF32" s="551">
        <f>_xlfn.SUMIFS(ЭнергоРесурсы!AF$26:AF$112,ЭнергоРесурсы!$F$26:$F$112,$F32,ЭнергоРесурсы!$G$26:$G$112,$G32)</f>
        <v>0</v>
      </c>
      <c r="AG32" s="551">
        <f>_xlfn.SUMIFS(ЭнергоРесурсы!AG$26:AG$112,ЭнергоРесурсы!$F$26:$F$112,$F32,ЭнергоРесурсы!$G$26:$G$112,$G32)</f>
        <v>0</v>
      </c>
      <c r="AH32" s="551">
        <f>AG32-AF32</f>
        <v>0</v>
      </c>
      <c r="AI32" s="517" cm="1" t="str">
        <f t="array" ref="AI32:AI32">ЭнергоРесурсы!AH48</f>
        <v>0</v>
      </c>
      <c r="AJ32" s="517" cm="1" t="str">
        <f t="array" ref="AJ32:AJ32">ЭнергоРесурсы!AI48</f>
        <v>0</v>
      </c>
      <c r="AK32" s="517" cm="1" t="str">
        <f t="array" ref="AK32:AK32">ЭнергоРесурсы!AJ48</f>
        <v>0</v>
      </c>
      <c r="AL32" s="517" cm="1" t="str">
        <f t="array" ref="AL32:AL32">ЭнергоРесурсы!AK48</f>
        <v>0</v>
      </c>
      <c r="AM32" s="517" cm="1" t="str">
        <f t="array" ref="AM32:AM32">ЭнергоРесурсы!AL48</f>
        <v>0</v>
      </c>
      <c r="AN32" s="517" cm="1" t="str">
        <f t="array" ref="AN32:AN32">ЭнергоРесурсы!AM48</f>
        <v>0</v>
      </c>
      <c r="AO32" s="517" cm="1" t="str">
        <f t="array" ref="AO32:AO32">ЭнергоРесурсы!AN48</f>
        <v>0</v>
      </c>
      <c r="AP32" s="517" cm="1" t="str">
        <f t="array" ref="AP32:AP32">ЭнергоРесурсы!AO48</f>
        <v>0</v>
      </c>
      <c r="AQ32" s="517" cm="1" t="str">
        <f t="array" ref="AQ32:AQ32">ЭнергоРесурсы!AP48</f>
        <v>0</v>
      </c>
      <c r="AR32" s="517" cm="1" t="str">
        <f t="array" ref="AR32:AR32">ЭнергоРесурсы!AQ48</f>
        <v>0</v>
      </c>
      <c r="AS32" s="517" cm="1" t="str">
        <f t="array" ref="AS32:AS32">ЭнергоРесурсы!AR48</f>
        <v>0</v>
      </c>
      <c r="AT32" s="517" cm="1" t="str">
        <f t="array" ref="AT32:AT32">ЭнергоРесурсы!AS48</f>
        <v>0</v>
      </c>
      <c r="AU32" s="517" cm="1" t="str">
        <f t="array" ref="AU32:AU32">ЭнергоРесурсы!AT48</f>
        <v>0</v>
      </c>
      <c r="AV32" s="517" cm="1" t="str">
        <f t="array" ref="AV32:AV32">ЭнергоРесурсы!AU48</f>
        <v>0</v>
      </c>
      <c r="AW32" s="517" cm="1" t="str">
        <f t="array" ref="AW32:AW32">ЭнергоРесурсы!AV48</f>
        <v>0</v>
      </c>
      <c r="AX32" s="517" cm="1" t="str">
        <f t="array" ref="AX32:AX32">ЭнергоРесурсы!AW48</f>
        <v>0</v>
      </c>
      <c r="AY32" s="517" cm="1" t="str">
        <f t="array" ref="AY32:AY32">ЭнергоРесурсы!AX48</f>
        <v>0</v>
      </c>
      <c r="AZ32" s="517" cm="1" t="str">
        <f t="array" ref="AZ32:AZ32">ЭнергоРесурсы!AY48</f>
        <v>0</v>
      </c>
      <c r="BA32" s="517" cm="1" t="str">
        <f t="array" ref="BA32:BA32">ЭнергоРесурсы!AZ48</f>
        <v>0</v>
      </c>
      <c r="BB32" s="517" cm="1" t="str">
        <f t="array" ref="BB32:BB32">ЭнергоРесурсы!BA48</f>
        <v>0</v>
      </c>
      <c r="BC32" s="517" cm="1" t="str">
        <f t="array" ref="BC32:BC32">ЭнергоРесурсы!BB48</f>
        <v>0</v>
      </c>
      <c r="BD32" s="310">
        <f>IF(AI32=0,0,(AT32-AI32)/AI32*100)</f>
        <v>0</v>
      </c>
      <c r="BE32" s="310">
        <f>IF(AT32=0,0,(AU32-AT32)/AT32*100)</f>
        <v>0</v>
      </c>
      <c r="BF32" s="310">
        <f>IF(AU32=0,0,(AV32-AU32)/AU32*100)</f>
        <v>0</v>
      </c>
      <c r="BG32" s="310">
        <f>IF(AV32=0,0,(AW32-AV32)/AV32*100)</f>
        <v>0</v>
      </c>
      <c r="BH32" s="310">
        <f>IF(AW32=0,0,(AX32-AW32)/AW32*100)</f>
        <v>0</v>
      </c>
      <c r="BI32" s="310">
        <f>IF(AX32=0,0,(AY32-AX32)/AX32*100)</f>
        <v>0</v>
      </c>
      <c r="BJ32" s="310">
        <f>IF(AY32=0,0,(AZ32-AY32)/AY32*100)</f>
        <v>0</v>
      </c>
      <c r="BK32" s="310">
        <f>IF(AZ32=0,0,(BA32-AZ32)/AZ32*100)</f>
        <v>0</v>
      </c>
      <c r="BL32" s="310">
        <f>IF(BA32=0,0,(BB32-BA32)/BA32*100)</f>
        <v>0</v>
      </c>
      <c r="BM32" s="310">
        <f>IF(BB32=0,0,(BC32-BB32)/BB32*100)</f>
        <v>0</v>
      </c>
      <c r="BN32" s="73"/>
      <c r="BO32" s="73"/>
      <c r="BP32" s="73"/>
      <c r="BS32" s="1206" t="s">
        <v>1391</v>
      </c>
    </row>
    <row customHeight="1" ht="16.575" hidden="1">
      <c r="E33" s="797">
        <v>17</v>
      </c>
      <c r="F33" s="922" cm="1" t="str">
        <f t="array" ref="F33:F33">OFFSET(G33,-1,-1)</f>
        <v>0</v>
      </c>
      <c r="G33" s="193" t="s">
        <v>996</v>
      </c>
      <c r="T33" s="808" cm="1" t="str">
        <f t="array" ref="T33:T33">T31</f>
        <v>false</v>
      </c>
      <c r="AB33" s="578" t="s">
        <v>432</v>
      </c>
      <c r="AC33" s="1004" t="s">
        <v>997</v>
      </c>
      <c r="AD33" s="173" t="s">
        <v>1023</v>
      </c>
      <c r="AE33" s="310">
        <f>_xlfn.SUMIFS('ХВС, ТН'!AE$26:AE$56,'ХВС, ТН'!$F$26:$F$56,$F33,'ХВС, ТН'!$G$26:$G$56,$G33)</f>
        <v>0</v>
      </c>
      <c r="AF33" s="310">
        <f>_xlfn.SUMIFS('ХВС, ТН'!AF$26:AF$56,'ХВС, ТН'!$F$26:$F$56,$F33,'ХВС, ТН'!$G$26:$G$56,$G33)</f>
        <v>0</v>
      </c>
      <c r="AG33" s="310">
        <f>_xlfn.SUMIFS('ХВС, ТН'!AG$26:AG$56,'ХВС, ТН'!$F$26:$F$56,$F33,'ХВС, ТН'!$G$26:$G$56,$G33)</f>
        <v>0</v>
      </c>
      <c r="AH33" s="310">
        <f>AG33-AF33</f>
        <v>0</v>
      </c>
      <c r="AI33" s="550">
        <f>_xlfn.SUMIFS('ХВС, ТН'!AH$26:AH$56,'ХВС, ТН'!$F$26:$F$56,$F33,'ХВС, ТН'!$G$26:$G$56,$G33)</f>
        <v>0</v>
      </c>
      <c r="AJ33" s="550">
        <f>_xlfn.SUMIFS('ХВС, ТН'!AI$26:AI$56,'ХВС, ТН'!$F$26:$F$56,$F33,'ХВС, ТН'!$G$26:$G$56,$G33)</f>
        <v>0</v>
      </c>
      <c r="AK33" s="550">
        <f>_xlfn.SUMIFS('ХВС, ТН'!AJ$26:AJ$56,'ХВС, ТН'!$F$26:$F$56,$F33,'ХВС, ТН'!$G$26:$G$56,$G33)</f>
        <v>0</v>
      </c>
      <c r="AL33" s="550">
        <f>_xlfn.SUMIFS('ХВС, ТН'!AK$26:AK$56,'ХВС, ТН'!$F$26:$F$56,$F33,'ХВС, ТН'!$G$26:$G$56,$G33)</f>
        <v>0</v>
      </c>
      <c r="AM33" s="550">
        <f>_xlfn.SUMIFS('ХВС, ТН'!AL$26:AL$56,'ХВС, ТН'!$F$26:$F$56,$F33,'ХВС, ТН'!$G$26:$G$56,$G33)</f>
        <v>0</v>
      </c>
      <c r="AN33" s="550">
        <f>_xlfn.SUMIFS('ХВС, ТН'!AM$26:AM$56,'ХВС, ТН'!$F$26:$F$56,$F33,'ХВС, ТН'!$G$26:$G$56,$G33)</f>
        <v>0</v>
      </c>
      <c r="AO33" s="550">
        <f>_xlfn.SUMIFS('ХВС, ТН'!AN$26:AN$56,'ХВС, ТН'!$F$26:$F$56,$F33,'ХВС, ТН'!$G$26:$G$56,$G33)</f>
        <v>0</v>
      </c>
      <c r="AP33" s="550">
        <f>_xlfn.SUMIFS('ХВС, ТН'!AO$26:AO$56,'ХВС, ТН'!$F$26:$F$56,$F33,'ХВС, ТН'!$G$26:$G$56,$G33)</f>
        <v>0</v>
      </c>
      <c r="AQ33" s="550">
        <f>_xlfn.SUMIFS('ХВС, ТН'!AP$26:AP$56,'ХВС, ТН'!$F$26:$F$56,$F33,'ХВС, ТН'!$G$26:$G$56,$G33)</f>
        <v>0</v>
      </c>
      <c r="AR33" s="550">
        <f>_xlfn.SUMIFS('ХВС, ТН'!AQ$26:AQ$56,'ХВС, ТН'!$F$26:$F$56,$F33,'ХВС, ТН'!$G$26:$G$56,$G33)</f>
        <v>0</v>
      </c>
      <c r="AS33" s="550">
        <f>_xlfn.SUMIFS('ХВС, ТН'!AR$26:AR$56,'ХВС, ТН'!$F$26:$F$56,$F33,'ХВС, ТН'!$G$26:$G$56,$G33)</f>
        <v>0</v>
      </c>
      <c r="AT33" s="550">
        <f>_xlfn.SUMIFS('ХВС, ТН'!AS$26:AS$56,'ХВС, ТН'!$F$26:$F$56,$F33,'ХВС, ТН'!$G$26:$G$56,$G33)</f>
        <v>0</v>
      </c>
      <c r="AU33" s="550">
        <f>_xlfn.SUMIFS('ХВС, ТН'!AT$26:AT$56,'ХВС, ТН'!$F$26:$F$56,$F33,'ХВС, ТН'!$G$26:$G$56,$G33)</f>
        <v>0</v>
      </c>
      <c r="AV33" s="550">
        <f>_xlfn.SUMIFS('ХВС, ТН'!AU$26:AU$56,'ХВС, ТН'!$F$26:$F$56,$F33,'ХВС, ТН'!$G$26:$G$56,$G33)</f>
        <v>0</v>
      </c>
      <c r="AW33" s="550">
        <f>_xlfn.SUMIFS('ХВС, ТН'!AV$26:AV$56,'ХВС, ТН'!$F$26:$F$56,$F33,'ХВС, ТН'!$G$26:$G$56,$G33)</f>
        <v>0</v>
      </c>
      <c r="AX33" s="550">
        <f>_xlfn.SUMIFS('ХВС, ТН'!AW$26:AW$56,'ХВС, ТН'!$F$26:$F$56,$F33,'ХВС, ТН'!$G$26:$G$56,$G33)</f>
        <v>0</v>
      </c>
      <c r="AY33" s="550">
        <f>_xlfn.SUMIFS('ХВС, ТН'!AX$26:AX$56,'ХВС, ТН'!$F$26:$F$56,$F33,'ХВС, ТН'!$G$26:$G$56,$G33)</f>
        <v>0</v>
      </c>
      <c r="AZ33" s="550">
        <f>_xlfn.SUMIFS('ХВС, ТН'!AY$26:AY$56,'ХВС, ТН'!$F$26:$F$56,$F33,'ХВС, ТН'!$G$26:$G$56,$G33)</f>
        <v>0</v>
      </c>
      <c r="BA33" s="550">
        <f>_xlfn.SUMIFS('ХВС, ТН'!AZ$26:AZ$56,'ХВС, ТН'!$F$26:$F$56,$F33,'ХВС, ТН'!$G$26:$G$56,$G33)</f>
        <v>0</v>
      </c>
      <c r="BB33" s="550">
        <f>_xlfn.SUMIFS('ХВС, ТН'!BA$26:BA$56,'ХВС, ТН'!$F$26:$F$56,$F33,'ХВС, ТН'!$G$26:$G$56,$G33)</f>
        <v>0</v>
      </c>
      <c r="BC33" s="550">
        <f>_xlfn.SUMIFS('ХВС, ТН'!BB$26:BB$56,'ХВС, ТН'!$F$26:$F$56,$F33,'ХВС, ТН'!$G$26:$G$56,$G33)</f>
        <v>0</v>
      </c>
      <c r="BD33" s="310">
        <f>IF(AI33=0,0,(AT33-AI33)/AI33*100)</f>
        <v>0</v>
      </c>
      <c r="BE33" s="310">
        <f>IF(AT33=0,0,(AU33-AT33)/AT33*100)</f>
        <v>0</v>
      </c>
      <c r="BF33" s="310">
        <f>IF(AU33=0,0,(AV33-AU33)/AU33*100)</f>
        <v>0</v>
      </c>
      <c r="BG33" s="310">
        <f>IF(AV33=0,0,(AW33-AV33)/AV33*100)</f>
        <v>0</v>
      </c>
      <c r="BH33" s="310">
        <f>IF(AW33=0,0,(AX33-AW33)/AW33*100)</f>
        <v>0</v>
      </c>
      <c r="BI33" s="310">
        <f>IF(AX33=0,0,(AY33-AX33)/AX33*100)</f>
        <v>0</v>
      </c>
      <c r="BJ33" s="310">
        <f>IF(AY33=0,0,(AZ33-AY33)/AY33*100)</f>
        <v>0</v>
      </c>
      <c r="BK33" s="310">
        <f>IF(AZ33=0,0,(BA33-AZ33)/AZ33*100)</f>
        <v>0</v>
      </c>
      <c r="BL33" s="310">
        <f>IF(BA33=0,0,(BB33-BA33)/BA33*100)</f>
        <v>0</v>
      </c>
      <c r="BM33" s="310">
        <f>IF(BB33=0,0,(BC33-BB33)/BB33*100)</f>
        <v>0</v>
      </c>
      <c r="BN33" s="73"/>
      <c r="BO33" s="73"/>
      <c r="BP33" s="73"/>
      <c r="BS33" s="1206" t="s">
        <v>1392</v>
      </c>
    </row>
    <row customHeight="1" ht="16.575" hidden="1">
      <c r="E34" s="797">
        <v>17</v>
      </c>
      <c r="F34" s="922" cm="1" t="str">
        <f t="array" ref="F34:F34">OFFSET(G34,-1,-1)</f>
        <v>0</v>
      </c>
      <c r="G34" s="193" t="s">
        <v>1007</v>
      </c>
      <c r="T34" s="808" cm="1" t="str">
        <f t="array" ref="T34:T34">T33</f>
        <v>false</v>
      </c>
      <c r="AB34" s="578" t="s">
        <v>435</v>
      </c>
      <c r="AC34" s="1004" t="s">
        <v>1008</v>
      </c>
      <c r="AD34" s="173" t="s">
        <v>1023</v>
      </c>
      <c r="AE34" s="310">
        <f>_xlfn.SUMIFS('ХВС, ТН'!AE$26:AE$56,'ХВС, ТН'!$F$26:$F$56,$F34,'ХВС, ТН'!$G$26:$G$56,$G34)</f>
        <v>0</v>
      </c>
      <c r="AF34" s="310">
        <f>_xlfn.SUMIFS('ХВС, ТН'!AF$26:AF$56,'ХВС, ТН'!$F$26:$F$56,$F34,'ХВС, ТН'!$G$26:$G$56,$G34)</f>
        <v>0</v>
      </c>
      <c r="AG34" s="310">
        <f>_xlfn.SUMIFS('ХВС, ТН'!AG$26:AG$56,'ХВС, ТН'!$F$26:$F$56,$F34,'ХВС, ТН'!$G$26:$G$56,$G34)</f>
        <v>0</v>
      </c>
      <c r="AH34" s="310">
        <f>AG34-AF34</f>
        <v>0</v>
      </c>
      <c r="AI34" s="550">
        <f>_xlfn.SUMIFS('ХВС, ТН'!AH$26:AH$56,'ХВС, ТН'!$F$26:$F$56,$F34,'ХВС, ТН'!$G$26:$G$56,$G34)</f>
        <v>0</v>
      </c>
      <c r="AJ34" s="550">
        <f>_xlfn.SUMIFS('ХВС, ТН'!AI$26:AI$56,'ХВС, ТН'!$F$26:$F$56,$F34,'ХВС, ТН'!$G$26:$G$56,$G34)</f>
        <v>0</v>
      </c>
      <c r="AK34" s="550">
        <f>_xlfn.SUMIFS('ХВС, ТН'!AJ$26:AJ$56,'ХВС, ТН'!$F$26:$F$56,$F34,'ХВС, ТН'!$G$26:$G$56,$G34)</f>
        <v>0</v>
      </c>
      <c r="AL34" s="550">
        <f>_xlfn.SUMIFS('ХВС, ТН'!AK$26:AK$56,'ХВС, ТН'!$F$26:$F$56,$F34,'ХВС, ТН'!$G$26:$G$56,$G34)</f>
        <v>0</v>
      </c>
      <c r="AM34" s="550">
        <f>_xlfn.SUMIFS('ХВС, ТН'!AL$26:AL$56,'ХВС, ТН'!$F$26:$F$56,$F34,'ХВС, ТН'!$G$26:$G$56,$G34)</f>
        <v>0</v>
      </c>
      <c r="AN34" s="550">
        <f>_xlfn.SUMIFS('ХВС, ТН'!AM$26:AM$56,'ХВС, ТН'!$F$26:$F$56,$F34,'ХВС, ТН'!$G$26:$G$56,$G34)</f>
        <v>0</v>
      </c>
      <c r="AO34" s="550">
        <f>_xlfn.SUMIFS('ХВС, ТН'!AN$26:AN$56,'ХВС, ТН'!$F$26:$F$56,$F34,'ХВС, ТН'!$G$26:$G$56,$G34)</f>
        <v>0</v>
      </c>
      <c r="AP34" s="550">
        <f>_xlfn.SUMIFS('ХВС, ТН'!AO$26:AO$56,'ХВС, ТН'!$F$26:$F$56,$F34,'ХВС, ТН'!$G$26:$G$56,$G34)</f>
        <v>0</v>
      </c>
      <c r="AQ34" s="550">
        <f>_xlfn.SUMIFS('ХВС, ТН'!AP$26:AP$56,'ХВС, ТН'!$F$26:$F$56,$F34,'ХВС, ТН'!$G$26:$G$56,$G34)</f>
        <v>0</v>
      </c>
      <c r="AR34" s="550">
        <f>_xlfn.SUMIFS('ХВС, ТН'!AQ$26:AQ$56,'ХВС, ТН'!$F$26:$F$56,$F34,'ХВС, ТН'!$G$26:$G$56,$G34)</f>
        <v>0</v>
      </c>
      <c r="AS34" s="550">
        <f>_xlfn.SUMIFS('ХВС, ТН'!AR$26:AR$56,'ХВС, ТН'!$F$26:$F$56,$F34,'ХВС, ТН'!$G$26:$G$56,$G34)</f>
        <v>0</v>
      </c>
      <c r="AT34" s="550">
        <f>_xlfn.SUMIFS('ХВС, ТН'!AS$26:AS$56,'ХВС, ТН'!$F$26:$F$56,$F34,'ХВС, ТН'!$G$26:$G$56,$G34)</f>
        <v>0</v>
      </c>
      <c r="AU34" s="550">
        <f>_xlfn.SUMIFS('ХВС, ТН'!AT$26:AT$56,'ХВС, ТН'!$F$26:$F$56,$F34,'ХВС, ТН'!$G$26:$G$56,$G34)</f>
        <v>0</v>
      </c>
      <c r="AV34" s="550">
        <f>_xlfn.SUMIFS('ХВС, ТН'!AU$26:AU$56,'ХВС, ТН'!$F$26:$F$56,$F34,'ХВС, ТН'!$G$26:$G$56,$G34)</f>
        <v>0</v>
      </c>
      <c r="AW34" s="550">
        <f>_xlfn.SUMIFS('ХВС, ТН'!AV$26:AV$56,'ХВС, ТН'!$F$26:$F$56,$F34,'ХВС, ТН'!$G$26:$G$56,$G34)</f>
        <v>0</v>
      </c>
      <c r="AX34" s="550">
        <f>_xlfn.SUMIFS('ХВС, ТН'!AW$26:AW$56,'ХВС, ТН'!$F$26:$F$56,$F34,'ХВС, ТН'!$G$26:$G$56,$G34)</f>
        <v>0</v>
      </c>
      <c r="AY34" s="550">
        <f>_xlfn.SUMIFS('ХВС, ТН'!AX$26:AX$56,'ХВС, ТН'!$F$26:$F$56,$F34,'ХВС, ТН'!$G$26:$G$56,$G34)</f>
        <v>0</v>
      </c>
      <c r="AZ34" s="550">
        <f>_xlfn.SUMIFS('ХВС, ТН'!AY$26:AY$56,'ХВС, ТН'!$F$26:$F$56,$F34,'ХВС, ТН'!$G$26:$G$56,$G34)</f>
        <v>0</v>
      </c>
      <c r="BA34" s="550">
        <f>_xlfn.SUMIFS('ХВС, ТН'!AZ$26:AZ$56,'ХВС, ТН'!$F$26:$F$56,$F34,'ХВС, ТН'!$G$26:$G$56,$G34)</f>
        <v>0</v>
      </c>
      <c r="BB34" s="550">
        <f>_xlfn.SUMIFS('ХВС, ТН'!BA$26:BA$56,'ХВС, ТН'!$F$26:$F$56,$F34,'ХВС, ТН'!$G$26:$G$56,$G34)</f>
        <v>0</v>
      </c>
      <c r="BC34" s="550">
        <f>_xlfn.SUMIFS('ХВС, ТН'!BB$26:BB$56,'ХВС, ТН'!$F$26:$F$56,$F34,'ХВС, ТН'!$G$26:$G$56,$G34)</f>
        <v>0</v>
      </c>
      <c r="BD34" s="310">
        <f>IF(AI34=0,0,(AT34-AI34)/AI34*100)</f>
        <v>0</v>
      </c>
      <c r="BE34" s="310">
        <f>IF(AT34=0,0,(AU34-AT34)/AT34*100)</f>
        <v>0</v>
      </c>
      <c r="BF34" s="310">
        <f>IF(AU34=0,0,(AV34-AU34)/AU34*100)</f>
        <v>0</v>
      </c>
      <c r="BG34" s="310">
        <f>IF(AV34=0,0,(AW34-AV34)/AV34*100)</f>
        <v>0</v>
      </c>
      <c r="BH34" s="310">
        <f>IF(AW34=0,0,(AX34-AW34)/AW34*100)</f>
        <v>0</v>
      </c>
      <c r="BI34" s="310">
        <f>IF(AX34=0,0,(AY34-AX34)/AX34*100)</f>
        <v>0</v>
      </c>
      <c r="BJ34" s="310">
        <f>IF(AY34=0,0,(AZ34-AY34)/AY34*100)</f>
        <v>0</v>
      </c>
      <c r="BK34" s="310">
        <f>IF(AZ34=0,0,(BA34-AZ34)/AZ34*100)</f>
        <v>0</v>
      </c>
      <c r="BL34" s="310">
        <f>IF(BA34=0,0,(BB34-BA34)/BA34*100)</f>
        <v>0</v>
      </c>
      <c r="BM34" s="310">
        <f>IF(BB34=0,0,(BC34-BB34)/BB34*100)</f>
        <v>0</v>
      </c>
      <c r="BN34" s="73"/>
      <c r="BO34" s="73"/>
      <c r="BP34" s="73"/>
      <c r="BS34" s="1206" t="s">
        <v>1393</v>
      </c>
    </row>
    <row customHeight="1" ht="16.575" hidden="1">
      <c r="E35" s="797">
        <v>17</v>
      </c>
      <c r="F35" s="922" cm="1" t="str">
        <f t="array" ref="F35:F35">OFFSET(G35,-1,-1)</f>
        <v>0</v>
      </c>
      <c r="G35" s="193" t="s">
        <v>1394</v>
      </c>
      <c r="T35" s="808" cm="1" t="str">
        <f t="array" ref="T35:T35">T34</f>
        <v>false</v>
      </c>
      <c r="AB35" s="1081" t="s">
        <v>637</v>
      </c>
      <c r="AC35" s="163" t="s">
        <v>1377</v>
      </c>
      <c r="AD35" s="325" t="s">
        <v>1023</v>
      </c>
      <c r="AE35" s="309">
        <f>AE29+AE30+AE31+AE33+AE34</f>
        <v>0</v>
      </c>
      <c r="AF35" s="309">
        <f>AF29+AF30+AF31+AF33+AF34</f>
        <v>0</v>
      </c>
      <c r="AG35" s="309">
        <f>AG29+AG30+AG31+AG33+AG34</f>
        <v>0</v>
      </c>
      <c r="AH35" s="309">
        <f>AG35-AF35</f>
        <v>0</v>
      </c>
      <c r="AI35" s="1082">
        <f>AI29+AI30+AI31+AI33+AI34</f>
        <v>0</v>
      </c>
      <c r="AJ35" s="670">
        <f>AJ29+AJ30+AJ31+AJ33+AJ34</f>
        <v>0</v>
      </c>
      <c r="AK35" s="670">
        <f>AK29+AK30+AK31+AK33+AK34</f>
        <v>0</v>
      </c>
      <c r="AL35" s="670">
        <f>AL29+AL30+AL31+AL33+AL34</f>
        <v>0</v>
      </c>
      <c r="AM35" s="670">
        <f>AM29+AM30+AM31+AM33+AM34</f>
        <v>0</v>
      </c>
      <c r="AN35" s="670">
        <f>AN29+AN30+AN31+AN33+AN34</f>
        <v>0</v>
      </c>
      <c r="AO35" s="670">
        <f>AO29+AO30+AO31+AO33+AO34</f>
        <v>0</v>
      </c>
      <c r="AP35" s="670">
        <f>AP29+AP30+AP31+AP33+AP34</f>
        <v>0</v>
      </c>
      <c r="AQ35" s="670">
        <f>AQ29+AQ30+AQ31+AQ33+AQ34</f>
        <v>0</v>
      </c>
      <c r="AR35" s="670">
        <f>AR29+AR30+AR31+AR33+AR34</f>
        <v>0</v>
      </c>
      <c r="AS35" s="670">
        <f>AS29+AS30+AS31+AS33+AS34</f>
        <v>0</v>
      </c>
      <c r="AT35" s="670">
        <f>AT29+AT30+AT31+AT33+AT34</f>
        <v>0</v>
      </c>
      <c r="AU35" s="670">
        <f>AU29+AU30+AU31+AU33+AU34</f>
        <v>0</v>
      </c>
      <c r="AV35" s="670">
        <f>AV29+AV30+AV31+AV33+AV34</f>
        <v>0</v>
      </c>
      <c r="AW35" s="670">
        <f>AW29+AW30+AW31+AW33+AW34</f>
        <v>0</v>
      </c>
      <c r="AX35" s="670">
        <f>AX29+AX30+AX31+AX33+AX34</f>
        <v>0</v>
      </c>
      <c r="AY35" s="670">
        <f>AY29+AY30+AY31+AY33+AY34</f>
        <v>0</v>
      </c>
      <c r="AZ35" s="670">
        <f>AZ29+AZ30+AZ31+AZ33+AZ34</f>
        <v>0</v>
      </c>
      <c r="BA35" s="670">
        <f>BA29+BA30+BA31+BA33+BA34</f>
        <v>0</v>
      </c>
      <c r="BB35" s="670">
        <f>BB29+BB30+BB31+BB33+BB34</f>
        <v>0</v>
      </c>
      <c r="BC35" s="670">
        <f>BC29+BC30+BC31+BC33+BC34</f>
        <v>0</v>
      </c>
      <c r="BD35" s="670">
        <f>IF(AI35=0,0,(AT35-AI35)/AI35*100)</f>
        <v>0</v>
      </c>
      <c r="BE35" s="670">
        <f>IF(AT35=0,0,(AU35-AT35)/AT35*100)</f>
        <v>0</v>
      </c>
      <c r="BF35" s="670">
        <f>IF(AU35=0,0,(AV35-AU35)/AU35*100)</f>
        <v>0</v>
      </c>
      <c r="BG35" s="670">
        <f>IF(AV35=0,0,(AW35-AV35)/AV35*100)</f>
        <v>0</v>
      </c>
      <c r="BH35" s="670">
        <f>IF(AW35=0,0,(AX35-AW35)/AW35*100)</f>
        <v>0</v>
      </c>
      <c r="BI35" s="670">
        <f>IF(AX35=0,0,(AY35-AX35)/AX35*100)</f>
        <v>0</v>
      </c>
      <c r="BJ35" s="670">
        <f>IF(AY35=0,0,(AZ35-AY35)/AY35*100)</f>
        <v>0</v>
      </c>
      <c r="BK35" s="670">
        <f>IF(AZ35=0,0,(BA35-AZ35)/AZ35*100)</f>
        <v>0</v>
      </c>
      <c r="BL35" s="670">
        <f>IF(BA35=0,0,(BB35-BA35)/BA35*100)</f>
        <v>0</v>
      </c>
      <c r="BM35" s="670">
        <f>IF(BB35=0,0,(BC35-BB35)/BB35*100)</f>
        <v>0</v>
      </c>
      <c r="BN35" s="69"/>
      <c r="BO35" s="69"/>
      <c r="BP35" s="69"/>
      <c r="BS35" s="1206" t="s">
        <v>600</v>
      </c>
    </row>
    <row customHeight="1" ht="16.575" hidden="1">
      <c r="E36" s="797">
        <v>17</v>
      </c>
      <c r="F36" s="922" cm="1" t="str">
        <f t="array" ref="F36:F36">OFFSET(G36,-1,-1)</f>
        <v>0</v>
      </c>
      <c r="G36" s="193" t="s">
        <v>966</v>
      </c>
      <c r="R36" s="193" t="s">
        <v>967</v>
      </c>
      <c r="T36" s="808" cm="1" t="str">
        <f t="array" ref="T36:T36">T32</f>
        <v>false</v>
      </c>
      <c r="AB36" s="580" t="s">
        <v>1395</v>
      </c>
      <c r="AC36" s="294" t="s">
        <v>969</v>
      </c>
      <c r="AD36" s="154" t="s">
        <v>810</v>
      </c>
      <c r="AE36" s="310">
        <f>SUM(AE29,AE32)</f>
        <v>0</v>
      </c>
      <c r="AF36" s="310">
        <f>SUM(AF29,AF32)</f>
        <v>0</v>
      </c>
      <c r="AG36" s="310">
        <f>SUM(AG29,AG32)</f>
        <v>0</v>
      </c>
      <c r="AH36" s="310">
        <f>AG36-AF36</f>
        <v>0</v>
      </c>
      <c r="AI36" s="517">
        <f>SUM(AI29,AI32)</f>
        <v>0</v>
      </c>
      <c r="AJ36" s="310">
        <f>SUM(AJ29,AJ32)</f>
        <v>0</v>
      </c>
      <c r="AK36" s="310">
        <f>SUM(AK29,AK32)</f>
        <v>0</v>
      </c>
      <c r="AL36" s="310">
        <f>SUM(AL29,AL32)</f>
        <v>0</v>
      </c>
      <c r="AM36" s="310">
        <f>SUM(AM29,AM32)</f>
        <v>0</v>
      </c>
      <c r="AN36" s="310">
        <f>SUM(AN29,AN32)</f>
        <v>0</v>
      </c>
      <c r="AO36" s="310">
        <f>SUM(AO29,AO32)</f>
        <v>0</v>
      </c>
      <c r="AP36" s="310">
        <f>SUM(AP29,AP32)</f>
        <v>0</v>
      </c>
      <c r="AQ36" s="310">
        <f>SUM(AQ29,AQ32)</f>
        <v>0</v>
      </c>
      <c r="AR36" s="310">
        <f>SUM(AR29,AR32)</f>
        <v>0</v>
      </c>
      <c r="AS36" s="310">
        <f>SUM(AS29,AS32)</f>
        <v>0</v>
      </c>
      <c r="AT36" s="310">
        <f>SUM(AT29,AT32)</f>
        <v>0</v>
      </c>
      <c r="AU36" s="310">
        <f>SUM(AU29,AU32)</f>
        <v>0</v>
      </c>
      <c r="AV36" s="310">
        <f>SUM(AV29,AV32)</f>
        <v>0</v>
      </c>
      <c r="AW36" s="310">
        <f>SUM(AW29,AW32)</f>
        <v>0</v>
      </c>
      <c r="AX36" s="310">
        <f>SUM(AX29,AX32)</f>
        <v>0</v>
      </c>
      <c r="AY36" s="310">
        <f>SUM(AY29,AY32)</f>
        <v>0</v>
      </c>
      <c r="AZ36" s="310">
        <f>SUM(AZ29,AZ32)</f>
        <v>0</v>
      </c>
      <c r="BA36" s="310">
        <f>SUM(BA29,BA32)</f>
        <v>0</v>
      </c>
      <c r="BB36" s="310">
        <f>SUM(BB29,BB32)</f>
        <v>0</v>
      </c>
      <c r="BC36" s="310">
        <f>SUM(BC29,BC32)</f>
        <v>0</v>
      </c>
      <c r="BD36" s="310">
        <f>IF(AI36=0,0,(AT36-AI36)/AI36*100)</f>
        <v>0</v>
      </c>
      <c r="BE36" s="310">
        <f>IF(AT36=0,0,(AU36-AT36)/AT36*100)</f>
        <v>0</v>
      </c>
      <c r="BF36" s="310">
        <f>IF(AU36=0,0,(AV36-AU36)/AU36*100)</f>
        <v>0</v>
      </c>
      <c r="BG36" s="310">
        <f>IF(AV36=0,0,(AW36-AV36)/AV36*100)</f>
        <v>0</v>
      </c>
      <c r="BH36" s="310">
        <f>IF(AW36=0,0,(AX36-AW36)/AW36*100)</f>
        <v>0</v>
      </c>
      <c r="BI36" s="310">
        <f>IF(AX36=0,0,(AY36-AX36)/AX36*100)</f>
        <v>0</v>
      </c>
      <c r="BJ36" s="310">
        <f>IF(AY36=0,0,(AZ36-AY36)/AY36*100)</f>
        <v>0</v>
      </c>
      <c r="BK36" s="310">
        <f>IF(AZ36=0,0,(BA36-AZ36)/AZ36*100)</f>
        <v>0</v>
      </c>
      <c r="BL36" s="310">
        <f>IF(BA36=0,0,(BB36-BA36)/BA36*100)</f>
        <v>0</v>
      </c>
      <c r="BM36" s="310">
        <f>IF(BB36=0,0,(BC36-BB36)/BB36*100)</f>
        <v>0</v>
      </c>
      <c r="BN36" s="79"/>
      <c r="BO36" s="79"/>
      <c r="BP36" s="79"/>
      <c r="BS36" s="1206" t="s">
        <v>1396</v>
      </c>
    </row>
    <row s="1962" customFormat="1" customHeight="1" ht="16.5">
      <c r="A37" s="220"/>
      <c r="B37" s="220"/>
      <c r="C37" s="220"/>
      <c r="D37" s="220"/>
      <c r="E37" s="797">
        <v>17</v>
      </c>
      <c r="F37" s="922" cm="1" t="str">
        <f t="array" ref="F37:F37">X37</f>
        <v>1</v>
      </c>
      <c r="G37" s="739" cm="1" t="str">
        <f t="array" ref="G37:G37">INDEX('Общие сведения'!$AK$169:$AK$202,MATCH($F37,'Общие сведения'!$Z$169:$Z$202,0))</f>
        <v>одноставочный</v>
      </c>
      <c r="H37" s="220"/>
      <c r="I37" s="213" cm="1" t="str">
        <f t="array" ref="I37:I37">INDEX('Общие сведения'!$AE$169:$AE$202,MATCH($F37,'Общие сведения'!$Z$169:$Z$202,0))</f>
        <v>Теплоснабжение</v>
      </c>
      <c r="J37" s="213" cm="1" t="str">
        <f t="array" ref="J37:J37">INDEX('Общие сведения'!$AK$169:$AK$202,MATCH($F37,'Общие сведения'!$Z$169:$Z$202,0))</f>
        <v>одноставочный</v>
      </c>
      <c r="K37" s="213" cm="1" t="str">
        <f t="array" ref="K37:K37">INDEX('Общие сведения'!$AH$169:$AH$202,MATCH($F37,'Общие сведения'!$Z$169:$Z$202,0))</f>
        <v>0</v>
      </c>
      <c r="L37" s="213" cm="1" t="str">
        <f t="array" ref="L37:L37">INDEX('Общие сведения'!$AI$169:$AI$202,MATCH($F37,'Общие сведения'!$Z$169:$Z$202,0))</f>
        <v>вода</v>
      </c>
      <c r="M37" s="213" cm="1" t="str">
        <f t="array" ref="M37:M37">INDEX('Общие сведения'!$AJ$169:$AJ$202,MATCH($F37,'Общие сведения'!$Z$169:$Z$202,0))</f>
        <v>Не определено</v>
      </c>
      <c r="N37" s="220"/>
      <c r="O37" s="220"/>
      <c r="P37" s="220"/>
      <c r="Q37" s="220"/>
      <c r="R37" s="220"/>
      <c r="S37" s="220"/>
      <c r="T37" s="808">
        <f>X37&gt;0</f>
        <v>1</v>
      </c>
      <c r="U37" s="220"/>
      <c r="V37" s="175" cm="1" t="str">
        <f t="array" ref="V37:V37">'Неподконтрольные (5.3)'!$AB$47</f>
        <v>Тариф 1 (Теплоснабжение) - Тариф на тепловую энергию (мощность), поставляемую потребителям (Не определено)</v>
      </c>
      <c r="W37" s="220"/>
      <c r="X37" s="175" t="s">
        <v>336</v>
      </c>
      <c r="Y37" s="220"/>
      <c r="Z37" s="220"/>
      <c r="AA37" s="220"/>
      <c r="AB37" s="330"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220"/>
      <c r="BR37" s="220"/>
      <c r="BS37" s="1206" t="str">
        <f>IF(AND(ISNUMBER(VALUE(TRIM(SUBSTITUTE(AB38,".","")))),TRIM(SUBSTITUTE(AB38,".",""))&lt;&gt;""),"P"&amp;SUBSTITUTE(AB38,".",""),"")</f>
        <v/>
      </c>
    </row>
    <row s="1963" customFormat="1" customHeight="1" ht="16.5">
      <c r="A38" s="220"/>
      <c r="B38" s="220"/>
      <c r="C38" s="220"/>
      <c r="D38" s="220"/>
      <c r="E38" s="797">
        <v>17</v>
      </c>
      <c r="F38" s="922" cm="1" t="str">
        <f t="array" ref="F38:F38">OFFSET(G38,-1,-1)</f>
        <v>1</v>
      </c>
      <c r="G38" s="220"/>
      <c r="H38" s="220"/>
      <c r="I38" s="220"/>
      <c r="J38" s="220"/>
      <c r="K38" s="230" t="str">
        <f>F38&amp;"komm"</f>
        <v>1komm</v>
      </c>
      <c r="L38" s="229" cm="1" t="str">
        <f t="array" ref="L38:L38">BO38</f>
        <v>0</v>
      </c>
      <c r="M38" s="220"/>
      <c r="N38" s="220"/>
      <c r="O38" s="220"/>
      <c r="P38" s="220"/>
      <c r="Q38" s="220"/>
      <c r="R38" s="220"/>
      <c r="S38" s="220"/>
      <c r="T38" s="808" cm="1" t="str">
        <f t="array" ref="T38:T38">T37</f>
        <v>true</v>
      </c>
      <c r="U38" s="220"/>
      <c r="V38" s="220"/>
      <c r="W38" s="220"/>
      <c r="X38" s="220"/>
      <c r="Y38" s="220"/>
      <c r="Z38" s="220"/>
      <c r="AA38" s="220"/>
      <c r="AB38" s="1548" t="s">
        <v>1385</v>
      </c>
      <c r="AC38" s="1549"/>
      <c r="AD38" s="305" t="s">
        <v>810</v>
      </c>
      <c r="AE38" s="309" cm="1" t="str">
        <f t="array" ref="AE38:AE38">AE45</f>
        <v>9435.32235</v>
      </c>
      <c r="AF38" s="309" cm="1" t="str">
        <f t="array" ref="AF38:AF38">AF45</f>
        <v>11710.47</v>
      </c>
      <c r="AG38" s="309" cm="1" t="str">
        <f t="array" ref="AG38:AG38">AG45</f>
        <v>9811.10571428572</v>
      </c>
      <c r="AH38" s="309" cm="1" t="str">
        <f t="array" ref="AH38:AH38">AH45</f>
        <v>-1899.36428571428</v>
      </c>
      <c r="AI38" s="309" cm="1" t="str">
        <f t="array" ref="AI38:AI38">AI45</f>
        <v>8812.1897414</v>
      </c>
      <c r="AJ38" s="309" cm="1" t="str">
        <f t="array" ref="AJ38:AJ38">AJ45</f>
        <v>10096.411685</v>
      </c>
      <c r="AK38" s="309" cm="1" t="str">
        <f t="array" ref="AK38:AK38">AK45</f>
        <v>0</v>
      </c>
      <c r="AL38" s="309" cm="1" t="str">
        <f t="array" ref="AL38:AL38">AL45</f>
        <v>0</v>
      </c>
      <c r="AM38" s="309" cm="1" t="str">
        <f t="array" ref="AM38:AM38">AM45</f>
        <v>0</v>
      </c>
      <c r="AN38" s="309" cm="1" t="str">
        <f t="array" ref="AN38:AN38">AN45</f>
        <v>0</v>
      </c>
      <c r="AO38" s="309" cm="1" t="str">
        <f t="array" ref="AO38:AO38">AO45</f>
        <v>0</v>
      </c>
      <c r="AP38" s="309" cm="1" t="str">
        <f t="array" ref="AP38:AP38">AP45</f>
        <v>0</v>
      </c>
      <c r="AQ38" s="309" cm="1" t="str">
        <f t="array" ref="AQ38:AQ38">AQ45</f>
        <v>0</v>
      </c>
      <c r="AR38" s="309" cm="1" t="str">
        <f t="array" ref="AR38:AR38">AR45</f>
        <v>0</v>
      </c>
      <c r="AS38" s="309" cm="1" t="str">
        <f t="array" ref="AS38:AS38">AS45</f>
        <v>0</v>
      </c>
      <c r="AT38" s="309" cm="1" t="str">
        <f t="array" ref="AT38:AT38">AT45</f>
        <v>9372.61470933618</v>
      </c>
      <c r="AU38" s="309" cm="1" t="str">
        <f t="array" ref="AU38:AU38">AU45</f>
        <v>0</v>
      </c>
      <c r="AV38" s="309" cm="1" t="str">
        <f t="array" ref="AV38:AV38">AV45</f>
        <v>0</v>
      </c>
      <c r="AW38" s="309" cm="1" t="str">
        <f t="array" ref="AW38:AW38">AW45</f>
        <v>0</v>
      </c>
      <c r="AX38" s="309" cm="1" t="str">
        <f t="array" ref="AX38:AX38">AX45</f>
        <v>0</v>
      </c>
      <c r="AY38" s="309" cm="1" t="str">
        <f t="array" ref="AY38:AY38">AY45</f>
        <v>0</v>
      </c>
      <c r="AZ38" s="309" cm="1" t="str">
        <f t="array" ref="AZ38:AZ38">AZ45</f>
        <v>0</v>
      </c>
      <c r="BA38" s="309" cm="1" t="str">
        <f t="array" ref="BA38:BA38">BA45</f>
        <v>0</v>
      </c>
      <c r="BB38" s="309" cm="1" t="str">
        <f t="array" ref="BB38:BB38">BB45</f>
        <v>0</v>
      </c>
      <c r="BC38" s="309" cm="1" t="str">
        <f t="array" ref="BC38:BC38">BC45</f>
        <v>0</v>
      </c>
      <c r="BD38" s="309" cm="1" t="str">
        <f t="array" ref="BD38:BD38">BD45</f>
        <v>6.35965616245509</v>
      </c>
      <c r="BE38" s="309" cm="1" t="str">
        <f t="array" ref="BE38:BE38">BE45</f>
        <v>-100</v>
      </c>
      <c r="BF38" s="309" cm="1" t="str">
        <f t="array" ref="BF38:BF38">BF45</f>
        <v>0</v>
      </c>
      <c r="BG38" s="309" cm="1" t="str">
        <f t="array" ref="BG38:BG38">BG45</f>
        <v>0</v>
      </c>
      <c r="BH38" s="309" cm="1" t="str">
        <f t="array" ref="BH38:BH38">BH45</f>
        <v>0</v>
      </c>
      <c r="BI38" s="309" cm="1" t="str">
        <f t="array" ref="BI38:BI38">BI45</f>
        <v>0</v>
      </c>
      <c r="BJ38" s="309" cm="1" t="str">
        <f t="array" ref="BJ38:BJ38">BJ45</f>
        <v>0</v>
      </c>
      <c r="BK38" s="309" cm="1" t="str">
        <f t="array" ref="BK38:BK38">BK45</f>
        <v>0</v>
      </c>
      <c r="BL38" s="309" cm="1" t="str">
        <f t="array" ref="BL38:BL38">BL45</f>
        <v>0</v>
      </c>
      <c r="BM38" s="309" cm="1" t="str">
        <f t="array" ref="BM38:BM38">BM45</f>
        <v>0</v>
      </c>
      <c r="BN38" s="1719"/>
      <c r="BO38" s="1719"/>
      <c r="BP38" s="1719"/>
      <c r="BQ38" s="220"/>
      <c r="BR38" s="220"/>
      <c r="BS38" s="1206" t="s">
        <v>1386</v>
      </c>
    </row>
    <row s="1632" customFormat="1" customHeight="1" ht="16.5">
      <c r="A39" s="228"/>
      <c r="B39" s="927"/>
      <c r="C39" s="228"/>
      <c r="D39" s="228"/>
      <c r="E39" s="797">
        <v>17</v>
      </c>
      <c r="F39" s="922" cm="1" t="str">
        <f t="array" ref="F39:F39">OFFSET(G39,-1,-1)</f>
        <v>1</v>
      </c>
      <c r="G39" s="193" t="s">
        <v>1387</v>
      </c>
      <c r="H39" s="230"/>
      <c r="I39" s="230"/>
      <c r="J39" s="230"/>
      <c r="K39" s="230"/>
      <c r="L39" s="230"/>
      <c r="M39" s="230"/>
      <c r="N39" s="230"/>
      <c r="O39" s="230"/>
      <c r="P39" s="230"/>
      <c r="Q39" s="193"/>
      <c r="R39" s="193"/>
      <c r="S39" s="230"/>
      <c r="T39" s="808" cm="1" t="str">
        <f t="array" ref="T39:T39">T38</f>
        <v>true</v>
      </c>
      <c r="U39" s="228"/>
      <c r="V39" s="228"/>
      <c r="W39" s="228"/>
      <c r="X39" s="228"/>
      <c r="Y39" s="228"/>
      <c r="Z39" s="228"/>
      <c r="AA39" s="230"/>
      <c r="AB39" s="480" t="s">
        <v>336</v>
      </c>
      <c r="AC39" s="747" t="s">
        <v>1388</v>
      </c>
      <c r="AD39" s="488" t="s">
        <v>1023</v>
      </c>
      <c r="AE39" s="310">
        <f>_xlfn.SUMIFS('Топливо 4.4'!AH$27:AH$275,'Топливо 4.4'!$F$27:$F$275,$F39,'Топливо 4.4'!$G$27:$G$275,$G39)</f>
        <v>5673.56</v>
      </c>
      <c r="AF39" s="310">
        <f>_xlfn.SUMIFS('Топливо 4.4'!AI$27:AI$275,'Топливо 4.4'!$F$27:$F$275,$F39,'Топливо 4.4'!$G$27:$G$275,$G39)</f>
        <v>7937.13</v>
      </c>
      <c r="AG39" s="310">
        <f>_xlfn.SUMIFS('Топливо 4.4'!AJ$27:AJ$275,'Топливо 4.4'!$F$27:$F$275,$F39,'Топливо 4.4'!$G$27:$G$275,$G39)</f>
        <v>5920.92571428572</v>
      </c>
      <c r="AH39" s="310">
        <f>AG39-AF39</f>
        <v>-2016.20428571428</v>
      </c>
      <c r="AI39" s="310">
        <f>_xlfn.SUMIFS('Топливо 4.4'!AK$27:AK$275,'Топливо 4.4'!$F$27:$F$275,$F39,'Топливо 4.4'!$G$27:$G$275,$G39)</f>
        <v>5136.98</v>
      </c>
      <c r="AJ39" s="310">
        <f>_xlfn.SUMIFS('Топливо 4.4'!AL$27:AL$275,'Топливо 4.4'!$F$27:$F$275,$F39,'Топливо 4.4'!$G$27:$G$275,$G39)</f>
        <v>5528.831685</v>
      </c>
      <c r="AK39" s="310">
        <f>_xlfn.SUMIFS('Топливо 4.4'!AO$27:AO$275,'Топливо 4.4'!$F$27:$F$275,$F39,'Топливо 4.4'!$G$27:$G$275,$G39)</f>
        <v>0</v>
      </c>
      <c r="AL39" s="310">
        <f>_xlfn.SUMIFS('Топливо 4.4'!AR$27:AR$275,'Топливо 4.4'!$F$27:$F$275,$F39,'Топливо 4.4'!$G$27:$G$275,$G39)</f>
        <v>0</v>
      </c>
      <c r="AM39" s="310">
        <f>_xlfn.SUMIFS('Топливо 4.4'!AU$27:AU$275,'Топливо 4.4'!$F$27:$F$275,$F39,'Топливо 4.4'!$G$27:$G$275,$G39)</f>
        <v>0</v>
      </c>
      <c r="AN39" s="310">
        <f>_xlfn.SUMIFS('Топливо 4.4'!AX$27:AX$275,'Топливо 4.4'!$F$27:$F$275,$F39,'Топливо 4.4'!$G$27:$G$275,$G39)</f>
        <v>0</v>
      </c>
      <c r="AO39" s="310">
        <f>_xlfn.SUMIFS('Топливо 4.4'!BA$27:BA$275,'Топливо 4.4'!$F$27:$F$275,$F39,'Топливо 4.4'!$G$27:$G$275,$G39)</f>
        <v>0</v>
      </c>
      <c r="AP39" s="310">
        <f>_xlfn.SUMIFS('Топливо 4.4'!BD$27:BD$275,'Топливо 4.4'!$F$27:$F$275,$F39,'Топливо 4.4'!$G$27:$G$275,$G39)</f>
        <v>0</v>
      </c>
      <c r="AQ39" s="310">
        <f>_xlfn.SUMIFS('Топливо 4.4'!BG$27:BG$275,'Топливо 4.4'!$F$27:$F$275,$F39,'Топливо 4.4'!$G$27:$G$275,$G39)</f>
        <v>0</v>
      </c>
      <c r="AR39" s="310">
        <f>_xlfn.SUMIFS('Топливо 4.4'!BJ$27:BJ$275,'Топливо 4.4'!$F$27:$F$275,$F39,'Топливо 4.4'!$G$27:$G$275,$G39)</f>
        <v>0</v>
      </c>
      <c r="AS39" s="310">
        <f>_xlfn.SUMIFS('Топливо 4.4'!BM$27:BM$275,'Топливо 4.4'!$F$27:$F$275,$F39,'Топливо 4.4'!$G$27:$G$275,$G39)</f>
        <v>0</v>
      </c>
      <c r="AT39" s="310">
        <f>_xlfn.SUMIFS('Топливо 4.4'!BP$27:BP$275,'Топливо 4.4'!$F$27:$F$275,$F39,'Топливо 4.4'!$G$27:$G$275,$G39)</f>
        <v>5385.60454893618</v>
      </c>
      <c r="AU39" s="310">
        <f>_xlfn.SUMIFS('Топливо 4.4'!BS$27:BS$275,'Топливо 4.4'!$F$27:$F$275,$F39,'Топливо 4.4'!$G$27:$G$275,$G39)</f>
        <v>0</v>
      </c>
      <c r="AV39" s="310">
        <f>_xlfn.SUMIFS('Топливо 4.4'!BV$27:BV$275,'Топливо 4.4'!$F$27:$F$275,$F39,'Топливо 4.4'!$G$27:$G$275,$G39)</f>
        <v>0</v>
      </c>
      <c r="AW39" s="310">
        <f>_xlfn.SUMIFS('Топливо 4.4'!BY$27:BY$275,'Топливо 4.4'!$F$27:$F$275,$F39,'Топливо 4.4'!$G$27:$G$275,$G39)</f>
        <v>0</v>
      </c>
      <c r="AX39" s="310">
        <f>_xlfn.SUMIFS('Топливо 4.4'!CB$27:CB$275,'Топливо 4.4'!$F$27:$F$275,$F39,'Топливо 4.4'!$G$27:$G$275,$G39)</f>
        <v>0</v>
      </c>
      <c r="AY39" s="310">
        <f>_xlfn.SUMIFS('Топливо 4.4'!CE$27:CE$275,'Топливо 4.4'!$F$27:$F$275,$F39,'Топливо 4.4'!$G$27:$G$275,$G39)</f>
        <v>0</v>
      </c>
      <c r="AZ39" s="310">
        <f>_xlfn.SUMIFS('Топливо 4.4'!CH$27:CH$275,'Топливо 4.4'!$F$27:$F$275,$F39,'Топливо 4.4'!$G$27:$G$275,$G39)</f>
        <v>0</v>
      </c>
      <c r="BA39" s="310">
        <f>_xlfn.SUMIFS('Топливо 4.4'!CK$27:CK$275,'Топливо 4.4'!$F$27:$F$275,$F39,'Топливо 4.4'!$G$27:$G$275,$G39)</f>
        <v>0</v>
      </c>
      <c r="BB39" s="310">
        <f>_xlfn.SUMIFS('Топливо 4.4'!CN$27:CN$275,'Топливо 4.4'!$F$27:$F$275,$F39,'Топливо 4.4'!$G$27:$G$275,$G39)</f>
        <v>0</v>
      </c>
      <c r="BC39" s="310">
        <f>_xlfn.SUMIFS('Топливо 4.4'!CQ$27:CQ$275,'Топливо 4.4'!$F$27:$F$275,$F39,'Топливо 4.4'!$G$27:$G$275,$G39)</f>
        <v>0</v>
      </c>
      <c r="BD39" s="310">
        <f>IF(AI39=0,0,(AT39-AI39)/AI39*100)</f>
        <v>4.8398971562315</v>
      </c>
      <c r="BE39" s="310">
        <f>IF(AT39=0,0,(AU39-AT39)/AT39*100)</f>
        <v>-100</v>
      </c>
      <c r="BF39" s="310">
        <f>IF(AU39=0,0,(AV39-AU39)/AU39*100)</f>
        <v>0</v>
      </c>
      <c r="BG39" s="310">
        <f>IF(AV39=0,0,(AW39-AV39)/AV39*100)</f>
        <v>0</v>
      </c>
      <c r="BH39" s="310">
        <f>IF(AW39=0,0,(AX39-AW39)/AW39*100)</f>
        <v>0</v>
      </c>
      <c r="BI39" s="310">
        <f>IF(AX39=0,0,(AY39-AX39)/AX39*100)</f>
        <v>0</v>
      </c>
      <c r="BJ39" s="310">
        <f>IF(AY39=0,0,(AZ39-AY39)/AY39*100)</f>
        <v>0</v>
      </c>
      <c r="BK39" s="310">
        <f>IF(AZ39=0,0,(BA39-AZ39)/AZ39*100)</f>
        <v>0</v>
      </c>
      <c r="BL39" s="310">
        <f>IF(BA39=0,0,(BB39-BA39)/BA39*100)</f>
        <v>0</v>
      </c>
      <c r="BM39" s="310">
        <f>IF(BB39=0,0,(BC39-BB39)/BB39*100)</f>
        <v>0</v>
      </c>
      <c r="BN39" s="1719"/>
      <c r="BO39" s="1719"/>
      <c r="BP39" s="1719"/>
      <c r="BQ39" s="230"/>
      <c r="BR39" s="230"/>
      <c r="BS39" s="1206" t="s">
        <v>1382</v>
      </c>
    </row>
    <row s="1632" customFormat="1" customHeight="1" ht="16.5">
      <c r="A40" s="228"/>
      <c r="B40" s="927"/>
      <c r="C40" s="228"/>
      <c r="D40" s="228"/>
      <c r="E40" s="797">
        <v>17</v>
      </c>
      <c r="F40" s="922" cm="1" t="str">
        <f t="array" ref="F40:F40">OFFSET(G40,-1,-1)</f>
        <v>1</v>
      </c>
      <c r="G40" s="193" t="s">
        <v>929</v>
      </c>
      <c r="H40" s="230"/>
      <c r="I40" s="230"/>
      <c r="J40" s="230"/>
      <c r="K40" s="230"/>
      <c r="L40" s="230"/>
      <c r="M40" s="230"/>
      <c r="N40" s="230"/>
      <c r="O40" s="230"/>
      <c r="P40" s="230"/>
      <c r="Q40" s="193"/>
      <c r="R40" s="193"/>
      <c r="S40" s="230"/>
      <c r="T40" s="808" cm="1" t="str">
        <f t="array" ref="T40:T40">T39</f>
        <v>true</v>
      </c>
      <c r="U40" s="228"/>
      <c r="V40" s="228"/>
      <c r="W40" s="228"/>
      <c r="X40" s="228"/>
      <c r="Y40" s="228"/>
      <c r="Z40" s="228"/>
      <c r="AA40" s="230"/>
      <c r="AB40" s="514" t="s">
        <v>426</v>
      </c>
      <c r="AC40" s="745" t="s">
        <v>931</v>
      </c>
      <c r="AD40" s="499" t="s">
        <v>1023</v>
      </c>
      <c r="AE40" s="310">
        <f>_xlfn.SUMIFS(ЭнергоРесурсы!AE$26:AE$112,ЭнергоРесурсы!$F$26:$F$112,$F40,ЭнергоРесурсы!$G$26:$G$112,$G40)</f>
        <v>3496.6503</v>
      </c>
      <c r="AF40" s="310">
        <f>_xlfn.SUMIFS(ЭнергоРесурсы!AF$26:AF$112,ЭнергоРесурсы!$F$26:$F$112,$F40,ЭнергоРесурсы!$G$26:$G$112,$G40)</f>
        <v>3508.22</v>
      </c>
      <c r="AG40" s="310">
        <f>_xlfn.SUMIFS(ЭнергоРесурсы!AG$26:AG$112,ЭнергоРесурсы!$F$26:$F$112,$F40,ЭнергоРесурсы!$G$26:$G$112,$G40)</f>
        <v>3606.46</v>
      </c>
      <c r="AH40" s="310">
        <f>AG40-AF40</f>
        <v>98.2400000000002</v>
      </c>
      <c r="AI40" s="310">
        <f>_xlfn.SUMIFS(ЭнергоРесурсы!AH$26:AH$112,ЭнергоРесурсы!$F$26:$F$112,$F40,ЭнергоРесурсы!$G$26:$G$112,$G40)</f>
        <v>3420.4539414</v>
      </c>
      <c r="AJ40" s="310">
        <f>_xlfn.SUMIFS(ЭнергоРесурсы!AI$26:AI$112,ЭнергоРесурсы!$F$26:$F$112,$F40,ЭнергоРесурсы!$G$26:$G$112,$G40)</f>
        <v>4289.62</v>
      </c>
      <c r="AK40" s="310">
        <f>_xlfn.SUMIFS(ЭнергоРесурсы!AJ$26:AJ$112,ЭнергоРесурсы!$F$26:$F$112,$F40,ЭнергоРесурсы!$G$26:$G$112,$G40)</f>
        <v>0</v>
      </c>
      <c r="AL40" s="310">
        <f>_xlfn.SUMIFS(ЭнергоРесурсы!AK$26:AK$112,ЭнергоРесурсы!$F$26:$F$112,$F40,ЭнергоРесурсы!$G$26:$G$112,$G40)</f>
        <v>0</v>
      </c>
      <c r="AM40" s="310">
        <f>_xlfn.SUMIFS(ЭнергоРесурсы!AL$26:AL$112,ЭнергоРесурсы!$F$26:$F$112,$F40,ЭнергоРесурсы!$G$26:$G$112,$G40)</f>
        <v>0</v>
      </c>
      <c r="AN40" s="310">
        <f>_xlfn.SUMIFS(ЭнергоРесурсы!AM$26:AM$112,ЭнергоРесурсы!$F$26:$F$112,$F40,ЭнергоРесурсы!$G$26:$G$112,$G40)</f>
        <v>0</v>
      </c>
      <c r="AO40" s="310">
        <f>_xlfn.SUMIFS(ЭнергоРесурсы!AN$26:AN$112,ЭнергоРесурсы!$F$26:$F$112,$F40,ЭнергоРесурсы!$G$26:$G$112,$G40)</f>
        <v>0</v>
      </c>
      <c r="AP40" s="310">
        <f>_xlfn.SUMIFS(ЭнергоРесурсы!AO$26:AO$112,ЭнергоРесурсы!$F$26:$F$112,$F40,ЭнергоРесурсы!$G$26:$G$112,$G40)</f>
        <v>0</v>
      </c>
      <c r="AQ40" s="310">
        <f>_xlfn.SUMIFS(ЭнергоРесурсы!AP$26:AP$112,ЭнергоРесурсы!$F$26:$F$112,$F40,ЭнергоРесурсы!$G$26:$G$112,$G40)</f>
        <v>0</v>
      </c>
      <c r="AR40" s="310">
        <f>_xlfn.SUMIFS(ЭнергоРесурсы!AQ$26:AQ$112,ЭнергоРесурсы!$F$26:$F$112,$F40,ЭнергоРесурсы!$G$26:$G$112,$G40)</f>
        <v>0</v>
      </c>
      <c r="AS40" s="310">
        <f>_xlfn.SUMIFS(ЭнергоРесурсы!AR$26:AR$112,ЭнергоРесурсы!$F$26:$F$112,$F40,ЭнергоРесурсы!$G$26:$G$112,$G40)</f>
        <v>0</v>
      </c>
      <c r="AT40" s="310">
        <f>_xlfn.SUMIFS(ЭнергоРесурсы!AS$26:AS$112,ЭнергоРесурсы!$F$26:$F$112,$F40,ЭнергоРесурсы!$G$26:$G$112,$G40)</f>
        <v>3721.6903914</v>
      </c>
      <c r="AU40" s="310">
        <f>_xlfn.SUMIFS(ЭнергоРесурсы!AT$26:AT$112,ЭнергоРесурсы!$F$26:$F$112,$F40,ЭнергоРесурсы!$G$26:$G$112,$G40)</f>
        <v>0</v>
      </c>
      <c r="AV40" s="310">
        <f>_xlfn.SUMIFS(ЭнергоРесурсы!AU$26:AU$112,ЭнергоРесурсы!$F$26:$F$112,$F40,ЭнергоРесурсы!$G$26:$G$112,$G40)</f>
        <v>0</v>
      </c>
      <c r="AW40" s="310">
        <f>_xlfn.SUMIFS(ЭнергоРесурсы!AV$26:AV$112,ЭнергоРесурсы!$F$26:$F$112,$F40,ЭнергоРесурсы!$G$26:$G$112,$G40)</f>
        <v>0</v>
      </c>
      <c r="AX40" s="310">
        <f>_xlfn.SUMIFS(ЭнергоРесурсы!AW$26:AW$112,ЭнергоРесурсы!$F$26:$F$112,$F40,ЭнергоРесурсы!$G$26:$G$112,$G40)</f>
        <v>0</v>
      </c>
      <c r="AY40" s="310">
        <f>_xlfn.SUMIFS(ЭнергоРесурсы!AX$26:AX$112,ЭнергоРесурсы!$F$26:$F$112,$F40,ЭнергоРесурсы!$G$26:$G$112,$G40)</f>
        <v>0</v>
      </c>
      <c r="AZ40" s="310">
        <f>_xlfn.SUMIFS(ЭнергоРесурсы!AY$26:AY$112,ЭнергоРесурсы!$F$26:$F$112,$F40,ЭнергоРесурсы!$G$26:$G$112,$G40)</f>
        <v>0</v>
      </c>
      <c r="BA40" s="310">
        <f>_xlfn.SUMIFS(ЭнергоРесурсы!AZ$26:AZ$112,ЭнергоРесурсы!$F$26:$F$112,$F40,ЭнергоРесурсы!$G$26:$G$112,$G40)</f>
        <v>0</v>
      </c>
      <c r="BB40" s="310">
        <f>_xlfn.SUMIFS(ЭнергоРесурсы!BA$26:BA$112,ЭнергоРесурсы!$F$26:$F$112,$F40,ЭнергоРесурсы!$G$26:$G$112,$G40)</f>
        <v>0</v>
      </c>
      <c r="BC40" s="310">
        <f>_xlfn.SUMIFS(ЭнергоРесурсы!BB$26:BB$112,ЭнергоРесурсы!$F$26:$F$112,$F40,ЭнергоРесурсы!$G$26:$G$112,$G40)</f>
        <v>0</v>
      </c>
      <c r="BD40" s="310">
        <f>IF(AI40=0,0,(AT40-AI40)/AI40*100)</f>
        <v>8.80691437922719</v>
      </c>
      <c r="BE40" s="310">
        <f>IF(AT40=0,0,(AU40-AT40)/AT40*100)</f>
        <v>-100</v>
      </c>
      <c r="BF40" s="310">
        <f>IF(AU40=0,0,(AV40-AU40)/AU40*100)</f>
        <v>0</v>
      </c>
      <c r="BG40" s="310">
        <f>IF(AV40=0,0,(AW40-AV40)/AV40*100)</f>
        <v>0</v>
      </c>
      <c r="BH40" s="310">
        <f>IF(AW40=0,0,(AX40-AW40)/AW40*100)</f>
        <v>0</v>
      </c>
      <c r="BI40" s="310">
        <f>IF(AX40=0,0,(AY40-AX40)/AX40*100)</f>
        <v>0</v>
      </c>
      <c r="BJ40" s="310">
        <f>IF(AY40=0,0,(AZ40-AY40)/AY40*100)</f>
        <v>0</v>
      </c>
      <c r="BK40" s="310">
        <f>IF(AZ40=0,0,(BA40-AZ40)/AZ40*100)</f>
        <v>0</v>
      </c>
      <c r="BL40" s="310">
        <f>IF(BA40=0,0,(BB40-BA40)/BA40*100)</f>
        <v>0</v>
      </c>
      <c r="BM40" s="310">
        <f>IF(BB40=0,0,(BC40-BB40)/BB40*100)</f>
        <v>0</v>
      </c>
      <c r="BN40" s="1719"/>
      <c r="BO40" s="1719"/>
      <c r="BP40" s="1719"/>
      <c r="BQ40" s="230"/>
      <c r="BR40" s="230"/>
      <c r="BS40" s="1206" t="s">
        <v>1389</v>
      </c>
    </row>
    <row s="1632" customFormat="1" customHeight="1" ht="16.5">
      <c r="A41" s="228"/>
      <c r="B41" s="927"/>
      <c r="C41" s="228"/>
      <c r="D41" s="228"/>
      <c r="E41" s="797">
        <v>17</v>
      </c>
      <c r="F41" s="922" cm="1" t="str">
        <f t="array" ref="F41:F41">OFFSET(G41,-1,-1)</f>
        <v>1</v>
      </c>
      <c r="G41" s="193" t="s">
        <v>964</v>
      </c>
      <c r="H41" s="230"/>
      <c r="I41" s="230"/>
      <c r="J41" s="230"/>
      <c r="K41" s="230"/>
      <c r="L41" s="230"/>
      <c r="M41" s="230"/>
      <c r="N41" s="230"/>
      <c r="O41" s="230"/>
      <c r="P41" s="230"/>
      <c r="Q41" s="193"/>
      <c r="R41" s="193"/>
      <c r="S41" s="230"/>
      <c r="T41" s="808" cm="1" t="str">
        <f t="array" ref="T41:T41">T40</f>
        <v>true</v>
      </c>
      <c r="U41" s="228"/>
      <c r="V41" s="228"/>
      <c r="W41" s="228"/>
      <c r="X41" s="228"/>
      <c r="Y41" s="228"/>
      <c r="Z41" s="228"/>
      <c r="AA41" s="230"/>
      <c r="AB41" s="288" t="s">
        <v>429</v>
      </c>
      <c r="AC41" s="746" t="s">
        <v>984</v>
      </c>
      <c r="AD41" s="499" t="s">
        <v>1023</v>
      </c>
      <c r="AE41" s="310">
        <f>_xlfn.SUMIFS(ЭнергоРесурсы!AE$26:AE$112,ЭнергоРесурсы!$F$26:$F$112,$F41,ЭнергоРесурсы!$G$26:$G$112,$G41)</f>
        <v>0</v>
      </c>
      <c r="AF41" s="310">
        <f>_xlfn.SUMIFS(ЭнергоРесурсы!AF$26:AF$112,ЭнергоРесурсы!$F$26:$F$112,$F41,ЭнергоРесурсы!$G$26:$G$112,$G41)</f>
        <v>0</v>
      </c>
      <c r="AG41" s="310">
        <f>_xlfn.SUMIFS(ЭнергоРесурсы!AG$26:AG$112,ЭнергоРесурсы!$F$26:$F$112,$F41,ЭнергоРесурсы!$G$26:$G$112,$G41)</f>
        <v>0</v>
      </c>
      <c r="AH41" s="310">
        <f>AG41-AF41</f>
        <v>0</v>
      </c>
      <c r="AI41" s="310">
        <f>_xlfn.SUMIFS(ЭнергоРесурсы!AH$26:AH$112,ЭнергоРесурсы!$F$26:$F$112,$F41,ЭнергоРесурсы!$G$26:$G$112,$G41)</f>
        <v>0</v>
      </c>
      <c r="AJ41" s="310">
        <f>_xlfn.SUMIFS(ЭнергоРесурсы!AI$26:AI$112,ЭнергоРесурсы!$F$26:$F$112,$F41,ЭнергоРесурсы!$G$26:$G$112,$G41)</f>
        <v>0</v>
      </c>
      <c r="AK41" s="310">
        <f>_xlfn.SUMIFS(ЭнергоРесурсы!AJ$26:AJ$112,ЭнергоРесурсы!$F$26:$F$112,$F41,ЭнергоРесурсы!$G$26:$G$112,$G41)</f>
        <v>0</v>
      </c>
      <c r="AL41" s="310">
        <f>_xlfn.SUMIFS(ЭнергоРесурсы!AK$26:AK$112,ЭнергоРесурсы!$F$26:$F$112,$F41,ЭнергоРесурсы!$G$26:$G$112,$G41)</f>
        <v>0</v>
      </c>
      <c r="AM41" s="310">
        <f>_xlfn.SUMIFS(ЭнергоРесурсы!AL$26:AL$112,ЭнергоРесурсы!$F$26:$F$112,$F41,ЭнергоРесурсы!$G$26:$G$112,$G41)</f>
        <v>0</v>
      </c>
      <c r="AN41" s="310">
        <f>_xlfn.SUMIFS(ЭнергоРесурсы!AM$26:AM$112,ЭнергоРесурсы!$F$26:$F$112,$F41,ЭнергоРесурсы!$G$26:$G$112,$G41)</f>
        <v>0</v>
      </c>
      <c r="AO41" s="310">
        <f>_xlfn.SUMIFS(ЭнергоРесурсы!AN$26:AN$112,ЭнергоРесурсы!$F$26:$F$112,$F41,ЭнергоРесурсы!$G$26:$G$112,$G41)</f>
        <v>0</v>
      </c>
      <c r="AP41" s="310">
        <f>_xlfn.SUMIFS(ЭнергоРесурсы!AO$26:AO$112,ЭнергоРесурсы!$F$26:$F$112,$F41,ЭнергоРесурсы!$G$26:$G$112,$G41)</f>
        <v>0</v>
      </c>
      <c r="AQ41" s="310">
        <f>_xlfn.SUMIFS(ЭнергоРесурсы!AP$26:AP$112,ЭнергоРесурсы!$F$26:$F$112,$F41,ЭнергоРесурсы!$G$26:$G$112,$G41)</f>
        <v>0</v>
      </c>
      <c r="AR41" s="310">
        <f>_xlfn.SUMIFS(ЭнергоРесурсы!AQ$26:AQ$112,ЭнергоРесурсы!$F$26:$F$112,$F41,ЭнергоРесурсы!$G$26:$G$112,$G41)</f>
        <v>0</v>
      </c>
      <c r="AS41" s="310">
        <f>_xlfn.SUMIFS(ЭнергоРесурсы!AR$26:AR$112,ЭнергоРесурсы!$F$26:$F$112,$F41,ЭнергоРесурсы!$G$26:$G$112,$G41)</f>
        <v>0</v>
      </c>
      <c r="AT41" s="310">
        <f>_xlfn.SUMIFS(ЭнергоРесурсы!AS$26:AS$112,ЭнергоРесурсы!$F$26:$F$112,$F41,ЭнергоРесурсы!$G$26:$G$112,$G41)</f>
        <v>0</v>
      </c>
      <c r="AU41" s="310">
        <f>_xlfn.SUMIFS(ЭнергоРесурсы!AT$26:AT$112,ЭнергоРесурсы!$F$26:$F$112,$F41,ЭнергоРесурсы!$G$26:$G$112,$G41)</f>
        <v>0</v>
      </c>
      <c r="AV41" s="310">
        <f>_xlfn.SUMIFS(ЭнергоРесурсы!AU$26:AU$112,ЭнергоРесурсы!$F$26:$F$112,$F41,ЭнергоРесурсы!$G$26:$G$112,$G41)</f>
        <v>0</v>
      </c>
      <c r="AW41" s="310">
        <f>_xlfn.SUMIFS(ЭнергоРесурсы!AV$26:AV$112,ЭнергоРесурсы!$F$26:$F$112,$F41,ЭнергоРесурсы!$G$26:$G$112,$G41)</f>
        <v>0</v>
      </c>
      <c r="AX41" s="310">
        <f>_xlfn.SUMIFS(ЭнергоРесурсы!AW$26:AW$112,ЭнергоРесурсы!$F$26:$F$112,$F41,ЭнергоРесурсы!$G$26:$G$112,$G41)</f>
        <v>0</v>
      </c>
      <c r="AY41" s="310">
        <f>_xlfn.SUMIFS(ЭнергоРесурсы!AX$26:AX$112,ЭнергоРесурсы!$F$26:$F$112,$F41,ЭнергоРесурсы!$G$26:$G$112,$G41)</f>
        <v>0</v>
      </c>
      <c r="AZ41" s="310">
        <f>_xlfn.SUMIFS(ЭнергоРесурсы!AY$26:AY$112,ЭнергоРесурсы!$F$26:$F$112,$F41,ЭнергоРесурсы!$G$26:$G$112,$G41)</f>
        <v>0</v>
      </c>
      <c r="BA41" s="310">
        <f>_xlfn.SUMIFS(ЭнергоРесурсы!AZ$26:AZ$112,ЭнергоРесурсы!$F$26:$F$112,$F41,ЭнергоРесурсы!$G$26:$G$112,$G41)</f>
        <v>0</v>
      </c>
      <c r="BB41" s="310">
        <f>_xlfn.SUMIFS(ЭнергоРесурсы!BA$26:BA$112,ЭнергоРесурсы!$F$26:$F$112,$F41,ЭнергоРесурсы!$G$26:$G$112,$G41)</f>
        <v>0</v>
      </c>
      <c r="BC41" s="310">
        <f>_xlfn.SUMIFS(ЭнергоРесурсы!BB$26:BB$112,ЭнергоРесурсы!$F$26:$F$112,$F41,ЭнергоРесурсы!$G$26:$G$112,$G41)</f>
        <v>0</v>
      </c>
      <c r="BD41" s="310">
        <f>IF(AI41=0,0,(AT41-AI41)/AI41*100)</f>
        <v>0</v>
      </c>
      <c r="BE41" s="310">
        <f>IF(AT41=0,0,(AU41-AT41)/AT41*100)</f>
        <v>0</v>
      </c>
      <c r="BF41" s="310">
        <f>IF(AU41=0,0,(AV41-AU41)/AU41*100)</f>
        <v>0</v>
      </c>
      <c r="BG41" s="310">
        <f>IF(AV41=0,0,(AW41-AV41)/AV41*100)</f>
        <v>0</v>
      </c>
      <c r="BH41" s="310">
        <f>IF(AW41=0,0,(AX41-AW41)/AW41*100)</f>
        <v>0</v>
      </c>
      <c r="BI41" s="310">
        <f>IF(AX41=0,0,(AY41-AX41)/AX41*100)</f>
        <v>0</v>
      </c>
      <c r="BJ41" s="310">
        <f>IF(AY41=0,0,(AZ41-AY41)/AY41*100)</f>
        <v>0</v>
      </c>
      <c r="BK41" s="310">
        <f>IF(AZ41=0,0,(BA41-AZ41)/AZ41*100)</f>
        <v>0</v>
      </c>
      <c r="BL41" s="310">
        <f>IF(BA41=0,0,(BB41-BA41)/BA41*100)</f>
        <v>0</v>
      </c>
      <c r="BM41" s="310">
        <f>IF(BB41=0,0,(BC41-BB41)/BB41*100)</f>
        <v>0</v>
      </c>
      <c r="BN41" s="1719"/>
      <c r="BO41" s="1719"/>
      <c r="BP41" s="1719"/>
      <c r="BQ41" s="230"/>
      <c r="BR41" s="230"/>
      <c r="BS41" s="1206" t="s">
        <v>1390</v>
      </c>
    </row>
    <row s="1632" customFormat="1" customHeight="1" ht="16.5" hidden="1">
      <c r="A42" s="228"/>
      <c r="B42" s="927"/>
      <c r="C42" s="228"/>
      <c r="D42" s="228"/>
      <c r="E42" s="797">
        <v>17</v>
      </c>
      <c r="F42" s="922" cm="1" t="str">
        <f t="array" ref="F42:F42">OFFSET(G42,-1,-1)</f>
        <v>1</v>
      </c>
      <c r="G42" s="193" t="s">
        <v>966</v>
      </c>
      <c r="H42" s="230"/>
      <c r="I42" s="230"/>
      <c r="J42" s="230"/>
      <c r="K42" s="230"/>
      <c r="L42" s="230"/>
      <c r="M42" s="230"/>
      <c r="N42" s="230"/>
      <c r="O42" s="230"/>
      <c r="P42" s="230"/>
      <c r="Q42" s="193"/>
      <c r="R42" s="193" t="s">
        <v>967</v>
      </c>
      <c r="S42" s="230"/>
      <c r="T42" s="808">
        <f>AND(T41,G37="двухставочный")</f>
        <v>0</v>
      </c>
      <c r="U42" s="228"/>
      <c r="V42" s="228"/>
      <c r="W42" s="228"/>
      <c r="X42" s="228"/>
      <c r="Y42" s="228"/>
      <c r="Z42" s="228"/>
      <c r="AA42" s="230"/>
      <c r="AB42" s="288" t="s">
        <v>715</v>
      </c>
      <c r="AC42" s="1083" t="s">
        <v>969</v>
      </c>
      <c r="AD42" s="1031" t="s">
        <v>810</v>
      </c>
      <c r="AE42" s="551">
        <f>_xlfn.SUMIFS(ЭнергоРесурсы!AE$26:AE$112,ЭнергоРесурсы!$F$26:$F$112,$F42,ЭнергоРесурсы!$G$26:$G$112,$G42)</f>
        <v>0</v>
      </c>
      <c r="AF42" s="551">
        <f>_xlfn.SUMIFS(ЭнергоРесурсы!AF$26:AF$112,ЭнергоРесурсы!$F$26:$F$112,$F42,ЭнергоРесурсы!$G$26:$G$112,$G42)</f>
        <v>0</v>
      </c>
      <c r="AG42" s="551">
        <f>_xlfn.SUMIFS(ЭнергоРесурсы!AG$26:AG$112,ЭнергоРесурсы!$F$26:$F$112,$F42,ЭнергоРесурсы!$G$26:$G$112,$G42)</f>
        <v>0</v>
      </c>
      <c r="AH42" s="551">
        <f>AG42-AF42</f>
        <v>0</v>
      </c>
      <c r="AI42" s="517" cm="1" t="str">
        <f t="array" ref="AI42:AI42">ЭнергоРесурсы!AH58</f>
        <v>0</v>
      </c>
      <c r="AJ42" s="517" cm="1" t="str">
        <f t="array" ref="AJ42:AJ42">ЭнергоРесурсы!AI58</f>
        <v>0</v>
      </c>
      <c r="AK42" s="517" cm="1" t="str">
        <f t="array" ref="AK42:AK42">ЭнергоРесурсы!AJ58</f>
        <v>0</v>
      </c>
      <c r="AL42" s="517" cm="1" t="str">
        <f t="array" ref="AL42:AL42">ЭнергоРесурсы!AK58</f>
        <v>0</v>
      </c>
      <c r="AM42" s="517" cm="1" t="str">
        <f t="array" ref="AM42:AM42">ЭнергоРесурсы!AL58</f>
        <v>0</v>
      </c>
      <c r="AN42" s="517" cm="1" t="str">
        <f t="array" ref="AN42:AN42">ЭнергоРесурсы!AM58</f>
        <v>0</v>
      </c>
      <c r="AO42" s="517" cm="1" t="str">
        <f t="array" ref="AO42:AO42">ЭнергоРесурсы!AN58</f>
        <v>0</v>
      </c>
      <c r="AP42" s="517" cm="1" t="str">
        <f t="array" ref="AP42:AP42">ЭнергоРесурсы!AO58</f>
        <v>0</v>
      </c>
      <c r="AQ42" s="517" cm="1" t="str">
        <f t="array" ref="AQ42:AQ42">ЭнергоРесурсы!AP58</f>
        <v>0</v>
      </c>
      <c r="AR42" s="517" cm="1" t="str">
        <f t="array" ref="AR42:AR42">ЭнергоРесурсы!AQ58</f>
        <v>0</v>
      </c>
      <c r="AS42" s="517" cm="1" t="str">
        <f t="array" ref="AS42:AS42">ЭнергоРесурсы!AR58</f>
        <v>0</v>
      </c>
      <c r="AT42" s="517" cm="1" t="str">
        <f t="array" ref="AT42:AT42">ЭнергоРесурсы!AS58</f>
        <v>0</v>
      </c>
      <c r="AU42" s="517" cm="1" t="str">
        <f t="array" ref="AU42:AU42">ЭнергоРесурсы!AT58</f>
        <v>0</v>
      </c>
      <c r="AV42" s="517" cm="1" t="str">
        <f t="array" ref="AV42:AV42">ЭнергоРесурсы!AU58</f>
        <v>0</v>
      </c>
      <c r="AW42" s="517" cm="1" t="str">
        <f t="array" ref="AW42:AW42">ЭнергоРесурсы!AV58</f>
        <v>0</v>
      </c>
      <c r="AX42" s="517" cm="1" t="str">
        <f t="array" ref="AX42:AX42">ЭнергоРесурсы!AW58</f>
        <v>0</v>
      </c>
      <c r="AY42" s="517" cm="1" t="str">
        <f t="array" ref="AY42:AY42">ЭнергоРесурсы!AX58</f>
        <v>0</v>
      </c>
      <c r="AZ42" s="517" cm="1" t="str">
        <f t="array" ref="AZ42:AZ42">ЭнергоРесурсы!AY58</f>
        <v>0</v>
      </c>
      <c r="BA42" s="517" cm="1" t="str">
        <f t="array" ref="BA42:BA42">ЭнергоРесурсы!AZ58</f>
        <v>0</v>
      </c>
      <c r="BB42" s="517" cm="1" t="str">
        <f t="array" ref="BB42:BB42">ЭнергоРесурсы!BA58</f>
        <v>0</v>
      </c>
      <c r="BC42" s="517" cm="1" t="str">
        <f t="array" ref="BC42:BC42">ЭнергоРесурсы!BB58</f>
        <v>0</v>
      </c>
      <c r="BD42" s="310">
        <f>IF(AI42=0,0,(AT42-AI42)/AI42*100)</f>
        <v>0</v>
      </c>
      <c r="BE42" s="310">
        <f>IF(AT42=0,0,(AU42-AT42)/AT42*100)</f>
        <v>0</v>
      </c>
      <c r="BF42" s="310">
        <f>IF(AU42=0,0,(AV42-AU42)/AU42*100)</f>
        <v>0</v>
      </c>
      <c r="BG42" s="310">
        <f>IF(AV42=0,0,(AW42-AV42)/AV42*100)</f>
        <v>0</v>
      </c>
      <c r="BH42" s="310">
        <f>IF(AW42=0,0,(AX42-AW42)/AW42*100)</f>
        <v>0</v>
      </c>
      <c r="BI42" s="310">
        <f>IF(AX42=0,0,(AY42-AX42)/AX42*100)</f>
        <v>0</v>
      </c>
      <c r="BJ42" s="310">
        <f>IF(AY42=0,0,(AZ42-AY42)/AY42*100)</f>
        <v>0</v>
      </c>
      <c r="BK42" s="310">
        <f>IF(AZ42=0,0,(BA42-AZ42)/AZ42*100)</f>
        <v>0</v>
      </c>
      <c r="BL42" s="310">
        <f>IF(BA42=0,0,(BB42-BA42)/BA42*100)</f>
        <v>0</v>
      </c>
      <c r="BM42" s="310">
        <f>IF(BB42=0,0,(BC42-BB42)/BB42*100)</f>
        <v>0</v>
      </c>
      <c r="BN42" s="73"/>
      <c r="BO42" s="73"/>
      <c r="BP42" s="73"/>
      <c r="BQ42" s="230"/>
      <c r="BR42" s="230"/>
      <c r="BS42" s="1206" t="s">
        <v>1391</v>
      </c>
    </row>
    <row s="1632" customFormat="1" customHeight="1" ht="16.5">
      <c r="A43" s="228"/>
      <c r="B43" s="927"/>
      <c r="C43" s="228"/>
      <c r="D43" s="228"/>
      <c r="E43" s="797">
        <v>17</v>
      </c>
      <c r="F43" s="922" cm="1" t="str">
        <f t="array" ref="F43:F43">OFFSET(G43,-1,-1)</f>
        <v>1</v>
      </c>
      <c r="G43" s="193" t="s">
        <v>996</v>
      </c>
      <c r="H43" s="230"/>
      <c r="I43" s="230"/>
      <c r="J43" s="230"/>
      <c r="K43" s="230"/>
      <c r="L43" s="230"/>
      <c r="M43" s="230"/>
      <c r="N43" s="230"/>
      <c r="O43" s="230"/>
      <c r="P43" s="230"/>
      <c r="Q43" s="193"/>
      <c r="R43" s="193"/>
      <c r="S43" s="230"/>
      <c r="T43" s="808" cm="1" t="str">
        <f t="array" ref="T43:T43">T41</f>
        <v>true</v>
      </c>
      <c r="U43" s="228"/>
      <c r="V43" s="228"/>
      <c r="W43" s="228"/>
      <c r="X43" s="228"/>
      <c r="Y43" s="228"/>
      <c r="Z43" s="228"/>
      <c r="AA43" s="230"/>
      <c r="AB43" s="578" t="s">
        <v>432</v>
      </c>
      <c r="AC43" s="1004" t="s">
        <v>997</v>
      </c>
      <c r="AD43" s="173" t="s">
        <v>1023</v>
      </c>
      <c r="AE43" s="310">
        <f>_xlfn.SUMIFS('ХВС, ТН'!AE$26:AE$56,'ХВС, ТН'!$F$26:$F$56,$F43,'ХВС, ТН'!$G$26:$G$56,$G43)</f>
        <v>265.11205</v>
      </c>
      <c r="AF43" s="310">
        <f>_xlfn.SUMIFS('ХВС, ТН'!AF$26:AF$56,'ХВС, ТН'!$F$26:$F$56,$F43,'ХВС, ТН'!$G$26:$G$56,$G43)</f>
        <v>265.12</v>
      </c>
      <c r="AG43" s="310">
        <f>_xlfn.SUMIFS('ХВС, ТН'!AG$26:AG$56,'ХВС, ТН'!$F$26:$F$56,$F43,'ХВС, ТН'!$G$26:$G$56,$G43)</f>
        <v>283.72</v>
      </c>
      <c r="AH43" s="310">
        <f>AG43-AF43</f>
        <v>18.6</v>
      </c>
      <c r="AI43" s="550">
        <f>_xlfn.SUMIFS('ХВС, ТН'!AH$26:AH$56,'ХВС, ТН'!$F$26:$F$56,$F43,'ХВС, ТН'!$G$26:$G$56,$G43)</f>
        <v>254.7558</v>
      </c>
      <c r="AJ43" s="550">
        <f>_xlfn.SUMIFS('ХВС, ТН'!AI$26:AI$56,'ХВС, ТН'!$F$26:$F$56,$F43,'ХВС, ТН'!$G$26:$G$56,$G43)</f>
        <v>277.96</v>
      </c>
      <c r="AK43" s="550">
        <f>_xlfn.SUMIFS('ХВС, ТН'!AJ$26:AJ$56,'ХВС, ТН'!$F$26:$F$56,$F43,'ХВС, ТН'!$G$26:$G$56,$G43)</f>
        <v>0</v>
      </c>
      <c r="AL43" s="550">
        <f>_xlfn.SUMIFS('ХВС, ТН'!AK$26:AK$56,'ХВС, ТН'!$F$26:$F$56,$F43,'ХВС, ТН'!$G$26:$G$56,$G43)</f>
        <v>0</v>
      </c>
      <c r="AM43" s="550">
        <f>_xlfn.SUMIFS('ХВС, ТН'!AL$26:AL$56,'ХВС, ТН'!$F$26:$F$56,$F43,'ХВС, ТН'!$G$26:$G$56,$G43)</f>
        <v>0</v>
      </c>
      <c r="AN43" s="550">
        <f>_xlfn.SUMIFS('ХВС, ТН'!AM$26:AM$56,'ХВС, ТН'!$F$26:$F$56,$F43,'ХВС, ТН'!$G$26:$G$56,$G43)</f>
        <v>0</v>
      </c>
      <c r="AO43" s="550">
        <f>_xlfn.SUMIFS('ХВС, ТН'!AN$26:AN$56,'ХВС, ТН'!$F$26:$F$56,$F43,'ХВС, ТН'!$G$26:$G$56,$G43)</f>
        <v>0</v>
      </c>
      <c r="AP43" s="550">
        <f>_xlfn.SUMIFS('ХВС, ТН'!AO$26:AO$56,'ХВС, ТН'!$F$26:$F$56,$F43,'ХВС, ТН'!$G$26:$G$56,$G43)</f>
        <v>0</v>
      </c>
      <c r="AQ43" s="550">
        <f>_xlfn.SUMIFS('ХВС, ТН'!AP$26:AP$56,'ХВС, ТН'!$F$26:$F$56,$F43,'ХВС, ТН'!$G$26:$G$56,$G43)</f>
        <v>0</v>
      </c>
      <c r="AR43" s="550">
        <f>_xlfn.SUMIFS('ХВС, ТН'!AQ$26:AQ$56,'ХВС, ТН'!$F$26:$F$56,$F43,'ХВС, ТН'!$G$26:$G$56,$G43)</f>
        <v>0</v>
      </c>
      <c r="AS43" s="550">
        <f>_xlfn.SUMIFS('ХВС, ТН'!AR$26:AR$56,'ХВС, ТН'!$F$26:$F$56,$F43,'ХВС, ТН'!$G$26:$G$56,$G43)</f>
        <v>0</v>
      </c>
      <c r="AT43" s="550">
        <f>_xlfn.SUMIFS('ХВС, ТН'!AS$26:AS$56,'ХВС, ТН'!$F$26:$F$56,$F43,'ХВС, ТН'!$G$26:$G$56,$G43)</f>
        <v>265.319769</v>
      </c>
      <c r="AU43" s="550">
        <f>_xlfn.SUMIFS('ХВС, ТН'!AT$26:AT$56,'ХВС, ТН'!$F$26:$F$56,$F43,'ХВС, ТН'!$G$26:$G$56,$G43)</f>
        <v>0</v>
      </c>
      <c r="AV43" s="550">
        <f>_xlfn.SUMIFS('ХВС, ТН'!AU$26:AU$56,'ХВС, ТН'!$F$26:$F$56,$F43,'ХВС, ТН'!$G$26:$G$56,$G43)</f>
        <v>0</v>
      </c>
      <c r="AW43" s="550">
        <f>_xlfn.SUMIFS('ХВС, ТН'!AV$26:AV$56,'ХВС, ТН'!$F$26:$F$56,$F43,'ХВС, ТН'!$G$26:$G$56,$G43)</f>
        <v>0</v>
      </c>
      <c r="AX43" s="550">
        <f>_xlfn.SUMIFS('ХВС, ТН'!AW$26:AW$56,'ХВС, ТН'!$F$26:$F$56,$F43,'ХВС, ТН'!$G$26:$G$56,$G43)</f>
        <v>0</v>
      </c>
      <c r="AY43" s="550">
        <f>_xlfn.SUMIFS('ХВС, ТН'!AX$26:AX$56,'ХВС, ТН'!$F$26:$F$56,$F43,'ХВС, ТН'!$G$26:$G$56,$G43)</f>
        <v>0</v>
      </c>
      <c r="AZ43" s="550">
        <f>_xlfn.SUMIFS('ХВС, ТН'!AY$26:AY$56,'ХВС, ТН'!$F$26:$F$56,$F43,'ХВС, ТН'!$G$26:$G$56,$G43)</f>
        <v>0</v>
      </c>
      <c r="BA43" s="550">
        <f>_xlfn.SUMIFS('ХВС, ТН'!AZ$26:AZ$56,'ХВС, ТН'!$F$26:$F$56,$F43,'ХВС, ТН'!$G$26:$G$56,$G43)</f>
        <v>0</v>
      </c>
      <c r="BB43" s="550">
        <f>_xlfn.SUMIFS('ХВС, ТН'!BA$26:BA$56,'ХВС, ТН'!$F$26:$F$56,$F43,'ХВС, ТН'!$G$26:$G$56,$G43)</f>
        <v>0</v>
      </c>
      <c r="BC43" s="550">
        <f>_xlfn.SUMIFS('ХВС, ТН'!BB$26:BB$56,'ХВС, ТН'!$F$26:$F$56,$F43,'ХВС, ТН'!$G$26:$G$56,$G43)</f>
        <v>0</v>
      </c>
      <c r="BD43" s="310">
        <f>IF(AI43=0,0,(AT43-AI43)/AI43*100)</f>
        <v>4.14670402008512</v>
      </c>
      <c r="BE43" s="310">
        <f>IF(AT43=0,0,(AU43-AT43)/AT43*100)</f>
        <v>-100</v>
      </c>
      <c r="BF43" s="310">
        <f>IF(AU43=0,0,(AV43-AU43)/AU43*100)</f>
        <v>0</v>
      </c>
      <c r="BG43" s="310">
        <f>IF(AV43=0,0,(AW43-AV43)/AV43*100)</f>
        <v>0</v>
      </c>
      <c r="BH43" s="310">
        <f>IF(AW43=0,0,(AX43-AW43)/AW43*100)</f>
        <v>0</v>
      </c>
      <c r="BI43" s="310">
        <f>IF(AX43=0,0,(AY43-AX43)/AX43*100)</f>
        <v>0</v>
      </c>
      <c r="BJ43" s="310">
        <f>IF(AY43=0,0,(AZ43-AY43)/AY43*100)</f>
        <v>0</v>
      </c>
      <c r="BK43" s="310">
        <f>IF(AZ43=0,0,(BA43-AZ43)/AZ43*100)</f>
        <v>0</v>
      </c>
      <c r="BL43" s="310">
        <f>IF(BA43=0,0,(BB43-BA43)/BA43*100)</f>
        <v>0</v>
      </c>
      <c r="BM43" s="310">
        <f>IF(BB43=0,0,(BC43-BB43)/BB43*100)</f>
        <v>0</v>
      </c>
      <c r="BN43" s="1719"/>
      <c r="BO43" s="1719"/>
      <c r="BP43" s="1719"/>
      <c r="BQ43" s="230"/>
      <c r="BR43" s="230"/>
      <c r="BS43" s="1206" t="s">
        <v>1392</v>
      </c>
    </row>
    <row s="1632" customFormat="1" customHeight="1" ht="16.5">
      <c r="A44" s="228"/>
      <c r="B44" s="927"/>
      <c r="C44" s="228"/>
      <c r="D44" s="228"/>
      <c r="E44" s="797">
        <v>17</v>
      </c>
      <c r="F44" s="922" cm="1" t="str">
        <f t="array" ref="F44:F44">OFFSET(G44,-1,-1)</f>
        <v>1</v>
      </c>
      <c r="G44" s="193" t="s">
        <v>1007</v>
      </c>
      <c r="H44" s="230"/>
      <c r="I44" s="230"/>
      <c r="J44" s="230"/>
      <c r="K44" s="230"/>
      <c r="L44" s="230"/>
      <c r="M44" s="230"/>
      <c r="N44" s="230"/>
      <c r="O44" s="230"/>
      <c r="P44" s="230"/>
      <c r="Q44" s="193"/>
      <c r="R44" s="193"/>
      <c r="S44" s="230"/>
      <c r="T44" s="808" cm="1" t="str">
        <f t="array" ref="T44:T44">T43</f>
        <v>true</v>
      </c>
      <c r="U44" s="228"/>
      <c r="V44" s="228"/>
      <c r="W44" s="228"/>
      <c r="X44" s="228"/>
      <c r="Y44" s="228"/>
      <c r="Z44" s="228"/>
      <c r="AA44" s="230"/>
      <c r="AB44" s="578" t="s">
        <v>435</v>
      </c>
      <c r="AC44" s="1004" t="s">
        <v>1008</v>
      </c>
      <c r="AD44" s="173" t="s">
        <v>1023</v>
      </c>
      <c r="AE44" s="310">
        <f>_xlfn.SUMIFS('ХВС, ТН'!AE$26:AE$56,'ХВС, ТН'!$F$26:$F$56,$F44,'ХВС, ТН'!$G$26:$G$56,$G44)</f>
        <v>0</v>
      </c>
      <c r="AF44" s="310">
        <f>_xlfn.SUMIFS('ХВС, ТН'!AF$26:AF$56,'ХВС, ТН'!$F$26:$F$56,$F44,'ХВС, ТН'!$G$26:$G$56,$G44)</f>
        <v>0</v>
      </c>
      <c r="AG44" s="310">
        <f>_xlfn.SUMIFS('ХВС, ТН'!AG$26:AG$56,'ХВС, ТН'!$F$26:$F$56,$F44,'ХВС, ТН'!$G$26:$G$56,$G44)</f>
        <v>0</v>
      </c>
      <c r="AH44" s="310">
        <f>AG44-AF44</f>
        <v>0</v>
      </c>
      <c r="AI44" s="550">
        <f>_xlfn.SUMIFS('ХВС, ТН'!AH$26:AH$56,'ХВС, ТН'!$F$26:$F$56,$F44,'ХВС, ТН'!$G$26:$G$56,$G44)</f>
        <v>0</v>
      </c>
      <c r="AJ44" s="550">
        <f>_xlfn.SUMIFS('ХВС, ТН'!AI$26:AI$56,'ХВС, ТН'!$F$26:$F$56,$F44,'ХВС, ТН'!$G$26:$G$56,$G44)</f>
        <v>0</v>
      </c>
      <c r="AK44" s="550">
        <f>_xlfn.SUMIFS('ХВС, ТН'!AJ$26:AJ$56,'ХВС, ТН'!$F$26:$F$56,$F44,'ХВС, ТН'!$G$26:$G$56,$G44)</f>
        <v>0</v>
      </c>
      <c r="AL44" s="550">
        <f>_xlfn.SUMIFS('ХВС, ТН'!AK$26:AK$56,'ХВС, ТН'!$F$26:$F$56,$F44,'ХВС, ТН'!$G$26:$G$56,$G44)</f>
        <v>0</v>
      </c>
      <c r="AM44" s="550">
        <f>_xlfn.SUMIFS('ХВС, ТН'!AL$26:AL$56,'ХВС, ТН'!$F$26:$F$56,$F44,'ХВС, ТН'!$G$26:$G$56,$G44)</f>
        <v>0</v>
      </c>
      <c r="AN44" s="550">
        <f>_xlfn.SUMIFS('ХВС, ТН'!AM$26:AM$56,'ХВС, ТН'!$F$26:$F$56,$F44,'ХВС, ТН'!$G$26:$G$56,$G44)</f>
        <v>0</v>
      </c>
      <c r="AO44" s="550">
        <f>_xlfn.SUMIFS('ХВС, ТН'!AN$26:AN$56,'ХВС, ТН'!$F$26:$F$56,$F44,'ХВС, ТН'!$G$26:$G$56,$G44)</f>
        <v>0</v>
      </c>
      <c r="AP44" s="550">
        <f>_xlfn.SUMIFS('ХВС, ТН'!AO$26:AO$56,'ХВС, ТН'!$F$26:$F$56,$F44,'ХВС, ТН'!$G$26:$G$56,$G44)</f>
        <v>0</v>
      </c>
      <c r="AQ44" s="550">
        <f>_xlfn.SUMIFS('ХВС, ТН'!AP$26:AP$56,'ХВС, ТН'!$F$26:$F$56,$F44,'ХВС, ТН'!$G$26:$G$56,$G44)</f>
        <v>0</v>
      </c>
      <c r="AR44" s="550">
        <f>_xlfn.SUMIFS('ХВС, ТН'!AQ$26:AQ$56,'ХВС, ТН'!$F$26:$F$56,$F44,'ХВС, ТН'!$G$26:$G$56,$G44)</f>
        <v>0</v>
      </c>
      <c r="AS44" s="550">
        <f>_xlfn.SUMIFS('ХВС, ТН'!AR$26:AR$56,'ХВС, ТН'!$F$26:$F$56,$F44,'ХВС, ТН'!$G$26:$G$56,$G44)</f>
        <v>0</v>
      </c>
      <c r="AT44" s="550">
        <f>_xlfn.SUMIFS('ХВС, ТН'!AS$26:AS$56,'ХВС, ТН'!$F$26:$F$56,$F44,'ХВС, ТН'!$G$26:$G$56,$G44)</f>
        <v>0</v>
      </c>
      <c r="AU44" s="550">
        <f>_xlfn.SUMIFS('ХВС, ТН'!AT$26:AT$56,'ХВС, ТН'!$F$26:$F$56,$F44,'ХВС, ТН'!$G$26:$G$56,$G44)</f>
        <v>0</v>
      </c>
      <c r="AV44" s="550">
        <f>_xlfn.SUMIFS('ХВС, ТН'!AU$26:AU$56,'ХВС, ТН'!$F$26:$F$56,$F44,'ХВС, ТН'!$G$26:$G$56,$G44)</f>
        <v>0</v>
      </c>
      <c r="AW44" s="550">
        <f>_xlfn.SUMIFS('ХВС, ТН'!AV$26:AV$56,'ХВС, ТН'!$F$26:$F$56,$F44,'ХВС, ТН'!$G$26:$G$56,$G44)</f>
        <v>0</v>
      </c>
      <c r="AX44" s="550">
        <f>_xlfn.SUMIFS('ХВС, ТН'!AW$26:AW$56,'ХВС, ТН'!$F$26:$F$56,$F44,'ХВС, ТН'!$G$26:$G$56,$G44)</f>
        <v>0</v>
      </c>
      <c r="AY44" s="550">
        <f>_xlfn.SUMIFS('ХВС, ТН'!AX$26:AX$56,'ХВС, ТН'!$F$26:$F$56,$F44,'ХВС, ТН'!$G$26:$G$56,$G44)</f>
        <v>0</v>
      </c>
      <c r="AZ44" s="550">
        <f>_xlfn.SUMIFS('ХВС, ТН'!AY$26:AY$56,'ХВС, ТН'!$F$26:$F$56,$F44,'ХВС, ТН'!$G$26:$G$56,$G44)</f>
        <v>0</v>
      </c>
      <c r="BA44" s="550">
        <f>_xlfn.SUMIFS('ХВС, ТН'!AZ$26:AZ$56,'ХВС, ТН'!$F$26:$F$56,$F44,'ХВС, ТН'!$G$26:$G$56,$G44)</f>
        <v>0</v>
      </c>
      <c r="BB44" s="550">
        <f>_xlfn.SUMIFS('ХВС, ТН'!BA$26:BA$56,'ХВС, ТН'!$F$26:$F$56,$F44,'ХВС, ТН'!$G$26:$G$56,$G44)</f>
        <v>0</v>
      </c>
      <c r="BC44" s="550">
        <f>_xlfn.SUMIFS('ХВС, ТН'!BB$26:BB$56,'ХВС, ТН'!$F$26:$F$56,$F44,'ХВС, ТН'!$G$26:$G$56,$G44)</f>
        <v>0</v>
      </c>
      <c r="BD44" s="310">
        <f>IF(AI44=0,0,(AT44-AI44)/AI44*100)</f>
        <v>0</v>
      </c>
      <c r="BE44" s="310">
        <f>IF(AT44=0,0,(AU44-AT44)/AT44*100)</f>
        <v>0</v>
      </c>
      <c r="BF44" s="310">
        <f>IF(AU44=0,0,(AV44-AU44)/AU44*100)</f>
        <v>0</v>
      </c>
      <c r="BG44" s="310">
        <f>IF(AV44=0,0,(AW44-AV44)/AV44*100)</f>
        <v>0</v>
      </c>
      <c r="BH44" s="310">
        <f>IF(AW44=0,0,(AX44-AW44)/AW44*100)</f>
        <v>0</v>
      </c>
      <c r="BI44" s="310">
        <f>IF(AX44=0,0,(AY44-AX44)/AX44*100)</f>
        <v>0</v>
      </c>
      <c r="BJ44" s="310">
        <f>IF(AY44=0,0,(AZ44-AY44)/AY44*100)</f>
        <v>0</v>
      </c>
      <c r="BK44" s="310">
        <f>IF(AZ44=0,0,(BA44-AZ44)/AZ44*100)</f>
        <v>0</v>
      </c>
      <c r="BL44" s="310">
        <f>IF(BA44=0,0,(BB44-BA44)/BA44*100)</f>
        <v>0</v>
      </c>
      <c r="BM44" s="310">
        <f>IF(BB44=0,0,(BC44-BB44)/BB44*100)</f>
        <v>0</v>
      </c>
      <c r="BN44" s="1719"/>
      <c r="BO44" s="1719"/>
      <c r="BP44" s="1719"/>
      <c r="BQ44" s="230"/>
      <c r="BR44" s="230"/>
      <c r="BS44" s="1206" t="s">
        <v>1393</v>
      </c>
    </row>
    <row s="1632" customFormat="1" customHeight="1" ht="16.5">
      <c r="A45" s="228"/>
      <c r="B45" s="927"/>
      <c r="C45" s="228"/>
      <c r="D45" s="228"/>
      <c r="E45" s="797">
        <v>17</v>
      </c>
      <c r="F45" s="922" cm="1" t="str">
        <f t="array" ref="F45:F45">OFFSET(G45,-1,-1)</f>
        <v>1</v>
      </c>
      <c r="G45" s="193" t="s">
        <v>1394</v>
      </c>
      <c r="H45" s="230"/>
      <c r="I45" s="230"/>
      <c r="J45" s="230"/>
      <c r="K45" s="230"/>
      <c r="L45" s="230"/>
      <c r="M45" s="230"/>
      <c r="N45" s="230"/>
      <c r="O45" s="230"/>
      <c r="P45" s="230"/>
      <c r="Q45" s="193"/>
      <c r="R45" s="193"/>
      <c r="S45" s="230"/>
      <c r="T45" s="808" cm="1" t="str">
        <f t="array" ref="T45:T45">T44</f>
        <v>true</v>
      </c>
      <c r="U45" s="228"/>
      <c r="V45" s="228"/>
      <c r="W45" s="228"/>
      <c r="X45" s="228"/>
      <c r="Y45" s="228"/>
      <c r="Z45" s="228"/>
      <c r="AA45" s="230"/>
      <c r="AB45" s="1081" t="s">
        <v>637</v>
      </c>
      <c r="AC45" s="163" t="s">
        <v>1377</v>
      </c>
      <c r="AD45" s="325" t="s">
        <v>1023</v>
      </c>
      <c r="AE45" s="309">
        <f>AE39+AE40+AE41+AE43+AE44</f>
        <v>9435.32235</v>
      </c>
      <c r="AF45" s="309">
        <f>AF39+AF40+AF41+AF43+AF44</f>
        <v>11710.47</v>
      </c>
      <c r="AG45" s="309">
        <f>AG39+AG40+AG41+AG43+AG44</f>
        <v>9811.10571428572</v>
      </c>
      <c r="AH45" s="309">
        <f>AG45-AF45</f>
        <v>-1899.36428571428</v>
      </c>
      <c r="AI45" s="1082">
        <f>AI39+AI40+AI41+AI43+AI44</f>
        <v>8812.1897414</v>
      </c>
      <c r="AJ45" s="670">
        <f>AJ39+AJ40+AJ41+AJ43+AJ44</f>
        <v>10096.411685</v>
      </c>
      <c r="AK45" s="670">
        <f>AK39+AK40+AK41+AK43+AK44</f>
        <v>0</v>
      </c>
      <c r="AL45" s="670">
        <f>AL39+AL40+AL41+AL43+AL44</f>
        <v>0</v>
      </c>
      <c r="AM45" s="670">
        <f>AM39+AM40+AM41+AM43+AM44</f>
        <v>0</v>
      </c>
      <c r="AN45" s="670">
        <f>AN39+AN40+AN41+AN43+AN44</f>
        <v>0</v>
      </c>
      <c r="AO45" s="670">
        <f>AO39+AO40+AO41+AO43+AO44</f>
        <v>0</v>
      </c>
      <c r="AP45" s="670">
        <f>AP39+AP40+AP41+AP43+AP44</f>
        <v>0</v>
      </c>
      <c r="AQ45" s="670">
        <f>AQ39+AQ40+AQ41+AQ43+AQ44</f>
        <v>0</v>
      </c>
      <c r="AR45" s="670">
        <f>AR39+AR40+AR41+AR43+AR44</f>
        <v>0</v>
      </c>
      <c r="AS45" s="670">
        <f>AS39+AS40+AS41+AS43+AS44</f>
        <v>0</v>
      </c>
      <c r="AT45" s="670">
        <f>AT39+AT40+AT41+AT43+AT44</f>
        <v>9372.61470933618</v>
      </c>
      <c r="AU45" s="670">
        <f>AU39+AU40+AU41+AU43+AU44</f>
        <v>0</v>
      </c>
      <c r="AV45" s="670">
        <f>AV39+AV40+AV41+AV43+AV44</f>
        <v>0</v>
      </c>
      <c r="AW45" s="670">
        <f>AW39+AW40+AW41+AW43+AW44</f>
        <v>0</v>
      </c>
      <c r="AX45" s="670">
        <f>AX39+AX40+AX41+AX43+AX44</f>
        <v>0</v>
      </c>
      <c r="AY45" s="670">
        <f>AY39+AY40+AY41+AY43+AY44</f>
        <v>0</v>
      </c>
      <c r="AZ45" s="670">
        <f>AZ39+AZ40+AZ41+AZ43+AZ44</f>
        <v>0</v>
      </c>
      <c r="BA45" s="670">
        <f>BA39+BA40+BA41+BA43+BA44</f>
        <v>0</v>
      </c>
      <c r="BB45" s="670">
        <f>BB39+BB40+BB41+BB43+BB44</f>
        <v>0</v>
      </c>
      <c r="BC45" s="670">
        <f>BC39+BC40+BC41+BC43+BC44</f>
        <v>0</v>
      </c>
      <c r="BD45" s="670">
        <f>IF(AI45=0,0,(AT45-AI45)/AI45*100)</f>
        <v>6.35965616245509</v>
      </c>
      <c r="BE45" s="670">
        <f>IF(AT45=0,0,(AU45-AT45)/AT45*100)</f>
        <v>-100</v>
      </c>
      <c r="BF45" s="670">
        <f>IF(AU45=0,0,(AV45-AU45)/AU45*100)</f>
        <v>0</v>
      </c>
      <c r="BG45" s="670">
        <f>IF(AV45=0,0,(AW45-AV45)/AV45*100)</f>
        <v>0</v>
      </c>
      <c r="BH45" s="670">
        <f>IF(AW45=0,0,(AX45-AW45)/AW45*100)</f>
        <v>0</v>
      </c>
      <c r="BI45" s="670">
        <f>IF(AX45=0,0,(AY45-AX45)/AX45*100)</f>
        <v>0</v>
      </c>
      <c r="BJ45" s="670">
        <f>IF(AY45=0,0,(AZ45-AY45)/AY45*100)</f>
        <v>0</v>
      </c>
      <c r="BK45" s="670">
        <f>IF(AZ45=0,0,(BA45-AZ45)/AZ45*100)</f>
        <v>0</v>
      </c>
      <c r="BL45" s="670">
        <f>IF(BA45=0,0,(BB45-BA45)/BA45*100)</f>
        <v>0</v>
      </c>
      <c r="BM45" s="670">
        <f>IF(BB45=0,0,(BC45-BB45)/BB45*100)</f>
        <v>0</v>
      </c>
      <c r="BN45" s="1721"/>
      <c r="BO45" s="1721"/>
      <c r="BP45" s="1721"/>
      <c r="BQ45" s="230"/>
      <c r="BR45" s="230"/>
      <c r="BS45" s="1206" t="s">
        <v>600</v>
      </c>
    </row>
    <row s="1632" customFormat="1" customHeight="1" ht="16.5" hidden="1">
      <c r="A46" s="228"/>
      <c r="B46" s="927"/>
      <c r="C46" s="228"/>
      <c r="D46" s="228"/>
      <c r="E46" s="797">
        <v>17</v>
      </c>
      <c r="F46" s="922" cm="1" t="str">
        <f t="array" ref="F46:F46">OFFSET(G46,-1,-1)</f>
        <v>1</v>
      </c>
      <c r="G46" s="193" t="s">
        <v>966</v>
      </c>
      <c r="H46" s="230"/>
      <c r="I46" s="230"/>
      <c r="J46" s="230"/>
      <c r="K46" s="230"/>
      <c r="L46" s="230"/>
      <c r="M46" s="230"/>
      <c r="N46" s="230"/>
      <c r="O46" s="230"/>
      <c r="P46" s="230"/>
      <c r="Q46" s="193"/>
      <c r="R46" s="193" t="s">
        <v>967</v>
      </c>
      <c r="S46" s="230"/>
      <c r="T46" s="808" cm="1" t="str">
        <f t="array" ref="T46:T46">T42</f>
        <v>false</v>
      </c>
      <c r="U46" s="228"/>
      <c r="V46" s="228"/>
      <c r="W46" s="228"/>
      <c r="X46" s="228"/>
      <c r="Y46" s="228"/>
      <c r="Z46" s="228"/>
      <c r="AA46" s="230"/>
      <c r="AB46" s="580" t="s">
        <v>1395</v>
      </c>
      <c r="AC46" s="294" t="s">
        <v>969</v>
      </c>
      <c r="AD46" s="154" t="s">
        <v>810</v>
      </c>
      <c r="AE46" s="310">
        <f>SUM(AE39,AE42)</f>
        <v>5673.56</v>
      </c>
      <c r="AF46" s="310">
        <f>SUM(AF39,AF42)</f>
        <v>7937.13</v>
      </c>
      <c r="AG46" s="310">
        <f>SUM(AG39,AG42)</f>
        <v>5920.92571428572</v>
      </c>
      <c r="AH46" s="310">
        <f>AG46-AF46</f>
        <v>-2016.20428571428</v>
      </c>
      <c r="AI46" s="517">
        <f>SUM(AI39,AI42)</f>
        <v>5136.98</v>
      </c>
      <c r="AJ46" s="310">
        <f>SUM(AJ39,AJ42)</f>
        <v>5528.831685</v>
      </c>
      <c r="AK46" s="310">
        <f>SUM(AK39,AK42)</f>
        <v>0</v>
      </c>
      <c r="AL46" s="310">
        <f>SUM(AL39,AL42)</f>
        <v>0</v>
      </c>
      <c r="AM46" s="310">
        <f>SUM(AM39,AM42)</f>
        <v>0</v>
      </c>
      <c r="AN46" s="310">
        <f>SUM(AN39,AN42)</f>
        <v>0</v>
      </c>
      <c r="AO46" s="310">
        <f>SUM(AO39,AO42)</f>
        <v>0</v>
      </c>
      <c r="AP46" s="310">
        <f>SUM(AP39,AP42)</f>
        <v>0</v>
      </c>
      <c r="AQ46" s="310">
        <f>SUM(AQ39,AQ42)</f>
        <v>0</v>
      </c>
      <c r="AR46" s="310">
        <f>SUM(AR39,AR42)</f>
        <v>0</v>
      </c>
      <c r="AS46" s="310">
        <f>SUM(AS39,AS42)</f>
        <v>0</v>
      </c>
      <c r="AT46" s="310">
        <f>SUM(AT39,AT42)</f>
        <v>5385.60454893618</v>
      </c>
      <c r="AU46" s="310">
        <f>SUM(AU39,AU42)</f>
        <v>0</v>
      </c>
      <c r="AV46" s="310">
        <f>SUM(AV39,AV42)</f>
        <v>0</v>
      </c>
      <c r="AW46" s="310">
        <f>SUM(AW39,AW42)</f>
        <v>0</v>
      </c>
      <c r="AX46" s="310">
        <f>SUM(AX39,AX42)</f>
        <v>0</v>
      </c>
      <c r="AY46" s="310">
        <f>SUM(AY39,AY42)</f>
        <v>0</v>
      </c>
      <c r="AZ46" s="310">
        <f>SUM(AZ39,AZ42)</f>
        <v>0</v>
      </c>
      <c r="BA46" s="310">
        <f>SUM(BA39,BA42)</f>
        <v>0</v>
      </c>
      <c r="BB46" s="310">
        <f>SUM(BB39,BB42)</f>
        <v>0</v>
      </c>
      <c r="BC46" s="310">
        <f>SUM(BC39,BC42)</f>
        <v>0</v>
      </c>
      <c r="BD46" s="310">
        <f>IF(AI46=0,0,(AT46-AI46)/AI46*100)</f>
        <v>4.8398971562315</v>
      </c>
      <c r="BE46" s="310">
        <f>IF(AT46=0,0,(AU46-AT46)/AT46*100)</f>
        <v>-100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9"/>
      <c r="BO46" s="79"/>
      <c r="BP46" s="79"/>
      <c r="BQ46" s="230"/>
      <c r="BR46" s="230"/>
      <c r="BS46" s="1206" t="s">
        <v>1396</v>
      </c>
    </row>
    <row customHeight="1" ht="9.945">
      <c r="E47" s="797">
        <v>10.2</v>
      </c>
      <c r="U47" s="179" t="s">
        <v>236</v>
      </c>
      <c r="V47" s="171" t="s">
        <v>1397</v>
      </c>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S47" s="1206"/>
    </row>
    <row customHeight="1" ht="11.25" hidden="1">
      <c r="E48" s="797">
        <v>0</v>
      </c>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row>
    <row customHeight="1" ht="14.625">
      <c r="E49" s="797">
        <v>15</v>
      </c>
      <c r="AB49" s="1530" t="s">
        <v>705</v>
      </c>
      <c r="AC49" s="1530"/>
      <c r="AD49" s="1530"/>
      <c r="AE49" s="1530"/>
      <c r="AF49" s="1530"/>
      <c r="AG49" s="1530"/>
      <c r="AH49" s="1530"/>
      <c r="AI49" s="1530"/>
      <c r="AJ49" s="1530"/>
      <c r="AK49" s="1530"/>
      <c r="AL49" s="1530"/>
      <c r="AM49" s="1530"/>
      <c r="AN49" s="1530"/>
      <c r="AO49" s="1530"/>
      <c r="AP49" s="1530"/>
      <c r="AQ49" s="1530"/>
      <c r="AR49" s="1530"/>
      <c r="AS49" s="1530"/>
      <c r="AT49" s="1530"/>
      <c r="AU49" s="1530"/>
      <c r="AV49" s="1530"/>
      <c r="AW49" s="1530"/>
      <c r="AX49" s="1530"/>
      <c r="AY49" s="1530"/>
      <c r="AZ49" s="1530"/>
      <c r="BA49" s="1530"/>
      <c r="BB49" s="1530"/>
      <c r="BC49" s="1530"/>
      <c r="BD49" s="1530"/>
      <c r="BE49" s="1530"/>
      <c r="BF49" s="1530"/>
      <c r="BG49" s="1530"/>
      <c r="BH49" s="1530"/>
      <c r="BI49" s="1530"/>
      <c r="BJ49" s="1530"/>
      <c r="BK49" s="1530"/>
      <c r="BL49" s="1530"/>
      <c r="BM49" s="1530"/>
      <c r="BN49" s="1530"/>
      <c r="BO49" s="1530"/>
      <c r="BP49" s="1530"/>
    </row>
    <row customHeight="1" ht="14.625">
      <c r="E50" s="797">
        <v>15</v>
      </c>
      <c r="AA50" s="921"/>
      <c r="AB50" s="1543"/>
      <c r="AC50" s="1544"/>
      <c r="AD50" s="1544"/>
      <c r="AE50" s="1544"/>
      <c r="AF50" s="1544"/>
      <c r="AG50" s="1544"/>
      <c r="AH50" s="1544"/>
      <c r="AI50" s="1544"/>
      <c r="AJ50" s="1544"/>
      <c r="AK50" s="1544"/>
      <c r="AL50" s="1544"/>
      <c r="AM50" s="1544"/>
      <c r="AN50" s="1544"/>
      <c r="AO50" s="1544"/>
      <c r="AP50" s="1544"/>
      <c r="AQ50" s="1544"/>
      <c r="AR50" s="1544"/>
      <c r="AS50" s="1544"/>
      <c r="AT50" s="1544"/>
      <c r="AU50" s="1544"/>
      <c r="AV50" s="1544"/>
      <c r="AW50" s="1544"/>
      <c r="AX50" s="1544"/>
      <c r="AY50" s="1544"/>
      <c r="AZ50" s="1544"/>
      <c r="BA50" s="1544"/>
      <c r="BB50" s="1544"/>
      <c r="BC50" s="1544"/>
      <c r="BD50" s="1544"/>
      <c r="BE50" s="1544"/>
      <c r="BF50" s="1544"/>
      <c r="BG50" s="1544"/>
      <c r="BH50" s="1544"/>
      <c r="BI50" s="1544"/>
      <c r="BJ50" s="1544"/>
      <c r="BK50" s="1544"/>
      <c r="BL50" s="1544"/>
      <c r="BM50" s="1544"/>
      <c r="BN50" s="1544"/>
      <c r="BO50" s="1544"/>
      <c r="BP50" s="1544"/>
    </row>
    <row customHeight="1" ht="14.625" hidden="1">
      <c r="A51" s="228"/>
      <c r="B51" s="927"/>
      <c r="C51" s="228"/>
      <c r="D51" s="228"/>
      <c r="E51" s="797">
        <v>15</v>
      </c>
      <c r="F51" s="228"/>
      <c r="G51" s="230"/>
      <c r="H51" s="230"/>
      <c r="I51" s="230"/>
      <c r="J51" s="230"/>
      <c r="K51" s="230"/>
      <c r="L51" s="230"/>
      <c r="M51" s="230"/>
      <c r="N51" s="230"/>
      <c r="O51" s="230"/>
      <c r="P51" s="230"/>
      <c r="Q51" s="193"/>
      <c r="R51" s="193"/>
      <c r="S51" s="230"/>
      <c r="T51" s="808">
        <f>ROW(W51)&gt;ROW(W$51)</f>
        <v>0</v>
      </c>
      <c r="U51" s="175"/>
      <c r="V51" s="175"/>
      <c r="W51" s="175" t="s">
        <v>234</v>
      </c>
      <c r="X51" s="175"/>
      <c r="Y51" s="175"/>
      <c r="Z51" s="175"/>
      <c r="AA51" s="917" t="s">
        <v>218</v>
      </c>
      <c r="AB51" s="1932"/>
      <c r="AC51" s="1544"/>
      <c r="AD51" s="1544"/>
      <c r="AE51" s="1544"/>
      <c r="AF51" s="1544"/>
      <c r="AG51" s="1544"/>
      <c r="AH51" s="1544"/>
      <c r="AI51" s="1544"/>
      <c r="AJ51" s="1544"/>
      <c r="AK51" s="1544"/>
      <c r="AL51" s="1544"/>
      <c r="AM51" s="1544"/>
      <c r="AN51" s="1544"/>
      <c r="AO51" s="1544"/>
      <c r="AP51" s="1544"/>
      <c r="AQ51" s="1544"/>
      <c r="AR51" s="1544"/>
      <c r="AS51" s="1544"/>
      <c r="AT51" s="1544"/>
      <c r="AU51" s="1544"/>
      <c r="AV51" s="1544"/>
      <c r="AW51" s="1544"/>
      <c r="AX51" s="1544"/>
      <c r="AY51" s="1544"/>
      <c r="AZ51" s="1544"/>
      <c r="BA51" s="1544"/>
      <c r="BB51" s="1544"/>
      <c r="BC51" s="1544"/>
      <c r="BD51" s="1544"/>
      <c r="BE51" s="1544"/>
      <c r="BF51" s="1544"/>
      <c r="BG51" s="1544"/>
      <c r="BH51" s="1544"/>
      <c r="BI51" s="1544"/>
      <c r="BJ51" s="1544"/>
      <c r="BK51" s="1544"/>
      <c r="BL51" s="1544"/>
      <c r="BM51" s="1544"/>
      <c r="BN51" s="1544"/>
      <c r="BO51" s="1544"/>
      <c r="BP51" s="1544"/>
      <c r="BQ51" s="230"/>
      <c r="BR51" s="230"/>
      <c r="BS51" s="1233"/>
    </row>
    <row customHeight="1" ht="14.625">
      <c r="E52" s="797">
        <v>15</v>
      </c>
      <c r="T52" s="175"/>
      <c r="U52" s="175"/>
      <c r="V52" s="175"/>
      <c r="W52" s="171" t="s">
        <v>235</v>
      </c>
      <c r="X52" s="175"/>
      <c r="Y52" s="175"/>
      <c r="Z52" s="175"/>
      <c r="AA52" s="213"/>
      <c r="AB52" s="1478" t="s">
        <v>706</v>
      </c>
      <c r="AC52" s="1479"/>
      <c r="AD52" s="383"/>
      <c r="AE52" s="383"/>
      <c r="AF52" s="383"/>
      <c r="AG52" s="383"/>
      <c r="AH52" s="383"/>
      <c r="AI52" s="383"/>
      <c r="AJ52" s="383"/>
      <c r="AK52" s="383"/>
      <c r="AL52" s="383"/>
      <c r="AM52" s="383"/>
      <c r="AN52" s="383"/>
      <c r="AO52" s="383"/>
      <c r="AP52" s="383"/>
      <c r="AQ52" s="383"/>
      <c r="AR52" s="383"/>
      <c r="AS52" s="383"/>
      <c r="AT52" s="383"/>
      <c r="AU52" s="383"/>
      <c r="AV52" s="383"/>
      <c r="AW52" s="383"/>
      <c r="AX52" s="383"/>
      <c r="AY52" s="383"/>
      <c r="AZ52" s="383"/>
      <c r="BA52" s="383"/>
      <c r="BB52" s="383"/>
      <c r="BC52" s="383"/>
      <c r="BD52" s="383"/>
      <c r="BE52" s="383"/>
      <c r="BF52" s="383"/>
      <c r="BG52" s="383"/>
      <c r="BH52" s="383"/>
      <c r="BI52" s="383"/>
      <c r="BJ52" s="383"/>
      <c r="BK52" s="383"/>
      <c r="BL52" s="383"/>
      <c r="BM52" s="383"/>
      <c r="BN52" s="383"/>
      <c r="BO52" s="383"/>
      <c r="BP52" s="350"/>
    </row>
    <row customHeight="1" ht="11.25">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Q53" s="230"/>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06308-79F3-DE98-9501-DBC210F113EF}"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H119" sqref="AH119"/>
    </sheetView>
  </sheetViews>
  <sheetFormatPr defaultColWidth="9.140625" customHeight="1" defaultRowHeight="11.25"/>
  <cols>
    <col min="1" max="1" style="1443" width="3.57421875" hidden="1" customWidth="1"/>
    <col min="2" max="2" style="927" width="8.57421875" hidden="1" customWidth="1"/>
    <col min="3" max="4" style="1443" width="3.57421875" hidden="1" customWidth="1"/>
    <col min="5" max="5" style="925" width="8.421875" hidden="1" customWidth="1"/>
    <col min="6" max="6" style="1443" width="6.421875" hidden="1" customWidth="1"/>
    <col min="7" max="16" style="965" width="3.57421875" hidden="1" customWidth="1"/>
    <col min="17" max="18" style="928" width="3.57421875" hidden="1" customWidth="1"/>
    <col min="19" max="19" style="965" width="3.57421875" hidden="1" customWidth="1"/>
    <col min="20" max="20" style="1443" width="8.28125" hidden="1" customWidth="1"/>
    <col min="21" max="21" style="1443" width="6.00390625" hidden="1" customWidth="1"/>
    <col min="22" max="23" style="1443" width="6.28125" hidden="1" customWidth="1"/>
    <col min="24" max="25" style="1443" width="5.7109375" hidden="1" customWidth="1"/>
    <col min="26" max="26" style="1443" width="5.421875" hidden="1" customWidth="1"/>
    <col min="27" max="27" style="937" width="3.00390625" customWidth="1"/>
    <col min="28" max="28" style="972" width="15.00390625" customWidth="1"/>
    <col min="29" max="29" style="972" width="65.25390625" customWidth="1"/>
    <col min="30" max="30" style="972" width="25.00390625" customWidth="1"/>
    <col min="31" max="33" style="972" width="19.25390625" customWidth="1"/>
    <col min="34" max="34" style="539" width="18.6328125" customWidth="1"/>
    <col min="35" max="38" style="539" width="19.25390625" hidden="1" customWidth="1"/>
    <col min="39" max="40" style="539" width="19.25390625" customWidth="1"/>
    <col min="41" max="44" style="539" width="19.25390625" hidden="1" customWidth="1"/>
    <col min="45" max="45" style="539" width="19.25390625" customWidth="1"/>
    <col min="46" max="46" style="539" width="8.50390625" customWidth="1"/>
    <col min="47" max="47" style="539" width="57.3828125" customWidth="1"/>
    <col min="48" max="48" style="539" width="3.00390625" customWidth="1"/>
    <col min="49" max="51" style="539" width="9.140625" hidden="1"/>
    <col min="52" max="52" style="1247" width="9.140625" hidden="1"/>
  </cols>
  <sheetData>
    <row s="1443" customFormat="1" customHeight="1" ht="12" hidden="1">
      <c r="B1" s="788"/>
      <c r="E1" s="788"/>
      <c r="F1" s="819" t="s">
        <v>83</v>
      </c>
      <c r="G1" s="736"/>
      <c r="H1" s="736"/>
      <c r="I1" s="736"/>
      <c r="J1" s="736"/>
      <c r="K1" s="736"/>
      <c r="L1" s="736"/>
      <c r="M1" s="736"/>
      <c r="N1" s="736"/>
      <c r="O1" s="736"/>
      <c r="P1" s="736"/>
      <c r="Q1" s="739"/>
      <c r="R1" s="739"/>
      <c r="S1" s="736"/>
      <c r="T1" s="808" t="s">
        <v>86</v>
      </c>
      <c r="U1" s="808" t="s">
        <v>91</v>
      </c>
      <c r="V1" s="808" t="s">
        <v>87</v>
      </c>
      <c r="W1" s="808" t="s">
        <v>88</v>
      </c>
      <c r="X1" s="808" t="s">
        <v>89</v>
      </c>
      <c r="Y1" s="819" t="s">
        <v>372</v>
      </c>
      <c r="Z1" s="808" t="s">
        <v>93</v>
      </c>
      <c r="AA1" s="819" t="s">
        <v>90</v>
      </c>
      <c r="AB1" s="819" t="s">
        <v>92</v>
      </c>
      <c r="AH1" s="1443"/>
      <c r="AI1" s="1443"/>
      <c r="AJ1" s="1443"/>
      <c r="AK1" s="1443"/>
      <c r="AL1" s="1443"/>
      <c r="AN1" s="1443"/>
      <c r="AO1" s="1443"/>
      <c r="AP1" s="1443"/>
      <c r="AQ1" s="1443"/>
      <c r="AR1" s="1443"/>
      <c r="AZ1" s="1173" t="s">
        <v>373</v>
      </c>
    </row>
    <row s="927" customFormat="1" customHeight="1" ht="12" hidden="1">
      <c r="B2" s="910" t="s">
        <v>15</v>
      </c>
      <c r="G2" s="930"/>
      <c r="H2" s="930"/>
      <c r="I2" s="930"/>
      <c r="J2" s="930"/>
      <c r="K2" s="930"/>
      <c r="L2" s="930"/>
      <c r="M2" s="930"/>
      <c r="N2" s="930"/>
      <c r="O2" s="930"/>
      <c r="P2" s="930"/>
      <c r="Q2" s="930"/>
      <c r="R2" s="930"/>
      <c r="S2" s="930"/>
      <c r="AH2" s="809">
        <f>AH6&lt;=last_year_vis</f>
        <v>1</v>
      </c>
      <c r="AI2" s="809">
        <f>AI6&lt;=last_year_vis</f>
        <v>0</v>
      </c>
      <c r="AJ2" s="809">
        <f>AJ6&lt;=last_year_vis</f>
        <v>0</v>
      </c>
      <c r="AK2" s="809">
        <f>AK6&lt;=last_year_vis</f>
        <v>0</v>
      </c>
      <c r="AL2" s="809">
        <f>AL6&lt;=last_year_vis</f>
        <v>0</v>
      </c>
      <c r="AM2" s="159"/>
      <c r="AN2" s="809">
        <f>AN6&lt;=last_year_vis</f>
        <v>1</v>
      </c>
      <c r="AO2" s="809">
        <f>AO6&lt;=last_year_vis</f>
        <v>0</v>
      </c>
      <c r="AP2" s="809">
        <f>AP6&lt;=last_year_vis</f>
        <v>0</v>
      </c>
      <c r="AQ2" s="809">
        <f>AQ6&lt;=last_year_vis</f>
        <v>0</v>
      </c>
      <c r="AR2" s="809">
        <f>AR6&lt;=last_year_vis</f>
        <v>0</v>
      </c>
      <c r="AZ2" s="1176"/>
    </row>
    <row s="1443" customFormat="1" customHeight="1" ht="12" hidden="1">
      <c r="B3" s="788"/>
      <c r="E3" s="788"/>
      <c r="G3" s="736"/>
      <c r="H3" s="736"/>
      <c r="I3" s="736"/>
      <c r="J3" s="736"/>
      <c r="K3" s="736"/>
      <c r="L3" s="736"/>
      <c r="M3" s="736"/>
      <c r="N3" s="736"/>
      <c r="O3" s="736"/>
      <c r="P3" s="736"/>
      <c r="Q3" s="739"/>
      <c r="R3" s="739"/>
      <c r="S3" s="736"/>
      <c r="AH3" s="1443"/>
      <c r="AI3" s="1443"/>
      <c r="AJ3" s="1443"/>
      <c r="AK3" s="1443"/>
      <c r="AL3" s="1443"/>
      <c r="AN3" s="1443"/>
      <c r="AO3" s="1443"/>
      <c r="AP3" s="1443"/>
      <c r="AQ3" s="1443"/>
      <c r="AR3" s="1443"/>
      <c r="AZ3" s="1173"/>
    </row>
    <row s="1443" customFormat="1" customHeight="1" ht="12" hidden="1">
      <c r="B4" s="788"/>
      <c r="E4" s="788"/>
      <c r="G4" s="736"/>
      <c r="H4" s="736"/>
      <c r="I4" s="736"/>
      <c r="J4" s="736"/>
      <c r="K4" s="736"/>
      <c r="L4" s="736"/>
      <c r="M4" s="736"/>
      <c r="N4" s="736"/>
      <c r="O4" s="736"/>
      <c r="P4" s="736"/>
      <c r="Q4" s="739"/>
      <c r="R4" s="739"/>
      <c r="S4" s="736"/>
      <c r="AH4" s="1443"/>
      <c r="AI4" s="1443"/>
      <c r="AJ4" s="1443"/>
      <c r="AK4" s="1443"/>
      <c r="AL4" s="1443"/>
      <c r="AN4" s="1443"/>
      <c r="AO4" s="1443"/>
      <c r="AP4" s="1443"/>
      <c r="AQ4" s="1443"/>
      <c r="AR4" s="1443"/>
      <c r="AZ4" s="1173"/>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15</v>
      </c>
      <c r="AC5" s="797">
        <v>65.25</v>
      </c>
      <c r="AD5" s="797">
        <v>25</v>
      </c>
      <c r="AE5" s="797">
        <v>19.25</v>
      </c>
      <c r="AF5" s="797">
        <v>19.25</v>
      </c>
      <c r="AG5" s="797">
        <v>19.25</v>
      </c>
      <c r="AH5" s="797">
        <v>18.63</v>
      </c>
      <c r="AI5" s="797">
        <v>19.25</v>
      </c>
      <c r="AJ5" s="797">
        <v>19.25</v>
      </c>
      <c r="AK5" s="797">
        <v>19.25</v>
      </c>
      <c r="AL5" s="797">
        <v>19.25</v>
      </c>
      <c r="AM5" s="797">
        <v>19.25</v>
      </c>
      <c r="AN5" s="797">
        <v>19.25</v>
      </c>
      <c r="AO5" s="797">
        <v>19.25</v>
      </c>
      <c r="AP5" s="797">
        <v>19.25</v>
      </c>
      <c r="AQ5" s="797">
        <v>19.25</v>
      </c>
      <c r="AR5" s="797">
        <v>19.25</v>
      </c>
      <c r="AS5" s="797">
        <v>19.25</v>
      </c>
      <c r="AT5" s="797">
        <v>8.5</v>
      </c>
      <c r="AU5" s="797">
        <v>57.38</v>
      </c>
      <c r="AV5" s="797">
        <v>3</v>
      </c>
      <c r="AZ5" s="1176"/>
    </row>
    <row s="1443" customFormat="1" customHeight="1" ht="12" hidden="1">
      <c r="B6" s="788"/>
      <c r="E6" s="797"/>
      <c r="G6" s="736"/>
      <c r="H6" s="736"/>
      <c r="I6" s="736"/>
      <c r="J6" s="736"/>
      <c r="K6" s="736"/>
      <c r="L6" s="736"/>
      <c r="M6" s="736"/>
      <c r="N6" s="736"/>
      <c r="O6" s="736"/>
      <c r="P6" s="736"/>
      <c r="Q6" s="739"/>
      <c r="R6" s="739"/>
      <c r="S6" s="736"/>
      <c r="AF6" s="159" cm="1" t="str">
        <f t="array" ref="AF6:AF6">AF25</f>
        <v>2024</v>
      </c>
      <c r="AG6" s="159" cm="1" t="str">
        <f t="array" ref="AG6:AG6">AG25</f>
        <v>2024</v>
      </c>
      <c r="AH6" s="159" cm="1" t="str">
        <f t="array" ref="AH6:AH6">AH70</f>
        <v>2026</v>
      </c>
      <c r="AI6" s="159" cm="1" t="str">
        <f t="array" ref="AI6:AI6">AI70</f>
        <v>2027</v>
      </c>
      <c r="AJ6" s="159" cm="1" t="str">
        <f t="array" ref="AJ6:AJ6">AJ70</f>
        <v>2028</v>
      </c>
      <c r="AK6" s="159" cm="1" t="str">
        <f t="array" ref="AK6:AK6">AK70</f>
        <v>2029</v>
      </c>
      <c r="AL6" s="159" cm="1" t="str">
        <f t="array" ref="AL6:AL6">AL70</f>
        <v>2030</v>
      </c>
      <c r="AN6" s="159" cm="1" t="str">
        <f t="array" ref="AN6:AN6">AN70</f>
        <v>2026</v>
      </c>
      <c r="AO6" s="159" cm="1" t="str">
        <f t="array" ref="AO6:AO6">AO70</f>
        <v>2027</v>
      </c>
      <c r="AP6" s="159" cm="1" t="str">
        <f t="array" ref="AP6:AP6">AP70</f>
        <v>2028</v>
      </c>
      <c r="AQ6" s="159" cm="1" t="str">
        <f t="array" ref="AQ6:AQ6">AQ70</f>
        <v>2029</v>
      </c>
      <c r="AR6" s="159" cm="1" t="str">
        <f t="array" ref="AR6:AR6">AR70</f>
        <v>2030</v>
      </c>
      <c r="AZ6" s="1173"/>
    </row>
    <row s="965" customFormat="1" customHeight="1" ht="12" hidden="1">
      <c r="A7" s="159"/>
      <c r="B7" s="788"/>
      <c r="C7" s="159"/>
      <c r="D7" s="159"/>
      <c r="E7" s="797"/>
      <c r="Q7" s="739"/>
      <c r="R7" s="739"/>
      <c r="AF7" s="736" cm="1" t="str">
        <f t="array" ref="AF7:AF7">AF26</f>
        <v>Факт по данным организации</v>
      </c>
      <c r="AG7" s="736" cm="1" t="str">
        <f t="array" ref="AG7:AG7">AG26</f>
        <v>Принято органом регулирования</v>
      </c>
      <c r="AH7" s="965"/>
      <c r="AI7" s="965"/>
      <c r="AJ7" s="965"/>
      <c r="AK7" s="965"/>
      <c r="AL7" s="965"/>
      <c r="AN7" s="965"/>
      <c r="AO7" s="965"/>
      <c r="AP7" s="965"/>
      <c r="AQ7" s="965"/>
      <c r="AR7" s="965"/>
      <c r="AZ7" s="1173"/>
    </row>
    <row s="965" customFormat="1" customHeight="1" ht="12" hidden="1">
      <c r="A8" s="159"/>
      <c r="B8" s="788"/>
      <c r="C8" s="159"/>
      <c r="D8" s="159"/>
      <c r="E8" s="797"/>
      <c r="Q8" s="739"/>
      <c r="R8" s="739"/>
      <c r="AF8" s="736" t="str">
        <f>AF6&amp;AF7</f>
        <v>2024Факт по данным организации</v>
      </c>
      <c r="AG8" s="736" t="str">
        <f>AG6&amp;AG7</f>
        <v>2024Принято органом регулирования</v>
      </c>
      <c r="AH8" s="965"/>
      <c r="AI8" s="965"/>
      <c r="AJ8" s="965"/>
      <c r="AK8" s="965"/>
      <c r="AL8" s="965"/>
      <c r="AN8" s="965"/>
      <c r="AO8" s="965"/>
      <c r="AP8" s="965"/>
      <c r="AQ8" s="965"/>
      <c r="AR8" s="965"/>
      <c r="AZ8" s="1173"/>
    </row>
    <row s="1172" customFormat="1" customHeight="1" ht="12" hidden="1">
      <c r="A9" s="1171" t="s">
        <v>437</v>
      </c>
      <c r="B9" s="1154"/>
      <c r="E9" s="1154"/>
      <c r="Q9" s="1163"/>
      <c r="R9" s="1163"/>
      <c r="AF9" s="1172" cm="1" t="str">
        <f t="array" ref="AF9:AF9">AF25</f>
        <v>2024</v>
      </c>
      <c r="AG9" s="1172" cm="1" t="str">
        <f t="array" ref="AG9:AG9">AG25</f>
        <v>2024</v>
      </c>
      <c r="AH9" s="1172" cm="1" t="str">
        <f t="array" ref="AH9:AH9">AH70</f>
        <v>2026</v>
      </c>
      <c r="AI9" s="1172"/>
      <c r="AJ9" s="1172" cm="1" t="str">
        <f t="array" ref="AJ9:AJ9">AJ70</f>
        <v>2028</v>
      </c>
      <c r="AK9" s="1172" cm="1" t="str">
        <f t="array" ref="AK9:AK9">AK70</f>
        <v>2029</v>
      </c>
      <c r="AL9" s="1172" cm="1" t="str">
        <f t="array" ref="AL9:AL9">AL70</f>
        <v>2030</v>
      </c>
      <c r="AM9" s="1172" cm="1" t="str">
        <f t="array" ref="AM9:AM9">AM70</f>
        <v>всего</v>
      </c>
      <c r="AN9" s="1172" cm="1" t="str">
        <f t="array" ref="AN9:AN9">AN70</f>
        <v>2026</v>
      </c>
      <c r="AO9" s="1172"/>
      <c r="AP9" s="1172" cm="1" t="str">
        <f t="array" ref="AP9:AP9">AP70</f>
        <v>2028</v>
      </c>
      <c r="AQ9" s="1172" cm="1" t="str">
        <f t="array" ref="AQ9:AQ9">AQ70</f>
        <v>2029</v>
      </c>
      <c r="AR9" s="1172" cm="1" t="str">
        <f t="array" ref="AR9:AR9">AR70</f>
        <v>2030</v>
      </c>
      <c r="AS9" s="1172" cm="1" t="str">
        <f t="array" ref="AS9:AS9">AS70</f>
        <v>0</v>
      </c>
      <c r="AT9" s="1172" cm="1" t="str">
        <f t="array" ref="AT9:AT9">AT70</f>
        <v>0</v>
      </c>
      <c r="AZ9" s="1173"/>
    </row>
    <row s="1172" customFormat="1" customHeight="1" ht="12" hidden="1">
      <c r="A10" s="1171" t="s">
        <v>438</v>
      </c>
      <c r="B10" s="1154"/>
      <c r="E10" s="1154"/>
      <c r="Q10" s="1163"/>
      <c r="R10" s="1163"/>
      <c r="AF10" s="1172" cm="1" t="str">
        <f t="array" ref="AF10:AF10">AF26</f>
        <v>Факт по данным организации</v>
      </c>
      <c r="AG10" s="1172" cm="1" t="str">
        <f t="array" ref="AG10:AG10">AG26</f>
        <v>Принято органом регулирования</v>
      </c>
      <c r="AH10" s="1246" cm="1" t="str">
        <f t="array" ref="AH10:AH10">AH71</f>
        <v>План организации</v>
      </c>
      <c r="AI10" s="1172"/>
      <c r="AJ10" s="1246" cm="1" t="str">
        <f t="array" ref="AJ10:AJ10">AJ71</f>
        <v>План организации</v>
      </c>
      <c r="AK10" s="1246" cm="1" t="str">
        <f t="array" ref="AK10:AK10">AK71</f>
        <v>План организации</v>
      </c>
      <c r="AL10" s="1246" cm="1" t="str">
        <f t="array" ref="AL10:AL10">AL71</f>
        <v>План организации</v>
      </c>
      <c r="AM10" s="1246" cm="1" t="str">
        <f t="array" ref="AM10:AM10">AM71</f>
        <v>0</v>
      </c>
      <c r="AN10" s="1246" cm="1" t="str">
        <f t="array" ref="AN10:AN10">AN71</f>
        <v>План органа регулирования</v>
      </c>
      <c r="AO10" s="1172"/>
      <c r="AP10" s="1246" cm="1" t="str">
        <f t="array" ref="AP10:AP10">AP71</f>
        <v>План органа регулирования</v>
      </c>
      <c r="AQ10" s="1246" cm="1" t="str">
        <f t="array" ref="AQ10:AQ10">AQ71</f>
        <v>План органа регулирования</v>
      </c>
      <c r="AR10" s="1246" cm="1" t="str">
        <f t="array" ref="AR10:AR10">AR71</f>
        <v>План органа регулирования</v>
      </c>
      <c r="AS10" s="1246" cm="1" t="str">
        <f t="array" ref="AS10:AS10">AS71</f>
        <v>0</v>
      </c>
      <c r="AT10" s="1246" cm="1" t="str">
        <f t="array" ref="AT10:AT10">AT71</f>
        <v>0</v>
      </c>
      <c r="AZ10" s="1173"/>
    </row>
    <row s="1443" customFormat="1" customHeight="1" ht="12" hidden="1">
      <c r="B11" s="788"/>
      <c r="E11" s="797"/>
      <c r="G11" s="736"/>
      <c r="H11" s="736"/>
      <c r="I11" s="736"/>
      <c r="J11" s="736"/>
      <c r="K11" s="736"/>
      <c r="L11" s="736"/>
      <c r="M11" s="736"/>
      <c r="N11" s="736"/>
      <c r="O11" s="736"/>
      <c r="P11" s="736"/>
      <c r="Q11" s="739"/>
      <c r="R11" s="739"/>
      <c r="S11" s="736"/>
      <c r="AH11" s="1443"/>
      <c r="AI11" s="1443"/>
      <c r="AJ11" s="1443"/>
      <c r="AK11" s="1443"/>
      <c r="AL11" s="1443"/>
      <c r="AN11" s="1443"/>
      <c r="AO11" s="1443"/>
      <c r="AP11" s="1443"/>
      <c r="AQ11" s="1443"/>
      <c r="AR11" s="1443"/>
      <c r="AZ11" s="1173"/>
    </row>
    <row s="1443" customFormat="1" customHeight="1" ht="12" hidden="1">
      <c r="B12" s="788"/>
      <c r="E12" s="797"/>
      <c r="G12" s="736"/>
      <c r="H12" s="736"/>
      <c r="I12" s="736"/>
      <c r="J12" s="736"/>
      <c r="K12" s="736"/>
      <c r="L12" s="736"/>
      <c r="M12" s="736"/>
      <c r="N12" s="736"/>
      <c r="O12" s="736"/>
      <c r="P12" s="736"/>
      <c r="Q12" s="739"/>
      <c r="R12" s="739"/>
      <c r="S12" s="736"/>
      <c r="AH12" s="1443"/>
      <c r="AI12" s="1443"/>
      <c r="AJ12" s="1443"/>
      <c r="AK12" s="1443"/>
      <c r="AL12" s="1443"/>
      <c r="AN12" s="1443"/>
      <c r="AO12" s="1443"/>
      <c r="AP12" s="1443"/>
      <c r="AQ12" s="1443"/>
      <c r="AR12" s="1443"/>
      <c r="AZ12" s="1173"/>
    </row>
    <row s="1443" customFormat="1" customHeight="1" ht="12" hidden="1">
      <c r="B13" s="788"/>
      <c r="E13" s="797"/>
      <c r="G13" s="736"/>
      <c r="H13" s="736"/>
      <c r="I13" s="736"/>
      <c r="J13" s="736"/>
      <c r="K13" s="736"/>
      <c r="L13" s="736"/>
      <c r="M13" s="736"/>
      <c r="N13" s="736"/>
      <c r="O13" s="736"/>
      <c r="P13" s="736"/>
      <c r="Q13" s="739"/>
      <c r="R13" s="739"/>
      <c r="S13" s="736"/>
      <c r="AH13" s="1443"/>
      <c r="AI13" s="1443"/>
      <c r="AJ13" s="1443"/>
      <c r="AK13" s="1443"/>
      <c r="AL13" s="1443"/>
      <c r="AN13" s="1443"/>
      <c r="AO13" s="1443"/>
      <c r="AP13" s="1443"/>
      <c r="AQ13" s="1443"/>
      <c r="AR13" s="1443"/>
      <c r="AZ13" s="1173"/>
    </row>
    <row s="1443" customFormat="1" customHeight="1" ht="12" hidden="1">
      <c r="B14" s="788"/>
      <c r="E14" s="797"/>
      <c r="G14" s="736"/>
      <c r="H14" s="736"/>
      <c r="I14" s="736"/>
      <c r="J14" s="736"/>
      <c r="K14" s="736"/>
      <c r="L14" s="736"/>
      <c r="M14" s="736"/>
      <c r="N14" s="736"/>
      <c r="O14" s="736"/>
      <c r="P14" s="736"/>
      <c r="Q14" s="739"/>
      <c r="R14" s="739"/>
      <c r="S14" s="736"/>
      <c r="AH14" s="1443"/>
      <c r="AI14" s="1443"/>
      <c r="AJ14" s="1443"/>
      <c r="AK14" s="1443"/>
      <c r="AL14" s="1443"/>
      <c r="AN14" s="1443"/>
      <c r="AO14" s="1443"/>
      <c r="AP14" s="1443"/>
      <c r="AQ14" s="1443"/>
      <c r="AR14" s="1443"/>
      <c r="AZ14" s="1173"/>
    </row>
    <row s="1443" customFormat="1" customHeight="1" ht="12" hidden="1">
      <c r="B15" s="788"/>
      <c r="E15" s="797"/>
      <c r="G15" s="736"/>
      <c r="H15" s="736"/>
      <c r="I15" s="736"/>
      <c r="J15" s="736"/>
      <c r="K15" s="736"/>
      <c r="L15" s="736"/>
      <c r="M15" s="736"/>
      <c r="N15" s="736"/>
      <c r="O15" s="736"/>
      <c r="P15" s="736"/>
      <c r="Q15" s="739"/>
      <c r="R15" s="739"/>
      <c r="S15" s="736"/>
      <c r="AH15" s="1443"/>
      <c r="AI15" s="1443"/>
      <c r="AJ15" s="1443"/>
      <c r="AK15" s="1443"/>
      <c r="AL15" s="1443"/>
      <c r="AN15" s="1443"/>
      <c r="AO15" s="1443"/>
      <c r="AP15" s="1443"/>
      <c r="AQ15" s="1443"/>
      <c r="AR15" s="1443"/>
      <c r="AZ15" s="1173"/>
    </row>
    <row s="1443" customFormat="1" customHeight="1" ht="12" hidden="1">
      <c r="B16" s="788"/>
      <c r="E16" s="797"/>
      <c r="G16" s="736"/>
      <c r="H16" s="736"/>
      <c r="I16" s="736"/>
      <c r="J16" s="736"/>
      <c r="K16" s="736"/>
      <c r="L16" s="736"/>
      <c r="M16" s="736"/>
      <c r="N16" s="736"/>
      <c r="O16" s="736"/>
      <c r="P16" s="736"/>
      <c r="Q16" s="739"/>
      <c r="R16" s="739"/>
      <c r="S16" s="736"/>
      <c r="AH16" s="1443"/>
      <c r="AI16" s="1443"/>
      <c r="AJ16" s="1443"/>
      <c r="AK16" s="1443"/>
      <c r="AL16" s="1443"/>
      <c r="AN16" s="1443"/>
      <c r="AO16" s="1443"/>
      <c r="AP16" s="1443"/>
      <c r="AQ16" s="1443"/>
      <c r="AR16" s="1443"/>
      <c r="AZ16" s="1173"/>
    </row>
    <row s="1443" customFormat="1" customHeight="1" ht="12" hidden="1">
      <c r="B17" s="788"/>
      <c r="E17" s="797"/>
      <c r="G17" s="736"/>
      <c r="H17" s="736"/>
      <c r="I17" s="736"/>
      <c r="J17" s="736"/>
      <c r="K17" s="736"/>
      <c r="L17" s="736"/>
      <c r="M17" s="736"/>
      <c r="N17" s="736"/>
      <c r="O17" s="736"/>
      <c r="P17" s="736"/>
      <c r="Q17" s="739"/>
      <c r="R17" s="739"/>
      <c r="S17" s="736"/>
      <c r="AH17" s="1443"/>
      <c r="AI17" s="1443"/>
      <c r="AJ17" s="1443"/>
      <c r="AK17" s="1443"/>
      <c r="AL17" s="1443"/>
      <c r="AN17" s="1443"/>
      <c r="AO17" s="1443"/>
      <c r="AP17" s="1443"/>
      <c r="AQ17" s="1443"/>
      <c r="AR17" s="1443"/>
      <c r="AZ17" s="1173"/>
    </row>
    <row s="1443" customFormat="1" customHeight="1" ht="12" hidden="1">
      <c r="B18" s="788"/>
      <c r="E18" s="797"/>
      <c r="G18" s="736"/>
      <c r="H18" s="736"/>
      <c r="I18" s="736"/>
      <c r="J18" s="736"/>
      <c r="K18" s="736"/>
      <c r="L18" s="736"/>
      <c r="M18" s="736"/>
      <c r="N18" s="736"/>
      <c r="O18" s="736"/>
      <c r="P18" s="736"/>
      <c r="Q18" s="739"/>
      <c r="R18" s="739"/>
      <c r="S18" s="736"/>
      <c r="AH18" s="1443"/>
      <c r="AI18" s="1443"/>
      <c r="AJ18" s="1443"/>
      <c r="AK18" s="1443"/>
      <c r="AL18" s="1443"/>
      <c r="AN18" s="1443"/>
      <c r="AO18" s="1443"/>
      <c r="AP18" s="1443"/>
      <c r="AQ18" s="1443"/>
      <c r="AR18" s="1443"/>
      <c r="AZ18" s="1173"/>
    </row>
    <row s="1443" customFormat="1" customHeight="1" ht="12" hidden="1">
      <c r="B19" s="788"/>
      <c r="E19" s="797"/>
      <c r="G19" s="736"/>
      <c r="H19" s="736"/>
      <c r="I19" s="736"/>
      <c r="J19" s="736"/>
      <c r="K19" s="736"/>
      <c r="L19" s="736"/>
      <c r="M19" s="736"/>
      <c r="N19" s="736"/>
      <c r="O19" s="736"/>
      <c r="P19" s="736"/>
      <c r="Q19" s="739"/>
      <c r="R19" s="739"/>
      <c r="S19" s="736"/>
      <c r="AH19" s="1443"/>
      <c r="AI19" s="1443"/>
      <c r="AJ19" s="1443"/>
      <c r="AK19" s="1443"/>
      <c r="AL19" s="1443"/>
      <c r="AN19" s="1443"/>
      <c r="AO19" s="1443"/>
      <c r="AP19" s="1443"/>
      <c r="AQ19" s="1443"/>
      <c r="AR19" s="1443"/>
      <c r="AZ19" s="1173"/>
    </row>
    <row s="1443" customFormat="1" customHeight="1" ht="11.115" hidden="1">
      <c r="B20" s="788"/>
      <c r="E20" s="797">
        <v>11.4</v>
      </c>
      <c r="G20" s="736"/>
      <c r="H20" s="736"/>
      <c r="I20" s="736"/>
      <c r="J20" s="736"/>
      <c r="K20" s="736"/>
      <c r="L20" s="736"/>
      <c r="M20" s="736"/>
      <c r="N20" s="736"/>
      <c r="O20" s="736"/>
      <c r="P20" s="736"/>
      <c r="Q20" s="739"/>
      <c r="R20" s="739"/>
      <c r="S20" s="736"/>
      <c r="AH20" s="1443"/>
      <c r="AI20" s="1443"/>
      <c r="AJ20" s="1443"/>
      <c r="AK20" s="1443"/>
      <c r="AL20" s="1443"/>
      <c r="AN20" s="1443"/>
      <c r="AO20" s="1443"/>
      <c r="AP20" s="1443"/>
      <c r="AQ20" s="1443"/>
      <c r="AR20" s="1443"/>
      <c r="AZ20" s="1173"/>
    </row>
    <row s="937" customFormat="1" customHeight="1" ht="11.115">
      <c r="A21" s="159"/>
      <c r="B21" s="788"/>
      <c r="C21" s="159"/>
      <c r="D21" s="159"/>
      <c r="E21" s="797">
        <v>11.4</v>
      </c>
      <c r="F21" s="159"/>
      <c r="G21" s="736"/>
      <c r="H21" s="736"/>
      <c r="I21" s="736"/>
      <c r="J21" s="736"/>
      <c r="K21" s="736"/>
      <c r="L21" s="736"/>
      <c r="M21" s="736"/>
      <c r="N21" s="736"/>
      <c r="O21" s="736"/>
      <c r="P21" s="736"/>
      <c r="Q21" s="739"/>
      <c r="R21" s="739"/>
      <c r="S21" s="736"/>
      <c r="T21" s="159"/>
      <c r="U21" s="159"/>
      <c r="V21" s="159"/>
      <c r="W21" s="159"/>
      <c r="X21" s="159"/>
      <c r="Y21" s="159"/>
      <c r="Z21" s="159"/>
      <c r="AA21" s="820"/>
      <c r="AB21" s="227"/>
      <c r="AC21" s="403" cm="1" t="str">
        <f t="array" ref="AC21:AC21">tpl_title</f>
        <v>Кемеровская область / 2026 / ООО "ВЕЛЕС" (ИНН:4212036655, КПП:421201001) / ДПР: 2016-2025</v>
      </c>
      <c r="AD21" s="736"/>
      <c r="AE21" s="736"/>
      <c r="AF21" s="736"/>
      <c r="AG21" s="736"/>
      <c r="AH21" s="937"/>
      <c r="AI21" s="937"/>
      <c r="AJ21" s="937"/>
      <c r="AK21" s="937"/>
      <c r="AL21" s="937"/>
      <c r="AN21" s="937"/>
      <c r="AO21" s="937"/>
      <c r="AP21" s="937"/>
      <c r="AQ21" s="937"/>
      <c r="AR21" s="937"/>
      <c r="AZ21" s="1173"/>
    </row>
    <row customHeight="1" ht="11.115">
      <c r="E22" s="797">
        <v>11.4</v>
      </c>
      <c r="AB22" s="391"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5"/>
      <c r="AH22" s="539"/>
      <c r="AI22" s="539"/>
      <c r="AJ22" s="539"/>
      <c r="AK22" s="539"/>
      <c r="AL22" s="539"/>
      <c r="AN22" s="539"/>
      <c r="AO22" s="539"/>
      <c r="AP22" s="539"/>
      <c r="AQ22" s="539"/>
      <c r="AR22" s="539"/>
    </row>
    <row customHeight="1" ht="11.115">
      <c r="E23" s="797">
        <v>11.4</v>
      </c>
      <c r="AB23" s="541"/>
      <c r="AC23" s="542"/>
      <c r="AD23" s="542"/>
      <c r="AE23" s="542"/>
      <c r="AF23" s="543"/>
      <c r="AG23" s="543"/>
      <c r="AH23" s="544"/>
      <c r="AI23" s="544"/>
      <c r="AJ23" s="544"/>
      <c r="AK23" s="539"/>
      <c r="AL23" s="539"/>
      <c r="AN23" s="539"/>
      <c r="AO23" s="539"/>
      <c r="AP23" s="539"/>
      <c r="AQ23" s="539"/>
      <c r="AR23" s="539"/>
    </row>
    <row customHeight="1" ht="11.115">
      <c r="E24" s="797">
        <v>11.4</v>
      </c>
      <c r="AB24" s="541"/>
      <c r="AC24" s="542"/>
      <c r="AD24" s="542"/>
      <c r="AE24" s="542"/>
      <c r="AF24" s="543"/>
      <c r="AG24" s="543"/>
      <c r="AH24" s="544"/>
      <c r="AI24" s="544"/>
      <c r="AJ24" s="544"/>
      <c r="AK24" s="539"/>
      <c r="AL24" s="539"/>
      <c r="AN24" s="539"/>
      <c r="AO24" s="539"/>
      <c r="AP24" s="539"/>
      <c r="AQ24" s="539"/>
      <c r="AR24" s="539"/>
    </row>
    <row customHeight="1" ht="11.0175">
      <c r="E25" s="797">
        <v>11.3</v>
      </c>
      <c r="AB25" s="1551" t="s">
        <v>1398</v>
      </c>
      <c r="AC25" s="1553" t="s">
        <v>440</v>
      </c>
      <c r="AD25" s="1553" t="s">
        <v>1399</v>
      </c>
      <c r="AE25" s="1551" t="s">
        <v>1400</v>
      </c>
      <c r="AF25" s="1363">
        <f>god-2</f>
        <v>2024</v>
      </c>
      <c r="AG25" s="305">
        <f>god-2</f>
        <v>2024</v>
      </c>
      <c r="AH25" s="544"/>
      <c r="AI25" s="676"/>
      <c r="AJ25" s="676"/>
      <c r="AK25" s="539"/>
      <c r="AL25" s="539"/>
      <c r="AN25" s="539"/>
      <c r="AO25" s="539"/>
      <c r="AP25" s="539"/>
      <c r="AQ25" s="539"/>
      <c r="AR25" s="539"/>
    </row>
    <row customHeight="1" ht="22.23">
      <c r="E26" s="797">
        <v>22.8</v>
      </c>
      <c r="AB26" s="1552"/>
      <c r="AC26" s="1554"/>
      <c r="AD26" s="1554"/>
      <c r="AE26" s="1552"/>
      <c r="AF26" s="1364" t="s">
        <v>596</v>
      </c>
      <c r="AG26" s="157" t="s">
        <v>402</v>
      </c>
      <c r="AH26" s="544"/>
      <c r="AI26" s="544"/>
      <c r="AJ26" s="544"/>
      <c r="AK26" s="544"/>
      <c r="AL26" s="544"/>
      <c r="AM26" s="544"/>
      <c r="AN26" s="544"/>
      <c r="AO26" s="544"/>
      <c r="AP26" s="544"/>
      <c r="AQ26" s="544"/>
      <c r="AR26" s="544"/>
      <c r="AS26" s="544"/>
      <c r="AT26" s="544"/>
      <c r="AU26" s="544"/>
    </row>
    <row customHeight="1" ht="11.25" hidden="1">
      <c r="E27" s="797">
        <v>0</v>
      </c>
      <c r="AB27" s="620"/>
      <c r="AC27" s="713"/>
      <c r="AD27" s="713"/>
      <c r="AE27" s="620"/>
      <c r="AF27" s="620"/>
      <c r="AG27" s="620"/>
      <c r="AH27" s="544"/>
      <c r="AI27" s="544"/>
      <c r="AJ27" s="544"/>
      <c r="AK27" s="544"/>
      <c r="AL27" s="544"/>
      <c r="AM27" s="544"/>
      <c r="AN27" s="544"/>
      <c r="AO27" s="544"/>
      <c r="AP27" s="544"/>
      <c r="AQ27" s="544"/>
      <c r="AR27" s="544"/>
      <c r="AS27" s="544"/>
      <c r="AT27" s="544"/>
      <c r="AU27" s="544"/>
    </row>
    <row s="220" customFormat="1" customHeight="1" ht="11.115" hidden="1">
      <c r="E28" s="797">
        <v>11.4</v>
      </c>
      <c r="F28" s="922" cm="1" t="str">
        <f t="array" ref="F28:F28">X28</f>
        <v>0</v>
      </c>
      <c r="T28" s="808">
        <f>X28&gt;0</f>
        <v>0</v>
      </c>
      <c r="V28" s="175" t="s">
        <v>310</v>
      </c>
      <c r="X28" s="175">
        <v>0</v>
      </c>
      <c r="AB28" s="320" cm="1" t="str">
        <f t="array" ref="AB28:AB28">INDEX('Общие сведения'!$AG$169:$AG$202,MATCH($F28,'Общие сведения'!$Z$169:$Z$202,0))</f>
        <v>Тариф 0 (Теплоснабжение) - </v>
      </c>
      <c r="AC28" s="321"/>
      <c r="AD28" s="321"/>
      <c r="AE28" s="321"/>
      <c r="AF28" s="321"/>
      <c r="AG28" s="321"/>
      <c r="AZ28" s="1184"/>
    </row>
    <row customHeight="1" ht="50.505" hidden="1">
      <c r="E29" s="797">
        <v>51.8</v>
      </c>
      <c r="F29" s="922" cm="1" t="str">
        <f t="array" ref="F29:F29">F28</f>
        <v>0</v>
      </c>
      <c r="T29" s="819" cm="1" t="str">
        <f t="array" ref="T29:T29">T28</f>
        <v>false</v>
      </c>
      <c r="AB29" s="325" t="s">
        <v>336</v>
      </c>
      <c r="AC29" s="627" t="s">
        <v>63</v>
      </c>
      <c r="AD29" s="628" t="s">
        <v>1401</v>
      </c>
      <c r="AE29" s="629" t="s">
        <v>1402</v>
      </c>
      <c r="AF29" s="367">
        <f>AF30-AF68</f>
        <v>0</v>
      </c>
      <c r="AG29" s="367">
        <f>AG30-AG68</f>
        <v>0</v>
      </c>
      <c r="AZ29" s="1184" t="s">
        <v>1403</v>
      </c>
    </row>
    <row customHeight="1" ht="51.1875" hidden="1">
      <c r="E30" s="797">
        <v>52.5</v>
      </c>
      <c r="F30" s="922" cm="1" t="str">
        <f t="array" ref="F30:F30">F29</f>
        <v>0</v>
      </c>
      <c r="T30" s="819" cm="1" t="str">
        <f t="array" ref="T30:T30">T29</f>
        <v>false</v>
      </c>
      <c r="AB30" s="173" t="s">
        <v>449</v>
      </c>
      <c r="AC30" s="164" t="s">
        <v>1404</v>
      </c>
      <c r="AD30" s="628" t="s">
        <v>1405</v>
      </c>
      <c r="AE30" s="629" t="s">
        <v>1402</v>
      </c>
      <c r="AF30" s="367">
        <f>AF32+AF33+AF59+AF60+AF62+AF63+AF64+AF65-AF66+AF67</f>
        <v>0</v>
      </c>
      <c r="AG30" s="74">
        <f>AG32+AG33+AG59+AG60+AG62+AG63+AG64+AG65-AG66+AG67</f>
        <v>0</v>
      </c>
      <c r="AZ30" s="1184" t="s">
        <v>1406</v>
      </c>
    </row>
    <row customHeight="1" ht="27.105" hidden="1">
      <c r="E31" s="797">
        <v>27.8</v>
      </c>
      <c r="F31" s="922" cm="1" t="str">
        <f t="array" ref="F31:F31">F30</f>
        <v>0</v>
      </c>
      <c r="T31" s="819" cm="1" t="str">
        <f t="array" ref="T31:T31">T30</f>
        <v>false</v>
      </c>
      <c r="AB31" s="173"/>
      <c r="AC31" s="636" t="s">
        <v>1407</v>
      </c>
      <c r="AD31" s="630" t="s">
        <v>1408</v>
      </c>
      <c r="AE31" s="629" t="s">
        <v>1402</v>
      </c>
      <c r="AF31" s="74"/>
      <c r="AG31" s="74"/>
      <c r="AZ31" s="1184" t="s">
        <v>1409</v>
      </c>
    </row>
    <row customHeight="1" ht="29.25" hidden="1">
      <c r="E32" s="797">
        <v>30</v>
      </c>
      <c r="F32" s="922" cm="1" t="str">
        <f t="array" ref="F32:F32">F31</f>
        <v>0</v>
      </c>
      <c r="G32" s="739" t="s">
        <v>1294</v>
      </c>
      <c r="T32" s="819" cm="1" t="str">
        <f t="array" ref="T32:T32">T31</f>
        <v>false</v>
      </c>
      <c r="AB32" s="173" t="s">
        <v>1156</v>
      </c>
      <c r="AC32" s="562" t="s">
        <v>1410</v>
      </c>
      <c r="AD32" s="631" t="s">
        <v>1411</v>
      </c>
      <c r="AE32" s="628" t="s">
        <v>1402</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Z32" s="1184" t="s">
        <v>1412</v>
      </c>
    </row>
    <row customHeight="1" ht="40.2675" hidden="1">
      <c r="E33" s="797">
        <v>41.3</v>
      </c>
      <c r="F33" s="922" cm="1" t="str">
        <f t="array" ref="F33:F33">F32</f>
        <v>0</v>
      </c>
      <c r="T33" s="819" cm="1" t="str">
        <f t="array" ref="T33:T33">T32</f>
        <v>false</v>
      </c>
      <c r="AB33" s="173" t="s">
        <v>1160</v>
      </c>
      <c r="AC33" s="562" t="s">
        <v>1413</v>
      </c>
      <c r="AD33" s="631" t="s">
        <v>1414</v>
      </c>
      <c r="AE33" s="628" t="s">
        <v>1402</v>
      </c>
      <c r="AF33" s="367">
        <f>AF34+AF38</f>
        <v>0</v>
      </c>
      <c r="AG33" s="367">
        <f>AG34+AG38</f>
        <v>0</v>
      </c>
      <c r="AZ33" s="1184" t="s">
        <v>1415</v>
      </c>
    </row>
    <row customHeight="1" ht="55.57500000000001" hidden="1">
      <c r="E34" s="797">
        <v>57</v>
      </c>
      <c r="F34" s="922" cm="1" t="str">
        <f t="array" ref="F34:F34">F33</f>
        <v>0</v>
      </c>
      <c r="G34" s="739" t="s">
        <v>1387</v>
      </c>
      <c r="T34" s="819" cm="1" t="str">
        <f t="array" ref="T34:T34">T33</f>
        <v>false</v>
      </c>
      <c r="AB34" s="173" t="s">
        <v>1416</v>
      </c>
      <c r="AC34" s="581" t="s">
        <v>1417</v>
      </c>
      <c r="AD34" s="169" t="s">
        <v>1418</v>
      </c>
      <c r="AE34" s="629" t="s">
        <v>1402</v>
      </c>
      <c r="AF34" s="74">
        <f>_xlfn.SUMIFS('Ресурсы (5.4)'!AF$26:AF$47,'Ресурсы (5.4)'!$F$26:$F$47,$F34,'Ресурсы (5.4)'!$G$26:$G$47,$G34)</f>
        <v>0</v>
      </c>
      <c r="AG34" s="74">
        <f>_xlfn.SUMIFS('Ресурсы (5.4)'!AG$26:AG$47,'Ресурсы (5.4)'!$F$26:$F$47,$F34,'Ресурсы (5.4)'!$G$26:$G$47,$G34)</f>
        <v>0</v>
      </c>
      <c r="AZ34" s="1184" t="s">
        <v>1419</v>
      </c>
    </row>
    <row customHeight="1" ht="24.862499999999997" hidden="1">
      <c r="E35" s="797">
        <v>25.5</v>
      </c>
      <c r="F35" s="922" cm="1" t="str">
        <f t="array" ref="F35:F35">F34</f>
        <v>0</v>
      </c>
      <c r="T35" s="819" cm="1" t="str">
        <f t="array" ref="T35:T35">T34</f>
        <v>false</v>
      </c>
      <c r="AB35" s="173" t="s">
        <v>1420</v>
      </c>
      <c r="AC35" s="633" t="s">
        <v>1421</v>
      </c>
      <c r="AD35" s="169" t="s">
        <v>1422</v>
      </c>
      <c r="AE35" s="629" t="s">
        <v>778</v>
      </c>
      <c r="AF35" s="74"/>
      <c r="AG35" s="74"/>
      <c r="AZ35" s="1184" t="s">
        <v>1423</v>
      </c>
    </row>
    <row customHeight="1" ht="38.805" hidden="1">
      <c r="E36" s="797">
        <v>39.8</v>
      </c>
      <c r="F36" s="922" cm="1" t="str">
        <f t="array" ref="F36:F36">F35</f>
        <v>0</v>
      </c>
      <c r="T36" s="819" cm="1" t="str">
        <f t="array" ref="T36:T36">T35</f>
        <v>false</v>
      </c>
      <c r="AB36" s="173" t="s">
        <v>1424</v>
      </c>
      <c r="AC36" s="633" t="s">
        <v>1425</v>
      </c>
      <c r="AD36" s="169" t="s">
        <v>1426</v>
      </c>
      <c r="AE36" s="629" t="s">
        <v>599</v>
      </c>
      <c r="AF36" s="74"/>
      <c r="AG36" s="74"/>
      <c r="AZ36" s="1184" t="s">
        <v>1427</v>
      </c>
    </row>
    <row customHeight="1" ht="23.400000000000002" hidden="1">
      <c r="E37" s="797">
        <v>24</v>
      </c>
      <c r="F37" s="922" cm="1" t="str">
        <f t="array" ref="F37:F37">F36</f>
        <v>0</v>
      </c>
      <c r="T37" s="819" cm="1" t="str">
        <f t="array" ref="T37:T37">T36</f>
        <v>false</v>
      </c>
      <c r="AB37" s="173" t="s">
        <v>1428</v>
      </c>
      <c r="AC37" s="633" t="s">
        <v>1429</v>
      </c>
      <c r="AD37" s="169" t="s">
        <v>1430</v>
      </c>
      <c r="AE37" s="629" t="s">
        <v>1431</v>
      </c>
      <c r="AF37" s="74"/>
      <c r="AG37" s="74"/>
      <c r="AZ37" s="1184" t="s">
        <v>1432</v>
      </c>
    </row>
    <row customHeight="1" ht="56.355" hidden="1">
      <c r="E38" s="797">
        <v>57.8</v>
      </c>
      <c r="F38" s="922" cm="1" t="str">
        <f t="array" ref="F38:F38">F37</f>
        <v>0</v>
      </c>
      <c r="T38" s="819" cm="1" t="str">
        <f t="array" ref="T38:T38">T37</f>
        <v>false</v>
      </c>
      <c r="AB38" s="173" t="s">
        <v>1433</v>
      </c>
      <c r="AC38" s="562" t="s">
        <v>1434</v>
      </c>
      <c r="AD38" s="169" t="s">
        <v>1435</v>
      </c>
      <c r="AE38" s="629" t="s">
        <v>1402</v>
      </c>
      <c r="AF38" s="367">
        <f>AF39+AF44+AF49+AF54</f>
        <v>0</v>
      </c>
      <c r="AG38" s="367">
        <f>AG39+AG44+AG49+AG54</f>
        <v>0</v>
      </c>
      <c r="AZ38" s="1184" t="s">
        <v>1436</v>
      </c>
    </row>
    <row customHeight="1" ht="19.7925" hidden="1">
      <c r="E39" s="797">
        <v>20.3</v>
      </c>
      <c r="F39" s="922" cm="1" t="str">
        <f t="array" ref="F39:F39">F38</f>
        <v>0</v>
      </c>
      <c r="G39" s="739" t="s">
        <v>929</v>
      </c>
      <c r="T39" s="819" cm="1" t="str">
        <f t="array" ref="T39:T39">T38</f>
        <v>false</v>
      </c>
      <c r="AB39" s="173" t="s">
        <v>1437</v>
      </c>
      <c r="AC39" s="581" t="s">
        <v>1438</v>
      </c>
      <c r="AD39" s="631"/>
      <c r="AE39" s="629" t="s">
        <v>1402</v>
      </c>
      <c r="AF39" s="74">
        <f>_xlfn.SUMIFS('Ресурсы (5.4)'!AF$26:AF$47,'Ресурсы (5.4)'!$F$26:$F$47,$F39,'Ресурсы (5.4)'!$G$26:$G$47,$G39)</f>
        <v>0</v>
      </c>
      <c r="AG39" s="74">
        <f>_xlfn.SUMIFS('Ресурсы (5.4)'!AG$26:AG$47,'Ресурсы (5.4)'!$F$26:$F$47,$F39,'Ресурсы (5.4)'!$G$26:$G$47,$G39)</f>
        <v>0</v>
      </c>
      <c r="AZ39" s="1184" t="s">
        <v>1439</v>
      </c>
    </row>
    <row customHeight="1" ht="27.105" hidden="1">
      <c r="E40" s="797">
        <v>27.8</v>
      </c>
      <c r="F40" s="922" cm="1" t="str">
        <f t="array" ref="F40:F40">F39</f>
        <v>0</v>
      </c>
      <c r="T40" s="819" cm="1" t="str">
        <f t="array" ref="T40:T40">T39</f>
        <v>false</v>
      </c>
      <c r="AB40" s="173" t="s">
        <v>1440</v>
      </c>
      <c r="AC40" s="633" t="s">
        <v>1441</v>
      </c>
      <c r="AD40" s="169" t="s">
        <v>1442</v>
      </c>
      <c r="AE40" s="157" t="s">
        <v>1443</v>
      </c>
      <c r="AF40" s="74"/>
      <c r="AG40" s="74"/>
      <c r="AZ40" s="1184" t="s">
        <v>950</v>
      </c>
    </row>
    <row customHeight="1" ht="26.325000000000003" hidden="1">
      <c r="E41" s="797">
        <v>27</v>
      </c>
      <c r="F41" s="922" cm="1" t="str">
        <f t="array" ref="F41:F41">F40</f>
        <v>0</v>
      </c>
      <c r="T41" s="819" cm="1" t="str">
        <f t="array" ref="T41:T41">T40</f>
        <v>false</v>
      </c>
      <c r="AB41" s="173" t="s">
        <v>1444</v>
      </c>
      <c r="AC41" s="633" t="s">
        <v>1445</v>
      </c>
      <c r="AD41" s="169" t="s">
        <v>1446</v>
      </c>
      <c r="AE41" s="629" t="s">
        <v>599</v>
      </c>
      <c r="AF41" s="74"/>
      <c r="AG41" s="74"/>
      <c r="AZ41" s="1184" t="s">
        <v>1447</v>
      </c>
    </row>
    <row customHeight="1" ht="28.567500000000006" hidden="1">
      <c r="E42" s="797">
        <v>29.3</v>
      </c>
      <c r="F42" s="922" cm="1" t="str">
        <f t="array" ref="F42:F42">F41</f>
        <v>0</v>
      </c>
      <c r="T42" s="819" cm="1" t="str">
        <f t="array" ref="T42:T42">T41</f>
        <v>false</v>
      </c>
      <c r="AB42" s="173" t="s">
        <v>1448</v>
      </c>
      <c r="AC42" s="633" t="s">
        <v>1449</v>
      </c>
      <c r="AD42" s="169" t="s">
        <v>1450</v>
      </c>
      <c r="AE42" s="629" t="s">
        <v>599</v>
      </c>
      <c r="AF42" s="74"/>
      <c r="AG42" s="74"/>
      <c r="AZ42" s="1184" t="s">
        <v>1451</v>
      </c>
    </row>
    <row customHeight="1" ht="33.6375" hidden="1">
      <c r="E43" s="797">
        <v>34.5</v>
      </c>
      <c r="F43" s="922" cm="1" t="str">
        <f t="array" ref="F43:F43">F42</f>
        <v>0</v>
      </c>
      <c r="T43" s="819" cm="1" t="str">
        <f t="array" ref="T43:T43">T42</f>
        <v>false</v>
      </c>
      <c r="AB43" s="173" t="s">
        <v>1452</v>
      </c>
      <c r="AC43" s="633" t="s">
        <v>1453</v>
      </c>
      <c r="AD43" s="169" t="s">
        <v>1454</v>
      </c>
      <c r="AE43" s="629" t="s">
        <v>939</v>
      </c>
      <c r="AF43" s="74"/>
      <c r="AG43" s="74"/>
      <c r="AZ43" s="1184" t="s">
        <v>1455</v>
      </c>
    </row>
    <row customHeight="1" ht="16.867500000000003" hidden="1">
      <c r="E44" s="797">
        <v>17.3</v>
      </c>
      <c r="F44" s="922" cm="1" t="str">
        <f t="array" ref="F44:F44">F43</f>
        <v>0</v>
      </c>
      <c r="G44" s="739" t="s">
        <v>996</v>
      </c>
      <c r="T44" s="819" cm="1" t="str">
        <f t="array" ref="T44:T44">T43</f>
        <v>false</v>
      </c>
      <c r="AB44" s="173" t="s">
        <v>1456</v>
      </c>
      <c r="AC44" s="581" t="s">
        <v>1457</v>
      </c>
      <c r="AD44" s="631"/>
      <c r="AE44" s="629" t="s">
        <v>1402</v>
      </c>
      <c r="AF44" s="74">
        <f>_xlfn.SUMIFS('Ресурсы (5.4)'!AF$26:AF$47,'Ресурсы (5.4)'!$F$26:$F$47,$F44,'Ресурсы (5.4)'!$G$26:$G$47,$G44)</f>
        <v>0</v>
      </c>
      <c r="AG44" s="74">
        <f>_xlfn.SUMIFS('Ресурсы (5.4)'!AG$26:AG$47,'Ресурсы (5.4)'!$F$26:$F$47,$F44,'Ресурсы (5.4)'!$G$26:$G$47,$G44)</f>
        <v>0</v>
      </c>
      <c r="AZ44" s="1184" t="s">
        <v>1458</v>
      </c>
    </row>
    <row customHeight="1" ht="30.03" hidden="1">
      <c r="E45" s="797">
        <v>30.8</v>
      </c>
      <c r="F45" s="922" cm="1" t="str">
        <f t="array" ref="F45:F45">F44</f>
        <v>0</v>
      </c>
      <c r="T45" s="819" cm="1" t="str">
        <f t="array" ref="T45:T45">T44</f>
        <v>false</v>
      </c>
      <c r="AB45" s="173" t="s">
        <v>1459</v>
      </c>
      <c r="AC45" s="633" t="s">
        <v>1460</v>
      </c>
      <c r="AD45" s="169" t="s">
        <v>1461</v>
      </c>
      <c r="AE45" s="629" t="s">
        <v>1462</v>
      </c>
      <c r="AF45" s="74"/>
      <c r="AG45" s="74"/>
      <c r="AZ45" s="1184" t="s">
        <v>1005</v>
      </c>
    </row>
    <row customHeight="1" ht="30.03" hidden="1">
      <c r="E46" s="797">
        <v>30.8</v>
      </c>
      <c r="F46" s="922" cm="1" t="str">
        <f t="array" ref="F46:F46">F45</f>
        <v>0</v>
      </c>
      <c r="T46" s="819" cm="1" t="str">
        <f t="array" ref="T46:T46">T45</f>
        <v>false</v>
      </c>
      <c r="AB46" s="173" t="s">
        <v>1463</v>
      </c>
      <c r="AC46" s="633" t="s">
        <v>1445</v>
      </c>
      <c r="AD46" s="169" t="s">
        <v>1446</v>
      </c>
      <c r="AE46" s="629" t="s">
        <v>599</v>
      </c>
      <c r="AF46" s="74"/>
      <c r="AG46" s="74"/>
      <c r="AZ46" s="1184" t="s">
        <v>1464</v>
      </c>
    </row>
    <row customHeight="1" ht="29.25" hidden="1">
      <c r="E47" s="797">
        <v>30</v>
      </c>
      <c r="F47" s="922" cm="1" t="str">
        <f t="array" ref="F47:F47">F46</f>
        <v>0</v>
      </c>
      <c r="T47" s="819" cm="1" t="str">
        <f t="array" ref="T47:T47">T46</f>
        <v>false</v>
      </c>
      <c r="AB47" s="173" t="s">
        <v>1465</v>
      </c>
      <c r="AC47" s="633" t="s">
        <v>1449</v>
      </c>
      <c r="AD47" s="169" t="s">
        <v>1450</v>
      </c>
      <c r="AE47" s="629" t="s">
        <v>599</v>
      </c>
      <c r="AF47" s="74"/>
      <c r="AG47" s="74"/>
      <c r="AZ47" s="1184" t="s">
        <v>1466</v>
      </c>
    </row>
    <row customHeight="1" ht="21.255000000000003" hidden="1">
      <c r="E48" s="797">
        <v>21.8</v>
      </c>
      <c r="F48" s="922" cm="1" t="str">
        <f t="array" ref="F48:F48">F47</f>
        <v>0</v>
      </c>
      <c r="T48" s="819" cm="1" t="str">
        <f t="array" ref="T48:T48">T47</f>
        <v>false</v>
      </c>
      <c r="AB48" s="173" t="s">
        <v>1467</v>
      </c>
      <c r="AC48" s="633" t="s">
        <v>1468</v>
      </c>
      <c r="AD48" s="169" t="s">
        <v>1454</v>
      </c>
      <c r="AE48" s="629" t="s">
        <v>1469</v>
      </c>
      <c r="AF48" s="74"/>
      <c r="AG48" s="74"/>
      <c r="AZ48" s="1184" t="s">
        <v>1470</v>
      </c>
    </row>
    <row customHeight="1" ht="16.0875" hidden="1">
      <c r="E49" s="797">
        <v>16.5</v>
      </c>
      <c r="F49" s="922" cm="1" t="str">
        <f t="array" ref="F49:F49">F48</f>
        <v>0</v>
      </c>
      <c r="G49" s="739" t="s">
        <v>964</v>
      </c>
      <c r="T49" s="819" cm="1" t="str">
        <f t="array" ref="T49:T49">T48</f>
        <v>false</v>
      </c>
      <c r="AB49" s="173" t="s">
        <v>1471</v>
      </c>
      <c r="AC49" s="581" t="s">
        <v>1472</v>
      </c>
      <c r="AD49" s="631"/>
      <c r="AE49" s="629" t="s">
        <v>1402</v>
      </c>
      <c r="AF49" s="74">
        <f>_xlfn.SUMIFS('Ресурсы (5.4)'!AF$26:AF$47,'Ресурсы (5.4)'!$F$26:$F$47,$F49,'Ресурсы (5.4)'!$G$26:$G$47,$G49)</f>
        <v>0</v>
      </c>
      <c r="AG49" s="74">
        <f>_xlfn.SUMIFS('Ресурсы (5.4)'!AG$26:AG$47,'Ресурсы (5.4)'!$F$26:$F$47,$F49,'Ресурсы (5.4)'!$G$26:$G$47,$G49)</f>
        <v>0</v>
      </c>
      <c r="AZ49" s="1184" t="s">
        <v>1473</v>
      </c>
    </row>
    <row customHeight="1" ht="28.567500000000006" hidden="1">
      <c r="E50" s="797">
        <v>29.3</v>
      </c>
      <c r="F50" s="922" cm="1" t="str">
        <f t="array" ref="F50:F50">F49</f>
        <v>0</v>
      </c>
      <c r="T50" s="819" cm="1" t="str">
        <f t="array" ref="T50:T50">T49</f>
        <v>false</v>
      </c>
      <c r="AB50" s="173" t="s">
        <v>1474</v>
      </c>
      <c r="AC50" s="633" t="s">
        <v>1475</v>
      </c>
      <c r="AD50" s="169" t="s">
        <v>1476</v>
      </c>
      <c r="AE50" s="629" t="s">
        <v>599</v>
      </c>
      <c r="AF50" s="74"/>
      <c r="AG50" s="74"/>
      <c r="AZ50" s="1184" t="s">
        <v>986</v>
      </c>
    </row>
    <row customHeight="1" ht="30.712500000000002" hidden="1">
      <c r="E51" s="797">
        <v>31.5</v>
      </c>
      <c r="F51" s="922" cm="1" t="str">
        <f t="array" ref="F51:F51">F50</f>
        <v>0</v>
      </c>
      <c r="T51" s="819" cm="1" t="str">
        <f t="array" ref="T51:T51">T50</f>
        <v>false</v>
      </c>
      <c r="AB51" s="173" t="s">
        <v>1477</v>
      </c>
      <c r="AC51" s="633" t="s">
        <v>1445</v>
      </c>
      <c r="AD51" s="169" t="s">
        <v>1446</v>
      </c>
      <c r="AE51" s="629" t="s">
        <v>599</v>
      </c>
      <c r="AF51" s="74"/>
      <c r="AG51" s="74"/>
      <c r="AZ51" s="1184" t="s">
        <v>1427</v>
      </c>
    </row>
    <row customHeight="1" ht="27.787500000000005" hidden="1">
      <c r="E52" s="797">
        <v>28.5</v>
      </c>
      <c r="F52" s="922" cm="1" t="str">
        <f t="array" ref="F52:F52">F51</f>
        <v>0</v>
      </c>
      <c r="T52" s="819" cm="1" t="str">
        <f t="array" ref="T52:T52">T51</f>
        <v>false</v>
      </c>
      <c r="AB52" s="173" t="s">
        <v>1478</v>
      </c>
      <c r="AC52" s="633" t="s">
        <v>1449</v>
      </c>
      <c r="AD52" s="169" t="s">
        <v>1450</v>
      </c>
      <c r="AE52" s="629" t="s">
        <v>599</v>
      </c>
      <c r="AF52" s="74"/>
      <c r="AG52" s="74"/>
      <c r="AZ52" s="1184" t="s">
        <v>1479</v>
      </c>
    </row>
    <row customHeight="1" ht="22.23" hidden="1">
      <c r="E53" s="797">
        <v>22.8</v>
      </c>
      <c r="F53" s="922" cm="1" t="str">
        <f t="array" ref="F53:F53">F52</f>
        <v>0</v>
      </c>
      <c r="T53" s="819" cm="1" t="str">
        <f t="array" ref="T53:T53">T52</f>
        <v>false</v>
      </c>
      <c r="AB53" s="173" t="s">
        <v>1480</v>
      </c>
      <c r="AC53" s="633" t="s">
        <v>1481</v>
      </c>
      <c r="AD53" s="169" t="s">
        <v>1454</v>
      </c>
      <c r="AE53" s="629" t="s">
        <v>900</v>
      </c>
      <c r="AF53" s="74"/>
      <c r="AG53" s="74"/>
      <c r="AZ53" s="1184" t="s">
        <v>1482</v>
      </c>
    </row>
    <row customHeight="1" ht="16.0875" hidden="1">
      <c r="E54" s="797">
        <v>16.5</v>
      </c>
      <c r="F54" s="922" cm="1" t="str">
        <f t="array" ref="F54:F54">F53</f>
        <v>0</v>
      </c>
      <c r="G54" s="739" t="s">
        <v>1007</v>
      </c>
      <c r="T54" s="819" cm="1" t="str">
        <f t="array" ref="T54:T54">T53</f>
        <v>false</v>
      </c>
      <c r="AB54" s="173" t="s">
        <v>1483</v>
      </c>
      <c r="AC54" s="581" t="s">
        <v>1484</v>
      </c>
      <c r="AD54" s="631"/>
      <c r="AE54" s="629" t="s">
        <v>1402</v>
      </c>
      <c r="AF54" s="74">
        <f>_xlfn.SUMIFS('Ресурсы (5.4)'!AF$26:AF$47,'Ресурсы (5.4)'!$F$26:$F$47,$F54,'Ресурсы (5.4)'!$G$26:$G$47,$G54)</f>
        <v>0</v>
      </c>
      <c r="AG54" s="74">
        <f>_xlfn.SUMIFS('Ресурсы (5.4)'!AG$26:AG$47,'Ресурсы (5.4)'!$F$26:$F$47,$F54,'Ресурсы (5.4)'!$G$26:$G$47,$G54)</f>
        <v>0</v>
      </c>
      <c r="AZ54" s="1184" t="s">
        <v>1485</v>
      </c>
    </row>
    <row customHeight="1" ht="28.567500000000006" hidden="1">
      <c r="E55" s="797">
        <v>29.3</v>
      </c>
      <c r="F55" s="922" cm="1" t="str">
        <f t="array" ref="F55:F55">F54</f>
        <v>0</v>
      </c>
      <c r="T55" s="819" cm="1" t="str">
        <f t="array" ref="T55:T55">T54</f>
        <v>false</v>
      </c>
      <c r="AB55" s="173" t="s">
        <v>1486</v>
      </c>
      <c r="AC55" s="633" t="s">
        <v>1487</v>
      </c>
      <c r="AD55" s="169" t="s">
        <v>1476</v>
      </c>
      <c r="AE55" s="629" t="s">
        <v>1462</v>
      </c>
      <c r="AF55" s="74"/>
      <c r="AG55" s="74"/>
      <c r="AZ55" s="1184" t="s">
        <v>1014</v>
      </c>
    </row>
    <row customHeight="1" ht="30.712500000000002" hidden="1">
      <c r="E56" s="797">
        <v>31.5</v>
      </c>
      <c r="F56" s="922" cm="1" t="str">
        <f t="array" ref="F56:F56">F55</f>
        <v>0</v>
      </c>
      <c r="T56" s="819" cm="1" t="str">
        <f t="array" ref="T56:T56">T55</f>
        <v>false</v>
      </c>
      <c r="AB56" s="173" t="s">
        <v>1488</v>
      </c>
      <c r="AC56" s="633" t="s">
        <v>1445</v>
      </c>
      <c r="AD56" s="169" t="s">
        <v>1446</v>
      </c>
      <c r="AE56" s="629" t="s">
        <v>599</v>
      </c>
      <c r="AF56" s="74"/>
      <c r="AG56" s="74"/>
      <c r="AZ56" s="1184" t="s">
        <v>1489</v>
      </c>
    </row>
    <row customHeight="1" ht="27.787500000000005" hidden="1">
      <c r="E57" s="797">
        <v>28.5</v>
      </c>
      <c r="F57" s="922" cm="1" t="str">
        <f t="array" ref="F57:F57">F56</f>
        <v>0</v>
      </c>
      <c r="T57" s="819" cm="1" t="str">
        <f t="array" ref="T57:T57">T56</f>
        <v>false</v>
      </c>
      <c r="AB57" s="173" t="s">
        <v>1490</v>
      </c>
      <c r="AC57" s="633" t="s">
        <v>1449</v>
      </c>
      <c r="AD57" s="169" t="s">
        <v>1450</v>
      </c>
      <c r="AE57" s="629" t="s">
        <v>599</v>
      </c>
      <c r="AF57" s="74"/>
      <c r="AG57" s="74"/>
      <c r="AZ57" s="1184" t="s">
        <v>1491</v>
      </c>
    </row>
    <row customHeight="1" ht="22.23" hidden="1">
      <c r="E58" s="797">
        <v>22.8</v>
      </c>
      <c r="F58" s="922" cm="1" t="str">
        <f t="array" ref="F58:F58">F57</f>
        <v>0</v>
      </c>
      <c r="T58" s="819" cm="1" t="str">
        <f t="array" ref="T58:T58">T57</f>
        <v>false</v>
      </c>
      <c r="AB58" s="173" t="s">
        <v>1492</v>
      </c>
      <c r="AC58" s="633" t="s">
        <v>1493</v>
      </c>
      <c r="AD58" s="169" t="s">
        <v>1454</v>
      </c>
      <c r="AE58" s="629" t="s">
        <v>1469</v>
      </c>
      <c r="AF58" s="74"/>
      <c r="AG58" s="74"/>
      <c r="AZ58" s="1184" t="s">
        <v>1494</v>
      </c>
    </row>
    <row customHeight="1" ht="37.3425" hidden="1">
      <c r="E59" s="797">
        <v>38.3</v>
      </c>
      <c r="F59" s="922" cm="1" t="str">
        <f t="array" ref="F59:F59">F58</f>
        <v>0</v>
      </c>
      <c r="G59" s="739" t="s">
        <v>1352</v>
      </c>
      <c r="T59" s="819" cm="1" t="str">
        <f t="array" ref="T59:T59">T58</f>
        <v>false</v>
      </c>
      <c r="AB59" s="173" t="s">
        <v>1495</v>
      </c>
      <c r="AC59" s="562" t="s">
        <v>1496</v>
      </c>
      <c r="AD59" s="631" t="s">
        <v>1497</v>
      </c>
      <c r="AE59" s="629" t="s">
        <v>810</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4" t="s">
        <v>1498</v>
      </c>
    </row>
    <row customHeight="1" ht="20.475" hidden="1">
      <c r="E60" s="797">
        <v>21</v>
      </c>
      <c r="F60" s="922" cm="1" t="str">
        <f t="array" ref="F60:F60">F59</f>
        <v>0</v>
      </c>
      <c r="G60" s="739" t="s">
        <v>1499</v>
      </c>
      <c r="T60" s="819" cm="1" t="str">
        <f t="array" ref="T60:T60">T59</f>
        <v>false</v>
      </c>
      <c r="AB60" s="173" t="s">
        <v>1500</v>
      </c>
      <c r="AC60" s="166" t="s">
        <v>1501</v>
      </c>
      <c r="AD60" s="629"/>
      <c r="AE60" s="629" t="s">
        <v>810</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4" t="s">
        <v>1502</v>
      </c>
    </row>
    <row customHeight="1" ht="20.475" hidden="1">
      <c r="E61" s="797">
        <v>21</v>
      </c>
      <c r="F61" s="922" cm="1" t="str">
        <f t="array" ref="F61:F61">F60</f>
        <v>0</v>
      </c>
      <c r="T61" s="819" cm="1" t="str">
        <f t="array" ref="T61:T61">T60</f>
        <v>false</v>
      </c>
      <c r="AB61" s="173" t="s">
        <v>1503</v>
      </c>
      <c r="AC61" s="1067" t="s">
        <v>1504</v>
      </c>
      <c r="AD61" s="629"/>
      <c r="AE61" s="629" t="s">
        <v>498</v>
      </c>
      <c r="AF61" s="125"/>
      <c r="AG61" s="125"/>
      <c r="AZ61" s="1184" t="s">
        <v>1505</v>
      </c>
    </row>
    <row customHeight="1" ht="21.9375" hidden="1">
      <c r="E62" s="797">
        <v>22.5</v>
      </c>
      <c r="F62" s="922" cm="1" t="str">
        <f t="array" ref="F62:F62">F60</f>
        <v>0</v>
      </c>
      <c r="G62" s="739" t="s">
        <v>1506</v>
      </c>
      <c r="T62" s="819" cm="1" t="str">
        <f t="array" ref="T62:T62">T60</f>
        <v>false</v>
      </c>
      <c r="AB62" s="173" t="s">
        <v>1507</v>
      </c>
      <c r="AC62" s="166" t="s">
        <v>1508</v>
      </c>
      <c r="AD62" s="629"/>
      <c r="AE62" s="629" t="s">
        <v>810</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4" t="s">
        <v>1509</v>
      </c>
    </row>
    <row customHeight="1" ht="22.23" hidden="1">
      <c r="E63" s="797">
        <v>22.8</v>
      </c>
      <c r="F63" s="922" cm="1" t="str">
        <f t="array" ref="F63:F63">F62</f>
        <v>0</v>
      </c>
      <c r="G63" s="739" t="s">
        <v>637</v>
      </c>
      <c r="T63" s="819" cm="1" t="str">
        <f t="array" ref="T63:T63">T62</f>
        <v>false</v>
      </c>
      <c r="AB63" s="173" t="s">
        <v>1510</v>
      </c>
      <c r="AC63" s="166" t="s">
        <v>1511</v>
      </c>
      <c r="AD63" s="629"/>
      <c r="AE63" s="629" t="s">
        <v>810</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4" t="s">
        <v>1512</v>
      </c>
    </row>
    <row customHeight="1" ht="29.25" hidden="1">
      <c r="E64" s="797">
        <v>30</v>
      </c>
      <c r="F64" s="922" cm="1" t="str">
        <f t="array" ref="F64:F64">F63</f>
        <v>0</v>
      </c>
      <c r="T64" s="819" cm="1" t="str">
        <f t="array" ref="T64:T64">T63</f>
        <v>false</v>
      </c>
      <c r="AB64" s="173" t="s">
        <v>1513</v>
      </c>
      <c r="AC64" s="166" t="s">
        <v>1514</v>
      </c>
      <c r="AD64" s="632"/>
      <c r="AE64" s="629" t="s">
        <v>810</v>
      </c>
      <c r="AF64" s="74"/>
      <c r="AG64" s="74"/>
      <c r="AZ64" s="1184" t="s">
        <v>1515</v>
      </c>
    </row>
    <row customHeight="1" ht="37.3425" hidden="1">
      <c r="E65" s="797">
        <v>38.3</v>
      </c>
      <c r="F65" s="922" cm="1" t="str">
        <f t="array" ref="F65:F65">F64</f>
        <v>0</v>
      </c>
      <c r="T65" s="819" cm="1" t="str">
        <f t="array" ref="T65:T65">T64</f>
        <v>false</v>
      </c>
      <c r="AB65" s="173" t="s">
        <v>1516</v>
      </c>
      <c r="AC65" s="166" t="s">
        <v>1517</v>
      </c>
      <c r="AD65" s="629"/>
      <c r="AE65" s="629" t="s">
        <v>810</v>
      </c>
      <c r="AF65" s="74"/>
      <c r="AG65" s="74"/>
      <c r="AZ65" s="1184" t="s">
        <v>1518</v>
      </c>
    </row>
    <row customHeight="1" ht="73.125" hidden="1">
      <c r="E66" s="797">
        <v>75</v>
      </c>
      <c r="F66" s="922" cm="1" t="str">
        <f t="array" ref="F66:F66">F65</f>
        <v>0</v>
      </c>
      <c r="T66" s="819" cm="1" t="str">
        <f t="array" ref="T66:T66">T65</f>
        <v>false</v>
      </c>
      <c r="AB66" s="173" t="s">
        <v>1519</v>
      </c>
      <c r="AC66" s="166" t="s">
        <v>1520</v>
      </c>
      <c r="AD66" s="629"/>
      <c r="AE66" s="629" t="s">
        <v>810</v>
      </c>
      <c r="AF66" s="74"/>
      <c r="AG66" s="74"/>
      <c r="AZ66" s="1184" t="s">
        <v>1521</v>
      </c>
    </row>
    <row customHeight="1" ht="72.44250000000001" hidden="1">
      <c r="E67" s="797">
        <v>74.3</v>
      </c>
      <c r="F67" s="922" cm="1" t="str">
        <f t="array" ref="F67:F67">F66</f>
        <v>0</v>
      </c>
      <c r="T67" s="819" cm="1" t="str">
        <f t="array" ref="T67:T67">T66</f>
        <v>false</v>
      </c>
      <c r="AB67" s="173" t="s">
        <v>1522</v>
      </c>
      <c r="AC67" s="166" t="s">
        <v>1523</v>
      </c>
      <c r="AD67" s="629"/>
      <c r="AE67" s="629" t="s">
        <v>1402</v>
      </c>
      <c r="AF67" s="74"/>
      <c r="AG67" s="74"/>
      <c r="AZ67" s="1184" t="s">
        <v>1524</v>
      </c>
    </row>
    <row customHeight="1" ht="55.57500000000001" hidden="1">
      <c r="E68" s="797">
        <v>57</v>
      </c>
      <c r="F68" s="922" cm="1" t="str">
        <f t="array" ref="F68:F68">F67</f>
        <v>0</v>
      </c>
      <c r="T68" s="819" cm="1" t="str">
        <f t="array" ref="T68:T68">T67</f>
        <v>false</v>
      </c>
      <c r="AB68" s="173" t="s">
        <v>426</v>
      </c>
      <c r="AC68" s="627" t="s">
        <v>1525</v>
      </c>
      <c r="AD68" s="169" t="s">
        <v>1526</v>
      </c>
      <c r="AE68" s="629" t="s">
        <v>1402</v>
      </c>
      <c r="AF68" s="74"/>
      <c r="AG68" s="74"/>
      <c r="AZ68" s="1184" t="s">
        <v>1527</v>
      </c>
    </row>
    <row customHeight="1" ht="11.115" hidden="1">
      <c r="E69" s="797">
        <v>11.4</v>
      </c>
      <c r="F69" s="922" cm="1" t="str">
        <f t="array" ref="F69:F69">F68</f>
        <v>0</v>
      </c>
      <c r="T69" s="819" cm="1" t="str">
        <f t="array" ref="T69:T69">T68</f>
        <v>false</v>
      </c>
    </row>
    <row customHeight="1" ht="11.0175" hidden="1">
      <c r="E70" s="797">
        <v>11.3</v>
      </c>
      <c r="F70" s="922" cm="1" t="str">
        <f t="array" ref="F70:F70">F69</f>
        <v>0</v>
      </c>
      <c r="T70" s="819" cm="1" t="str">
        <f t="array" ref="T70:T70">T69</f>
        <v>false</v>
      </c>
      <c r="AB70" s="673" t="s">
        <v>1398</v>
      </c>
      <c r="AC70" s="1553" t="s">
        <v>496</v>
      </c>
      <c r="AD70" s="325" t="s">
        <v>1150</v>
      </c>
      <c r="AE70" s="157">
        <f>god-2</f>
        <v>2024</v>
      </c>
      <c r="AF70" s="157">
        <f>god-1</f>
        <v>2025</v>
      </c>
      <c r="AG70" s="325" t="s">
        <v>1528</v>
      </c>
      <c r="AH70" s="305" cm="1" t="str">
        <f t="array" ref="AH70:AH70">god</f>
        <v>2026</v>
      </c>
      <c r="AI70" s="157">
        <f>god+1</f>
        <v>2027</v>
      </c>
      <c r="AJ70" s="157">
        <f>god+2</f>
        <v>2028</v>
      </c>
      <c r="AK70" s="157">
        <f>god+3</f>
        <v>2029</v>
      </c>
      <c r="AL70" s="157">
        <f>god+4</f>
        <v>2030</v>
      </c>
      <c r="AM70" s="325" t="s">
        <v>1528</v>
      </c>
      <c r="AN70" s="305" cm="1" t="str">
        <f t="array" ref="AN70:AN70">god</f>
        <v>2026</v>
      </c>
      <c r="AO70" s="157">
        <f>god+1</f>
        <v>2027</v>
      </c>
      <c r="AP70" s="157">
        <f>god+2</f>
        <v>2028</v>
      </c>
      <c r="AQ70" s="157">
        <f>god+3</f>
        <v>2029</v>
      </c>
      <c r="AR70" s="157">
        <f>god+4</f>
        <v>2030</v>
      </c>
      <c r="AU70" s="126" t="s">
        <v>1529</v>
      </c>
    </row>
    <row customHeight="1" ht="21.9375" hidden="1">
      <c r="E71" s="797">
        <v>22.5</v>
      </c>
      <c r="F71" s="922" cm="1" t="str">
        <f t="array" ref="F71:F71">F70</f>
        <v>0</v>
      </c>
      <c r="T71" s="819" cm="1" t="str">
        <f t="array" ref="T71:T71">T70</f>
        <v>false</v>
      </c>
      <c r="AB71" s="1552"/>
      <c r="AC71" s="1554"/>
      <c r="AD71" s="325"/>
      <c r="AE71" s="173" t="s">
        <v>1530</v>
      </c>
      <c r="AF71" s="173" t="s">
        <v>1530</v>
      </c>
      <c r="AG71" s="325"/>
      <c r="AH71" s="173" t="s">
        <v>1531</v>
      </c>
      <c r="AI71" s="173" t="s">
        <v>1531</v>
      </c>
      <c r="AJ71" s="173" t="s">
        <v>1531</v>
      </c>
      <c r="AK71" s="173" t="s">
        <v>1531</v>
      </c>
      <c r="AL71" s="173" t="s">
        <v>1531</v>
      </c>
      <c r="AM71" s="325"/>
      <c r="AN71" s="173" t="s">
        <v>1532</v>
      </c>
      <c r="AO71" s="173" t="s">
        <v>1532</v>
      </c>
      <c r="AP71" s="173" t="s">
        <v>1532</v>
      </c>
      <c r="AQ71" s="173" t="s">
        <v>1532</v>
      </c>
      <c r="AR71" s="173" t="s">
        <v>1532</v>
      </c>
      <c r="AU71" s="126"/>
    </row>
    <row customHeight="1" ht="15.405000000000001" hidden="1">
      <c r="E72" s="797">
        <v>15.8</v>
      </c>
      <c r="F72" s="922" cm="1" t="str">
        <f t="array" ref="F72:F72">F71</f>
        <v>0</v>
      </c>
      <c r="T72" s="819" cm="1" t="str">
        <f t="array" ref="T72:T72">T71</f>
        <v>false</v>
      </c>
      <c r="AB72" s="288" t="s">
        <v>429</v>
      </c>
      <c r="AC72" s="407" t="s">
        <v>1533</v>
      </c>
      <c r="AD72" s="629" t="s">
        <v>810</v>
      </c>
      <c r="AE72" s="821" t="s">
        <v>1534</v>
      </c>
      <c r="AF72" s="821" t="s">
        <v>1534</v>
      </c>
      <c r="AG72" s="422" cm="1" t="str">
        <f t="array" ref="AG72:AG72">AF29</f>
        <v>0</v>
      </c>
      <c r="AH72" s="1967"/>
      <c r="AI72" s="127"/>
      <c r="AJ72" s="127"/>
      <c r="AK72" s="127"/>
      <c r="AL72" s="127"/>
      <c r="AM72" s="422" cm="1" t="str">
        <f t="array" ref="AM72:AM72">AG29</f>
        <v>0</v>
      </c>
      <c r="AN72" s="1968"/>
      <c r="AO72" s="128"/>
      <c r="AP72" s="128"/>
      <c r="AQ72" s="128"/>
      <c r="AR72" s="128"/>
      <c r="AU72" s="129"/>
      <c r="AZ72" s="1184" t="s">
        <v>1535</v>
      </c>
    </row>
    <row customHeight="1" ht="27.105" hidden="1">
      <c r="E73" s="797">
        <v>27.8</v>
      </c>
      <c r="F73" s="922" cm="1" t="str">
        <f t="array" ref="F73:F73">F72</f>
        <v>0</v>
      </c>
      <c r="T73" s="819" cm="1" t="str">
        <f t="array" ref="T73:T73">T72</f>
        <v>false</v>
      </c>
      <c r="AB73" s="288" t="s">
        <v>432</v>
      </c>
      <c r="AC73" s="635" t="s">
        <v>1536</v>
      </c>
      <c r="AD73" s="629" t="s">
        <v>810</v>
      </c>
      <c r="AE73" s="127"/>
      <c r="AF73" s="127"/>
      <c r="AG73" s="422">
        <f>SUM(AH73:AL73)</f>
        <v>0</v>
      </c>
      <c r="AH73" s="1967"/>
      <c r="AI73" s="127"/>
      <c r="AJ73" s="127"/>
      <c r="AK73" s="127"/>
      <c r="AL73" s="127"/>
      <c r="AM73" s="422">
        <f>SUM(AN73:AR73)</f>
        <v>0</v>
      </c>
      <c r="AN73" s="1968"/>
      <c r="AO73" s="128"/>
      <c r="AP73" s="128"/>
      <c r="AQ73" s="128"/>
      <c r="AR73" s="128"/>
      <c r="AU73" s="129"/>
      <c r="AZ73" s="1184" t="s">
        <v>1537</v>
      </c>
    </row>
    <row customHeight="1" ht="15.405000000000001" hidden="1">
      <c r="E74" s="797">
        <v>15.8</v>
      </c>
      <c r="F74" s="922" cm="1" t="str">
        <f t="array" ref="F74:F74">F73</f>
        <v>0</v>
      </c>
      <c r="G74" s="739" t="s">
        <v>1538</v>
      </c>
      <c r="T74" s="819" cm="1" t="str">
        <f t="array" ref="T74:T74">T73</f>
        <v>false</v>
      </c>
      <c r="AB74" s="314" t="s">
        <v>435</v>
      </c>
      <c r="AC74" s="627" t="s">
        <v>1539</v>
      </c>
      <c r="AD74" s="629" t="s">
        <v>810</v>
      </c>
      <c r="AE74" s="422" cm="1" t="str">
        <f t="array" ref="AE74:AE74">AE73</f>
        <v>0</v>
      </c>
      <c r="AF74" s="422" cm="1" t="str">
        <f t="array" ref="AF74:AF74">AF73</f>
        <v>0</v>
      </c>
      <c r="AG74" s="422">
        <f>AG72+AG73</f>
        <v>0</v>
      </c>
      <c r="AH74" s="422">
        <f>AH72+AH73</f>
        <v>0</v>
      </c>
      <c r="AI74" s="422">
        <f>AI72+AI73</f>
        <v>0</v>
      </c>
      <c r="AJ74" s="422">
        <f>AJ72+AJ73</f>
        <v>0</v>
      </c>
      <c r="AK74" s="422">
        <f>AK72+AK73</f>
        <v>0</v>
      </c>
      <c r="AL74" s="422">
        <f>AL72+AL73</f>
        <v>0</v>
      </c>
      <c r="AM74" s="422">
        <f>AM72+AM73</f>
        <v>0</v>
      </c>
      <c r="AN74" s="422">
        <f>AN72+AN73</f>
        <v>0</v>
      </c>
      <c r="AO74" s="422">
        <f>AO72+AO73</f>
        <v>0</v>
      </c>
      <c r="AP74" s="422">
        <f>AP72+AP73</f>
        <v>0</v>
      </c>
      <c r="AQ74" s="422">
        <f>AQ72+AQ73</f>
        <v>0</v>
      </c>
      <c r="AR74" s="422">
        <f>AR72+AR73</f>
        <v>0</v>
      </c>
      <c r="AU74" s="129"/>
      <c r="AZ74" s="1184" t="s">
        <v>1540</v>
      </c>
    </row>
    <row s="1969" customFormat="1" customHeight="1" ht="10.5">
      <c r="A75" s="220"/>
      <c r="B75" s="220"/>
      <c r="C75" s="220"/>
      <c r="D75" s="220"/>
      <c r="E75" s="797">
        <v>11.4</v>
      </c>
      <c r="F75" s="922" cm="1" t="str">
        <f t="array" ref="F75:F75">X75</f>
        <v>1</v>
      </c>
      <c r="G75" s="220"/>
      <c r="H75" s="220"/>
      <c r="I75" s="220"/>
      <c r="J75" s="220"/>
      <c r="K75" s="220"/>
      <c r="L75" s="220"/>
      <c r="M75" s="220"/>
      <c r="N75" s="220"/>
      <c r="O75" s="220"/>
      <c r="P75" s="220"/>
      <c r="Q75" s="220"/>
      <c r="R75" s="220"/>
      <c r="S75" s="220"/>
      <c r="T75" s="808">
        <f>X75&gt;0</f>
        <v>1</v>
      </c>
      <c r="U75" s="220"/>
      <c r="V75" s="175" cm="1" t="str">
        <f t="array" ref="V75:V75">'Ресурсы (5.4)'!$AB$37</f>
        <v>Тариф 1 (Теплоснабжение) - Тариф на тепловую энергию (мощность), поставляемую потребителям (Не определено)</v>
      </c>
      <c r="W75" s="220"/>
      <c r="X75" s="175" t="s">
        <v>336</v>
      </c>
      <c r="Y75" s="220"/>
      <c r="Z75" s="220"/>
      <c r="AA75" s="220"/>
      <c r="AB75" s="320"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1"/>
      <c r="AD75" s="321"/>
      <c r="AE75" s="321"/>
      <c r="AF75" s="321"/>
      <c r="AG75" s="321"/>
      <c r="AH75" s="220"/>
      <c r="AI75" s="220"/>
      <c r="AJ75" s="220"/>
      <c r="AK75" s="220"/>
      <c r="AL75" s="220"/>
      <c r="AM75" s="220"/>
      <c r="AN75" s="220"/>
      <c r="AO75" s="220"/>
      <c r="AP75" s="220"/>
      <c r="AQ75" s="220"/>
      <c r="AR75" s="220"/>
      <c r="AS75" s="220"/>
      <c r="AT75" s="220"/>
      <c r="AU75" s="220"/>
      <c r="AV75" s="220"/>
      <c r="AW75" s="220"/>
      <c r="AX75" s="220"/>
      <c r="AY75" s="220"/>
      <c r="AZ75" s="1184"/>
    </row>
    <row s="1632" customFormat="1" customHeight="1" ht="50.25">
      <c r="A76" s="1443"/>
      <c r="B76" s="927"/>
      <c r="C76" s="1443"/>
      <c r="D76" s="1443"/>
      <c r="E76" s="797">
        <v>51.8</v>
      </c>
      <c r="F76" s="922" cm="1" t="str">
        <f t="array" ref="F76:F76">F75</f>
        <v>1</v>
      </c>
      <c r="G76" s="965"/>
      <c r="H76" s="965"/>
      <c r="I76" s="965"/>
      <c r="J76" s="965"/>
      <c r="K76" s="965"/>
      <c r="L76" s="965"/>
      <c r="M76" s="965"/>
      <c r="N76" s="965"/>
      <c r="O76" s="965"/>
      <c r="P76" s="965"/>
      <c r="Q76" s="928"/>
      <c r="R76" s="928"/>
      <c r="S76" s="965"/>
      <c r="T76" s="819" cm="1" t="str">
        <f t="array" ref="T76:T76">T75</f>
        <v>true</v>
      </c>
      <c r="U76" s="1443"/>
      <c r="V76" s="1443"/>
      <c r="W76" s="1443"/>
      <c r="X76" s="1443"/>
      <c r="Y76" s="1443"/>
      <c r="Z76" s="1443"/>
      <c r="AA76" s="937"/>
      <c r="AB76" s="325" t="s">
        <v>336</v>
      </c>
      <c r="AC76" s="627" t="s">
        <v>63</v>
      </c>
      <c r="AD76" s="628" t="s">
        <v>1401</v>
      </c>
      <c r="AE76" s="629" t="s">
        <v>1402</v>
      </c>
      <c r="AF76" s="367">
        <f>AF77-AF115</f>
        <v>33939.28</v>
      </c>
      <c r="AG76" s="367">
        <f>AG77-AG115</f>
        <v>28735.8657142857</v>
      </c>
      <c r="AH76" s="539"/>
      <c r="AI76" s="539"/>
      <c r="AJ76" s="539"/>
      <c r="AK76" s="539"/>
      <c r="AL76" s="539"/>
      <c r="AM76" s="539"/>
      <c r="AN76" s="539"/>
      <c r="AO76" s="539"/>
      <c r="AP76" s="539"/>
      <c r="AQ76" s="539"/>
      <c r="AR76" s="539"/>
      <c r="AS76" s="539"/>
      <c r="AT76" s="539"/>
      <c r="AU76" s="539"/>
      <c r="AV76" s="539"/>
      <c r="AW76" s="539"/>
      <c r="AX76" s="539"/>
      <c r="AY76" s="539"/>
      <c r="AZ76" s="1184" t="s">
        <v>1403</v>
      </c>
    </row>
    <row s="1632" customFormat="1" customHeight="1" ht="51">
      <c r="A77" s="1443"/>
      <c r="B77" s="927"/>
      <c r="C77" s="1443"/>
      <c r="D77" s="1443"/>
      <c r="E77" s="797">
        <v>52.5</v>
      </c>
      <c r="F77" s="922" cm="1" t="str">
        <f t="array" ref="F77:F77">F76</f>
        <v>1</v>
      </c>
      <c r="G77" s="965"/>
      <c r="H77" s="965"/>
      <c r="I77" s="965"/>
      <c r="J77" s="965"/>
      <c r="K77" s="965"/>
      <c r="L77" s="965"/>
      <c r="M77" s="965"/>
      <c r="N77" s="965"/>
      <c r="O77" s="965"/>
      <c r="P77" s="965"/>
      <c r="Q77" s="928"/>
      <c r="R77" s="928"/>
      <c r="S77" s="965"/>
      <c r="T77" s="819" cm="1" t="str">
        <f t="array" ref="T77:T77">T76</f>
        <v>true</v>
      </c>
      <c r="U77" s="1443"/>
      <c r="V77" s="1443"/>
      <c r="W77" s="1443"/>
      <c r="X77" s="1443"/>
      <c r="Y77" s="1443"/>
      <c r="Z77" s="1443"/>
      <c r="AA77" s="937"/>
      <c r="AB77" s="173" t="s">
        <v>449</v>
      </c>
      <c r="AC77" s="164" t="s">
        <v>1404</v>
      </c>
      <c r="AD77" s="628" t="s">
        <v>1541</v>
      </c>
      <c r="AE77" s="629" t="s">
        <v>1402</v>
      </c>
      <c r="AF77" s="367">
        <f>AF79+AF80+AF106+AF107+AF109+AF110+AF111+AF112-AF113+AF114</f>
        <v>33939.28</v>
      </c>
      <c r="AG77" s="1713">
        <f>AG79+AG80+AG106+AG107+AG109+AG110+AG111+AG112-AG113+AG114</f>
        <v>28735.8657142857</v>
      </c>
      <c r="AH77" s="539"/>
      <c r="AI77" s="539"/>
      <c r="AJ77" s="539"/>
      <c r="AK77" s="539"/>
      <c r="AL77" s="539"/>
      <c r="AM77" s="539"/>
      <c r="AN77" s="539"/>
      <c r="AO77" s="539"/>
      <c r="AP77" s="539"/>
      <c r="AQ77" s="539"/>
      <c r="AR77" s="539"/>
      <c r="AS77" s="539"/>
      <c r="AT77" s="539"/>
      <c r="AU77" s="539"/>
      <c r="AV77" s="539"/>
      <c r="AW77" s="539"/>
      <c r="AX77" s="539"/>
      <c r="AY77" s="539"/>
      <c r="AZ77" s="1184" t="s">
        <v>1406</v>
      </c>
    </row>
    <row s="1632" customFormat="1" customHeight="1" ht="27">
      <c r="A78" s="1443"/>
      <c r="B78" s="927"/>
      <c r="C78" s="1443"/>
      <c r="D78" s="1443"/>
      <c r="E78" s="797">
        <v>27.8</v>
      </c>
      <c r="F78" s="922" cm="1" t="str">
        <f t="array" ref="F78:F78">F77</f>
        <v>1</v>
      </c>
      <c r="G78" s="965"/>
      <c r="H78" s="965"/>
      <c r="I78" s="965"/>
      <c r="J78" s="965"/>
      <c r="K78" s="965"/>
      <c r="L78" s="965"/>
      <c r="M78" s="965"/>
      <c r="N78" s="965"/>
      <c r="O78" s="965"/>
      <c r="P78" s="965"/>
      <c r="Q78" s="928"/>
      <c r="R78" s="928"/>
      <c r="S78" s="965"/>
      <c r="T78" s="819" cm="1" t="str">
        <f t="array" ref="T78:T78">T77</f>
        <v>true</v>
      </c>
      <c r="U78" s="1443"/>
      <c r="V78" s="1443"/>
      <c r="W78" s="1443"/>
      <c r="X78" s="1443"/>
      <c r="Y78" s="1443"/>
      <c r="Z78" s="1443"/>
      <c r="AA78" s="937"/>
      <c r="AB78" s="173"/>
      <c r="AC78" s="636" t="s">
        <v>1407</v>
      </c>
      <c r="AD78" s="630" t="s">
        <v>1542</v>
      </c>
      <c r="AE78" s="629" t="s">
        <v>1402</v>
      </c>
      <c r="AF78" s="1713"/>
      <c r="AG78" s="1713"/>
      <c r="AH78" s="539"/>
      <c r="AI78" s="539"/>
      <c r="AJ78" s="539"/>
      <c r="AK78" s="539"/>
      <c r="AL78" s="539"/>
      <c r="AM78" s="539"/>
      <c r="AN78" s="539"/>
      <c r="AO78" s="539"/>
      <c r="AP78" s="539"/>
      <c r="AQ78" s="539"/>
      <c r="AR78" s="539"/>
      <c r="AS78" s="539"/>
      <c r="AT78" s="539"/>
      <c r="AU78" s="539"/>
      <c r="AV78" s="539"/>
      <c r="AW78" s="539"/>
      <c r="AX78" s="539"/>
      <c r="AY78" s="539"/>
      <c r="AZ78" s="1184" t="s">
        <v>1409</v>
      </c>
    </row>
    <row s="1632" customFormat="1" customHeight="1" ht="29.25">
      <c r="A79" s="1443"/>
      <c r="B79" s="927"/>
      <c r="C79" s="1443"/>
      <c r="D79" s="1443"/>
      <c r="E79" s="797">
        <v>30</v>
      </c>
      <c r="F79" s="922" cm="1" t="str">
        <f t="array" ref="F79:F79">F78</f>
        <v>1</v>
      </c>
      <c r="G79" s="739" t="s">
        <v>1294</v>
      </c>
      <c r="H79" s="965"/>
      <c r="I79" s="965"/>
      <c r="J79" s="965"/>
      <c r="K79" s="965"/>
      <c r="L79" s="965"/>
      <c r="M79" s="965"/>
      <c r="N79" s="965"/>
      <c r="O79" s="965"/>
      <c r="P79" s="965"/>
      <c r="Q79" s="928"/>
      <c r="R79" s="928"/>
      <c r="S79" s="965"/>
      <c r="T79" s="819" cm="1" t="str">
        <f t="array" ref="T79:T79">T78</f>
        <v>true</v>
      </c>
      <c r="U79" s="1443"/>
      <c r="V79" s="1443"/>
      <c r="W79" s="1443"/>
      <c r="X79" s="1443"/>
      <c r="Y79" s="1443"/>
      <c r="Z79" s="1443"/>
      <c r="AA79" s="937"/>
      <c r="AB79" s="173" t="s">
        <v>1156</v>
      </c>
      <c r="AC79" s="562" t="s">
        <v>1410</v>
      </c>
      <c r="AD79" s="631" t="s">
        <v>1543</v>
      </c>
      <c r="AE79" s="628" t="s">
        <v>1402</v>
      </c>
      <c r="AF79" s="1713">
        <f>_xlfn.SUMIFS('Операционные (5.1)'!AF$26:AF$75,'Операционные (5.1)'!$F$26:$F$75,$F79,'Операционные (5.1)'!$G$26:$G$75,$G79)</f>
        <v>18281.53</v>
      </c>
      <c r="AG79" s="1713">
        <f>_xlfn.SUMIFS('Операционные (5.1)'!AG$26:AG$75,'Операционные (5.1)'!$F$26:$F$75,$F79,'Операционные (5.1)'!$G$26:$G$75,$G79)</f>
        <v>14992.48</v>
      </c>
      <c r="AH79" s="539"/>
      <c r="AI79" s="539"/>
      <c r="AJ79" s="539"/>
      <c r="AK79" s="539"/>
      <c r="AL79" s="539"/>
      <c r="AM79" s="539"/>
      <c r="AN79" s="539"/>
      <c r="AO79" s="539"/>
      <c r="AP79" s="539"/>
      <c r="AQ79" s="539"/>
      <c r="AR79" s="539"/>
      <c r="AS79" s="539"/>
      <c r="AT79" s="539"/>
      <c r="AU79" s="539"/>
      <c r="AV79" s="539"/>
      <c r="AW79" s="539"/>
      <c r="AX79" s="539"/>
      <c r="AY79" s="539"/>
      <c r="AZ79" s="1184" t="s">
        <v>1412</v>
      </c>
    </row>
    <row s="1632" customFormat="1" customHeight="1" ht="39.75">
      <c r="A80" s="1443"/>
      <c r="B80" s="927"/>
      <c r="C80" s="1443"/>
      <c r="D80" s="1443"/>
      <c r="E80" s="797">
        <v>41.3</v>
      </c>
      <c r="F80" s="922" cm="1" t="str">
        <f t="array" ref="F80:F80">F79</f>
        <v>1</v>
      </c>
      <c r="G80" s="965"/>
      <c r="H80" s="965"/>
      <c r="I80" s="965"/>
      <c r="J80" s="965"/>
      <c r="K80" s="965"/>
      <c r="L80" s="965"/>
      <c r="M80" s="965"/>
      <c r="N80" s="965"/>
      <c r="O80" s="965"/>
      <c r="P80" s="965"/>
      <c r="Q80" s="928"/>
      <c r="R80" s="928"/>
      <c r="S80" s="965"/>
      <c r="T80" s="819" cm="1" t="str">
        <f t="array" ref="T80:T80">T79</f>
        <v>true</v>
      </c>
      <c r="U80" s="1443"/>
      <c r="V80" s="1443"/>
      <c r="W80" s="1443"/>
      <c r="X80" s="1443"/>
      <c r="Y80" s="1443"/>
      <c r="Z80" s="1443"/>
      <c r="AA80" s="937"/>
      <c r="AB80" s="173" t="s">
        <v>1160</v>
      </c>
      <c r="AC80" s="562" t="s">
        <v>1413</v>
      </c>
      <c r="AD80" s="631" t="s">
        <v>1414</v>
      </c>
      <c r="AE80" s="628" t="s">
        <v>1402</v>
      </c>
      <c r="AF80" s="367">
        <f>AF81+AF85</f>
        <v>11710.47</v>
      </c>
      <c r="AG80" s="367">
        <f>AG81+AG85</f>
        <v>9811.10571428572</v>
      </c>
      <c r="AH80" s="539"/>
      <c r="AI80" s="539"/>
      <c r="AJ80" s="539"/>
      <c r="AK80" s="539"/>
      <c r="AL80" s="539"/>
      <c r="AM80" s="539"/>
      <c r="AN80" s="539"/>
      <c r="AO80" s="539"/>
      <c r="AP80" s="539"/>
      <c r="AQ80" s="539"/>
      <c r="AR80" s="539"/>
      <c r="AS80" s="539"/>
      <c r="AT80" s="539"/>
      <c r="AU80" s="539"/>
      <c r="AV80" s="539"/>
      <c r="AW80" s="539"/>
      <c r="AX80" s="539"/>
      <c r="AY80" s="539"/>
      <c r="AZ80" s="1184" t="s">
        <v>1415</v>
      </c>
    </row>
    <row s="1632" customFormat="1" customHeight="1" ht="55.5">
      <c r="A81" s="1443"/>
      <c r="B81" s="927"/>
      <c r="C81" s="1443"/>
      <c r="D81" s="1443"/>
      <c r="E81" s="797">
        <v>57</v>
      </c>
      <c r="F81" s="922" cm="1" t="str">
        <f t="array" ref="F81:F81">F80</f>
        <v>1</v>
      </c>
      <c r="G81" s="739" t="s">
        <v>1387</v>
      </c>
      <c r="H81" s="965"/>
      <c r="I81" s="965"/>
      <c r="J81" s="965"/>
      <c r="K81" s="965"/>
      <c r="L81" s="965"/>
      <c r="M81" s="965"/>
      <c r="N81" s="965"/>
      <c r="O81" s="965"/>
      <c r="P81" s="965"/>
      <c r="Q81" s="928"/>
      <c r="R81" s="928"/>
      <c r="S81" s="965"/>
      <c r="T81" s="819" cm="1" t="str">
        <f t="array" ref="T81:T81">T80</f>
        <v>true</v>
      </c>
      <c r="U81" s="1443"/>
      <c r="V81" s="1443"/>
      <c r="W81" s="1443"/>
      <c r="X81" s="1443"/>
      <c r="Y81" s="1443"/>
      <c r="Z81" s="1443"/>
      <c r="AA81" s="937"/>
      <c r="AB81" s="173" t="s">
        <v>1416</v>
      </c>
      <c r="AC81" s="581" t="s">
        <v>1417</v>
      </c>
      <c r="AD81" s="169" t="s">
        <v>1418</v>
      </c>
      <c r="AE81" s="629" t="s">
        <v>1402</v>
      </c>
      <c r="AF81" s="1713">
        <f>_xlfn.SUMIFS('Ресурсы (5.4)'!AF$26:AF$47,'Ресурсы (5.4)'!$F$26:$F$47,$F81,'Ресурсы (5.4)'!$G$26:$G$47,$G81)</f>
        <v>7937.13</v>
      </c>
      <c r="AG81" s="1713">
        <f>_xlfn.SUMIFS('Ресурсы (5.4)'!AG$26:AG$47,'Ресурсы (5.4)'!$F$26:$F$47,$F81,'Ресурсы (5.4)'!$G$26:$G$47,$G81)</f>
        <v>5920.92571428572</v>
      </c>
      <c r="AH81" s="539"/>
      <c r="AI81" s="539"/>
      <c r="AJ81" s="539"/>
      <c r="AK81" s="539"/>
      <c r="AL81" s="539"/>
      <c r="AM81" s="539"/>
      <c r="AN81" s="539"/>
      <c r="AO81" s="539"/>
      <c r="AP81" s="539"/>
      <c r="AQ81" s="539"/>
      <c r="AR81" s="539"/>
      <c r="AS81" s="539"/>
      <c r="AT81" s="539"/>
      <c r="AU81" s="539"/>
      <c r="AV81" s="539"/>
      <c r="AW81" s="539"/>
      <c r="AX81" s="539"/>
      <c r="AY81" s="539"/>
      <c r="AZ81" s="1184" t="s">
        <v>1419</v>
      </c>
    </row>
    <row s="1632" customFormat="1" customHeight="1" ht="24.75">
      <c r="A82" s="1443"/>
      <c r="B82" s="927"/>
      <c r="C82" s="1443"/>
      <c r="D82" s="1443"/>
      <c r="E82" s="797">
        <v>25.5</v>
      </c>
      <c r="F82" s="922" cm="1" t="str">
        <f t="array" ref="F82:F82">F81</f>
        <v>1</v>
      </c>
      <c r="G82" s="965"/>
      <c r="H82" s="965"/>
      <c r="I82" s="965"/>
      <c r="J82" s="965"/>
      <c r="K82" s="965"/>
      <c r="L82" s="965"/>
      <c r="M82" s="965"/>
      <c r="N82" s="965"/>
      <c r="O82" s="965"/>
      <c r="P82" s="965"/>
      <c r="Q82" s="928"/>
      <c r="R82" s="928"/>
      <c r="S82" s="965"/>
      <c r="T82" s="819" cm="1" t="str">
        <f t="array" ref="T82:T82">T81</f>
        <v>true</v>
      </c>
      <c r="U82" s="1443"/>
      <c r="V82" s="1443"/>
      <c r="W82" s="1443"/>
      <c r="X82" s="1443"/>
      <c r="Y82" s="1443"/>
      <c r="Z82" s="1443"/>
      <c r="AA82" s="937"/>
      <c r="AB82" s="173" t="s">
        <v>1420</v>
      </c>
      <c r="AC82" s="633" t="s">
        <v>1421</v>
      </c>
      <c r="AD82" s="169" t="s">
        <v>1422</v>
      </c>
      <c r="AE82" s="629" t="s">
        <v>778</v>
      </c>
      <c r="AF82" s="1713"/>
      <c r="AG82" s="1713"/>
      <c r="AH82" s="539"/>
      <c r="AI82" s="539"/>
      <c r="AJ82" s="539"/>
      <c r="AK82" s="539"/>
      <c r="AL82" s="539"/>
      <c r="AM82" s="539"/>
      <c r="AN82" s="539"/>
      <c r="AO82" s="539"/>
      <c r="AP82" s="539"/>
      <c r="AQ82" s="539"/>
      <c r="AR82" s="539"/>
      <c r="AS82" s="539"/>
      <c r="AT82" s="539"/>
      <c r="AU82" s="539"/>
      <c r="AV82" s="539"/>
      <c r="AW82" s="539"/>
      <c r="AX82" s="539"/>
      <c r="AY82" s="539"/>
      <c r="AZ82" s="1184" t="s">
        <v>1423</v>
      </c>
    </row>
    <row s="1632" customFormat="1" customHeight="1" ht="38.25">
      <c r="A83" s="1443"/>
      <c r="B83" s="927"/>
      <c r="C83" s="1443"/>
      <c r="D83" s="1443"/>
      <c r="E83" s="797">
        <v>39.8</v>
      </c>
      <c r="F83" s="922" cm="1" t="str">
        <f t="array" ref="F83:F83">F82</f>
        <v>1</v>
      </c>
      <c r="G83" s="965"/>
      <c r="H83" s="965"/>
      <c r="I83" s="965"/>
      <c r="J83" s="965"/>
      <c r="K83" s="965"/>
      <c r="L83" s="965"/>
      <c r="M83" s="965"/>
      <c r="N83" s="965"/>
      <c r="O83" s="965"/>
      <c r="P83" s="965"/>
      <c r="Q83" s="928"/>
      <c r="R83" s="928"/>
      <c r="S83" s="965"/>
      <c r="T83" s="819" cm="1" t="str">
        <f t="array" ref="T83:T83">T82</f>
        <v>true</v>
      </c>
      <c r="U83" s="1443"/>
      <c r="V83" s="1443"/>
      <c r="W83" s="1443"/>
      <c r="X83" s="1443"/>
      <c r="Y83" s="1443"/>
      <c r="Z83" s="1443"/>
      <c r="AA83" s="937"/>
      <c r="AB83" s="173" t="s">
        <v>1424</v>
      </c>
      <c r="AC83" s="633" t="s">
        <v>1425</v>
      </c>
      <c r="AD83" s="169" t="s">
        <v>1426</v>
      </c>
      <c r="AE83" s="629" t="s">
        <v>599</v>
      </c>
      <c r="AF83" s="1713"/>
      <c r="AG83" s="1713"/>
      <c r="AH83" s="539"/>
      <c r="AI83" s="539"/>
      <c r="AJ83" s="539"/>
      <c r="AK83" s="539"/>
      <c r="AL83" s="539"/>
      <c r="AM83" s="539"/>
      <c r="AN83" s="539"/>
      <c r="AO83" s="539"/>
      <c r="AP83" s="539"/>
      <c r="AQ83" s="539"/>
      <c r="AR83" s="539"/>
      <c r="AS83" s="539"/>
      <c r="AT83" s="539"/>
      <c r="AU83" s="539"/>
      <c r="AV83" s="539"/>
      <c r="AW83" s="539"/>
      <c r="AX83" s="539"/>
      <c r="AY83" s="539"/>
      <c r="AZ83" s="1184" t="s">
        <v>1427</v>
      </c>
    </row>
    <row s="1632" customFormat="1" customHeight="1" ht="23.25">
      <c r="A84" s="1443"/>
      <c r="B84" s="927"/>
      <c r="C84" s="1443"/>
      <c r="D84" s="1443"/>
      <c r="E84" s="797">
        <v>24</v>
      </c>
      <c r="F84" s="922" cm="1" t="str">
        <f t="array" ref="F84:F84">F83</f>
        <v>1</v>
      </c>
      <c r="G84" s="965"/>
      <c r="H84" s="965"/>
      <c r="I84" s="965"/>
      <c r="J84" s="965"/>
      <c r="K84" s="965"/>
      <c r="L84" s="965"/>
      <c r="M84" s="965"/>
      <c r="N84" s="965"/>
      <c r="O84" s="965"/>
      <c r="P84" s="965"/>
      <c r="Q84" s="928"/>
      <c r="R84" s="928"/>
      <c r="S84" s="965"/>
      <c r="T84" s="819" cm="1" t="str">
        <f t="array" ref="T84:T84">T83</f>
        <v>true</v>
      </c>
      <c r="U84" s="1443"/>
      <c r="V84" s="1443"/>
      <c r="W84" s="1443"/>
      <c r="X84" s="1443"/>
      <c r="Y84" s="1443"/>
      <c r="Z84" s="1443"/>
      <c r="AA84" s="937"/>
      <c r="AB84" s="173" t="s">
        <v>1428</v>
      </c>
      <c r="AC84" s="633" t="s">
        <v>1429</v>
      </c>
      <c r="AD84" s="169" t="s">
        <v>1544</v>
      </c>
      <c r="AE84" s="629" t="s">
        <v>1431</v>
      </c>
      <c r="AF84" s="1713"/>
      <c r="AG84" s="1713"/>
      <c r="AH84" s="539"/>
      <c r="AI84" s="539"/>
      <c r="AJ84" s="539"/>
      <c r="AK84" s="539"/>
      <c r="AL84" s="539"/>
      <c r="AM84" s="539"/>
      <c r="AN84" s="539"/>
      <c r="AO84" s="539"/>
      <c r="AP84" s="539"/>
      <c r="AQ84" s="539"/>
      <c r="AR84" s="539"/>
      <c r="AS84" s="539"/>
      <c r="AT84" s="539"/>
      <c r="AU84" s="539"/>
      <c r="AV84" s="539"/>
      <c r="AW84" s="539"/>
      <c r="AX84" s="539"/>
      <c r="AY84" s="539"/>
      <c r="AZ84" s="1184" t="s">
        <v>1432</v>
      </c>
    </row>
    <row s="1632" customFormat="1" customHeight="1" ht="56.25">
      <c r="A85" s="1443"/>
      <c r="B85" s="927"/>
      <c r="C85" s="1443"/>
      <c r="D85" s="1443"/>
      <c r="E85" s="797">
        <v>57.8</v>
      </c>
      <c r="F85" s="922" cm="1" t="str">
        <f t="array" ref="F85:F85">F84</f>
        <v>1</v>
      </c>
      <c r="G85" s="965"/>
      <c r="H85" s="965"/>
      <c r="I85" s="965"/>
      <c r="J85" s="965"/>
      <c r="K85" s="965"/>
      <c r="L85" s="965"/>
      <c r="M85" s="965"/>
      <c r="N85" s="965"/>
      <c r="O85" s="965"/>
      <c r="P85" s="965"/>
      <c r="Q85" s="928"/>
      <c r="R85" s="928"/>
      <c r="S85" s="965"/>
      <c r="T85" s="819" cm="1" t="str">
        <f t="array" ref="T85:T85">T84</f>
        <v>true</v>
      </c>
      <c r="U85" s="1443"/>
      <c r="V85" s="1443"/>
      <c r="W85" s="1443"/>
      <c r="X85" s="1443"/>
      <c r="Y85" s="1443"/>
      <c r="Z85" s="1443"/>
      <c r="AA85" s="937"/>
      <c r="AB85" s="173" t="s">
        <v>1433</v>
      </c>
      <c r="AC85" s="562" t="s">
        <v>1434</v>
      </c>
      <c r="AD85" s="169" t="s">
        <v>1435</v>
      </c>
      <c r="AE85" s="629" t="s">
        <v>1402</v>
      </c>
      <c r="AF85" s="367">
        <f>AF86+AF91+AF96+AF101</f>
        <v>3773.34</v>
      </c>
      <c r="AG85" s="367">
        <f>AG86+AG91+AG96+AG101</f>
        <v>3890.18</v>
      </c>
      <c r="AH85" s="539"/>
      <c r="AI85" s="539"/>
      <c r="AJ85" s="539"/>
      <c r="AK85" s="539"/>
      <c r="AL85" s="539"/>
      <c r="AM85" s="539"/>
      <c r="AN85" s="539"/>
      <c r="AO85" s="539"/>
      <c r="AP85" s="539"/>
      <c r="AQ85" s="539"/>
      <c r="AR85" s="539"/>
      <c r="AS85" s="539"/>
      <c r="AT85" s="539"/>
      <c r="AU85" s="539"/>
      <c r="AV85" s="539"/>
      <c r="AW85" s="539"/>
      <c r="AX85" s="539"/>
      <c r="AY85" s="539"/>
      <c r="AZ85" s="1184" t="s">
        <v>1436</v>
      </c>
    </row>
    <row s="1632" customFormat="1" customHeight="1" ht="19.5">
      <c r="A86" s="1443"/>
      <c r="B86" s="927"/>
      <c r="C86" s="1443"/>
      <c r="D86" s="1443"/>
      <c r="E86" s="797">
        <v>20.3</v>
      </c>
      <c r="F86" s="922" cm="1" t="str">
        <f t="array" ref="F86:F86">F85</f>
        <v>1</v>
      </c>
      <c r="G86" s="739" t="s">
        <v>929</v>
      </c>
      <c r="H86" s="965"/>
      <c r="I86" s="965"/>
      <c r="J86" s="965"/>
      <c r="K86" s="965"/>
      <c r="L86" s="965"/>
      <c r="M86" s="965"/>
      <c r="N86" s="965"/>
      <c r="O86" s="965"/>
      <c r="P86" s="965"/>
      <c r="Q86" s="928"/>
      <c r="R86" s="928"/>
      <c r="S86" s="965"/>
      <c r="T86" s="819" cm="1" t="str">
        <f t="array" ref="T86:T86">T85</f>
        <v>true</v>
      </c>
      <c r="U86" s="1443"/>
      <c r="V86" s="1443"/>
      <c r="W86" s="1443"/>
      <c r="X86" s="1443"/>
      <c r="Y86" s="1443"/>
      <c r="Z86" s="1443"/>
      <c r="AA86" s="937"/>
      <c r="AB86" s="173" t="s">
        <v>1437</v>
      </c>
      <c r="AC86" s="581" t="s">
        <v>1438</v>
      </c>
      <c r="AD86" s="631"/>
      <c r="AE86" s="629" t="s">
        <v>1402</v>
      </c>
      <c r="AF86" s="1713">
        <f>_xlfn.SUMIFS('Ресурсы (5.4)'!AF$26:AF$47,'Ресурсы (5.4)'!$F$26:$F$47,$F86,'Ресурсы (5.4)'!$G$26:$G$47,$G86)</f>
        <v>3508.22</v>
      </c>
      <c r="AG86" s="1713">
        <f>_xlfn.SUMIFS('Ресурсы (5.4)'!AG$26:AG$47,'Ресурсы (5.4)'!$F$26:$F$47,$F86,'Ресурсы (5.4)'!$G$26:$G$47,$G86)</f>
        <v>3606.46</v>
      </c>
      <c r="AH86" s="539"/>
      <c r="AI86" s="539"/>
      <c r="AJ86" s="539"/>
      <c r="AK86" s="539"/>
      <c r="AL86" s="539"/>
      <c r="AM86" s="539"/>
      <c r="AN86" s="539"/>
      <c r="AO86" s="539"/>
      <c r="AP86" s="539"/>
      <c r="AQ86" s="539"/>
      <c r="AR86" s="539"/>
      <c r="AS86" s="539"/>
      <c r="AT86" s="539"/>
      <c r="AU86" s="539"/>
      <c r="AV86" s="539"/>
      <c r="AW86" s="539"/>
      <c r="AX86" s="539"/>
      <c r="AY86" s="539"/>
      <c r="AZ86" s="1184" t="s">
        <v>1439</v>
      </c>
    </row>
    <row s="1632" customFormat="1" customHeight="1" ht="27">
      <c r="A87" s="1443"/>
      <c r="B87" s="927"/>
      <c r="C87" s="1443"/>
      <c r="D87" s="1443"/>
      <c r="E87" s="797">
        <v>27.8</v>
      </c>
      <c r="F87" s="922" cm="1" t="str">
        <f t="array" ref="F87:F87">F86</f>
        <v>1</v>
      </c>
      <c r="G87" s="965"/>
      <c r="H87" s="965"/>
      <c r="I87" s="965"/>
      <c r="J87" s="965"/>
      <c r="K87" s="965"/>
      <c r="L87" s="965"/>
      <c r="M87" s="965"/>
      <c r="N87" s="965"/>
      <c r="O87" s="965"/>
      <c r="P87" s="965"/>
      <c r="Q87" s="928"/>
      <c r="R87" s="928"/>
      <c r="S87" s="965"/>
      <c r="T87" s="819" cm="1" t="str">
        <f t="array" ref="T87:T87">T86</f>
        <v>true</v>
      </c>
      <c r="U87" s="1443"/>
      <c r="V87" s="1443"/>
      <c r="W87" s="1443"/>
      <c r="X87" s="1443"/>
      <c r="Y87" s="1443"/>
      <c r="Z87" s="1443"/>
      <c r="AA87" s="937"/>
      <c r="AB87" s="173" t="s">
        <v>1440</v>
      </c>
      <c r="AC87" s="633" t="s">
        <v>1441</v>
      </c>
      <c r="AD87" s="169" t="s">
        <v>1545</v>
      </c>
      <c r="AE87" s="157" t="s">
        <v>1443</v>
      </c>
      <c r="AF87" s="1713"/>
      <c r="AG87" s="1713"/>
      <c r="AH87" s="539"/>
      <c r="AI87" s="539"/>
      <c r="AJ87" s="539"/>
      <c r="AK87" s="539"/>
      <c r="AL87" s="539"/>
      <c r="AM87" s="539"/>
      <c r="AN87" s="539"/>
      <c r="AO87" s="539"/>
      <c r="AP87" s="539"/>
      <c r="AQ87" s="539"/>
      <c r="AR87" s="539"/>
      <c r="AS87" s="539"/>
      <c r="AT87" s="539"/>
      <c r="AU87" s="539"/>
      <c r="AV87" s="539"/>
      <c r="AW87" s="539"/>
      <c r="AX87" s="539"/>
      <c r="AY87" s="539"/>
      <c r="AZ87" s="1184" t="s">
        <v>950</v>
      </c>
    </row>
    <row s="1632" customFormat="1" customHeight="1" ht="26.25">
      <c r="A88" s="1443"/>
      <c r="B88" s="927"/>
      <c r="C88" s="1443"/>
      <c r="D88" s="1443"/>
      <c r="E88" s="797">
        <v>27</v>
      </c>
      <c r="F88" s="922" cm="1" t="str">
        <f t="array" ref="F88:F88">F87</f>
        <v>1</v>
      </c>
      <c r="G88" s="965"/>
      <c r="H88" s="965"/>
      <c r="I88" s="965"/>
      <c r="J88" s="965"/>
      <c r="K88" s="965"/>
      <c r="L88" s="965"/>
      <c r="M88" s="965"/>
      <c r="N88" s="965"/>
      <c r="O88" s="965"/>
      <c r="P88" s="965"/>
      <c r="Q88" s="928"/>
      <c r="R88" s="928"/>
      <c r="S88" s="965"/>
      <c r="T88" s="819" cm="1" t="str">
        <f t="array" ref="T88:T88">T87</f>
        <v>true</v>
      </c>
      <c r="U88" s="1443"/>
      <c r="V88" s="1443"/>
      <c r="W88" s="1443"/>
      <c r="X88" s="1443"/>
      <c r="Y88" s="1443"/>
      <c r="Z88" s="1443"/>
      <c r="AA88" s="937"/>
      <c r="AB88" s="173" t="s">
        <v>1444</v>
      </c>
      <c r="AC88" s="633" t="s">
        <v>1445</v>
      </c>
      <c r="AD88" s="169" t="s">
        <v>1546</v>
      </c>
      <c r="AE88" s="629" t="s">
        <v>599</v>
      </c>
      <c r="AF88" s="1713"/>
      <c r="AG88" s="1713"/>
      <c r="AH88" s="539"/>
      <c r="AI88" s="539"/>
      <c r="AJ88" s="539"/>
      <c r="AK88" s="539"/>
      <c r="AL88" s="539"/>
      <c r="AM88" s="539"/>
      <c r="AN88" s="539"/>
      <c r="AO88" s="539"/>
      <c r="AP88" s="539"/>
      <c r="AQ88" s="539"/>
      <c r="AR88" s="539"/>
      <c r="AS88" s="539"/>
      <c r="AT88" s="539"/>
      <c r="AU88" s="539"/>
      <c r="AV88" s="539"/>
      <c r="AW88" s="539"/>
      <c r="AX88" s="539"/>
      <c r="AY88" s="539"/>
      <c r="AZ88" s="1184" t="s">
        <v>1447</v>
      </c>
    </row>
    <row s="1632" customFormat="1" customHeight="1" ht="28.5">
      <c r="A89" s="1443"/>
      <c r="B89" s="927"/>
      <c r="C89" s="1443"/>
      <c r="D89" s="1443"/>
      <c r="E89" s="797">
        <v>29.3</v>
      </c>
      <c r="F89" s="922" cm="1" t="str">
        <f t="array" ref="F89:F89">F88</f>
        <v>1</v>
      </c>
      <c r="G89" s="965"/>
      <c r="H89" s="965"/>
      <c r="I89" s="965"/>
      <c r="J89" s="965"/>
      <c r="K89" s="965"/>
      <c r="L89" s="965"/>
      <c r="M89" s="965"/>
      <c r="N89" s="965"/>
      <c r="O89" s="965"/>
      <c r="P89" s="965"/>
      <c r="Q89" s="928"/>
      <c r="R89" s="928"/>
      <c r="S89" s="965"/>
      <c r="T89" s="819" cm="1" t="str">
        <f t="array" ref="T89:T89">T88</f>
        <v>true</v>
      </c>
      <c r="U89" s="1443"/>
      <c r="V89" s="1443"/>
      <c r="W89" s="1443"/>
      <c r="X89" s="1443"/>
      <c r="Y89" s="1443"/>
      <c r="Z89" s="1443"/>
      <c r="AA89" s="937"/>
      <c r="AB89" s="173" t="s">
        <v>1448</v>
      </c>
      <c r="AC89" s="633" t="s">
        <v>1449</v>
      </c>
      <c r="AD89" s="169" t="s">
        <v>1547</v>
      </c>
      <c r="AE89" s="629" t="s">
        <v>599</v>
      </c>
      <c r="AF89" s="1713"/>
      <c r="AG89" s="1713"/>
      <c r="AH89" s="539"/>
      <c r="AI89" s="539"/>
      <c r="AJ89" s="539"/>
      <c r="AK89" s="539"/>
      <c r="AL89" s="539"/>
      <c r="AM89" s="539"/>
      <c r="AN89" s="539"/>
      <c r="AO89" s="539"/>
      <c r="AP89" s="539"/>
      <c r="AQ89" s="539"/>
      <c r="AR89" s="539"/>
      <c r="AS89" s="539"/>
      <c r="AT89" s="539"/>
      <c r="AU89" s="539"/>
      <c r="AV89" s="539"/>
      <c r="AW89" s="539"/>
      <c r="AX89" s="539"/>
      <c r="AY89" s="539"/>
      <c r="AZ89" s="1184" t="s">
        <v>1451</v>
      </c>
    </row>
    <row s="1632" customFormat="1" customHeight="1" ht="33">
      <c r="A90" s="1443"/>
      <c r="B90" s="927"/>
      <c r="C90" s="1443"/>
      <c r="D90" s="1443"/>
      <c r="E90" s="797">
        <v>34.5</v>
      </c>
      <c r="F90" s="922" cm="1" t="str">
        <f t="array" ref="F90:F90">F89</f>
        <v>1</v>
      </c>
      <c r="G90" s="965"/>
      <c r="H90" s="965"/>
      <c r="I90" s="965"/>
      <c r="J90" s="965"/>
      <c r="K90" s="965"/>
      <c r="L90" s="965"/>
      <c r="M90" s="965"/>
      <c r="N90" s="965"/>
      <c r="O90" s="965"/>
      <c r="P90" s="965"/>
      <c r="Q90" s="928"/>
      <c r="R90" s="928"/>
      <c r="S90" s="965"/>
      <c r="T90" s="819" cm="1" t="str">
        <f t="array" ref="T90:T90">T89</f>
        <v>true</v>
      </c>
      <c r="U90" s="1443"/>
      <c r="V90" s="1443"/>
      <c r="W90" s="1443"/>
      <c r="X90" s="1443"/>
      <c r="Y90" s="1443"/>
      <c r="Z90" s="1443"/>
      <c r="AA90" s="937"/>
      <c r="AB90" s="173" t="s">
        <v>1452</v>
      </c>
      <c r="AC90" s="633" t="s">
        <v>1453</v>
      </c>
      <c r="AD90" s="169" t="s">
        <v>1548</v>
      </c>
      <c r="AE90" s="629" t="s">
        <v>939</v>
      </c>
      <c r="AF90" s="1713"/>
      <c r="AG90" s="1713"/>
      <c r="AH90" s="539"/>
      <c r="AI90" s="539"/>
      <c r="AJ90" s="539"/>
      <c r="AK90" s="539"/>
      <c r="AL90" s="539"/>
      <c r="AM90" s="539"/>
      <c r="AN90" s="539"/>
      <c r="AO90" s="539"/>
      <c r="AP90" s="539"/>
      <c r="AQ90" s="539"/>
      <c r="AR90" s="539"/>
      <c r="AS90" s="539"/>
      <c r="AT90" s="539"/>
      <c r="AU90" s="539"/>
      <c r="AV90" s="539"/>
      <c r="AW90" s="539"/>
      <c r="AX90" s="539"/>
      <c r="AY90" s="539"/>
      <c r="AZ90" s="1184" t="s">
        <v>1455</v>
      </c>
    </row>
    <row s="1632" customFormat="1" customHeight="1" ht="16.5">
      <c r="A91" s="1443"/>
      <c r="B91" s="927"/>
      <c r="C91" s="1443"/>
      <c r="D91" s="1443"/>
      <c r="E91" s="797">
        <v>17.3</v>
      </c>
      <c r="F91" s="922" cm="1" t="str">
        <f t="array" ref="F91:F91">F90</f>
        <v>1</v>
      </c>
      <c r="G91" s="739" t="s">
        <v>996</v>
      </c>
      <c r="H91" s="965"/>
      <c r="I91" s="965"/>
      <c r="J91" s="965"/>
      <c r="K91" s="965"/>
      <c r="L91" s="965"/>
      <c r="M91" s="965"/>
      <c r="N91" s="965"/>
      <c r="O91" s="965"/>
      <c r="P91" s="965"/>
      <c r="Q91" s="928"/>
      <c r="R91" s="928"/>
      <c r="S91" s="965"/>
      <c r="T91" s="819" cm="1" t="str">
        <f t="array" ref="T91:T91">T90</f>
        <v>true</v>
      </c>
      <c r="U91" s="1443"/>
      <c r="V91" s="1443"/>
      <c r="W91" s="1443"/>
      <c r="X91" s="1443"/>
      <c r="Y91" s="1443"/>
      <c r="Z91" s="1443"/>
      <c r="AA91" s="937"/>
      <c r="AB91" s="173" t="s">
        <v>1456</v>
      </c>
      <c r="AC91" s="581" t="s">
        <v>1457</v>
      </c>
      <c r="AD91" s="631"/>
      <c r="AE91" s="629" t="s">
        <v>1402</v>
      </c>
      <c r="AF91" s="1713">
        <f>_xlfn.SUMIFS('Ресурсы (5.4)'!AF$26:AF$47,'Ресурсы (5.4)'!$F$26:$F$47,$F91,'Ресурсы (5.4)'!$G$26:$G$47,$G91)</f>
        <v>265.12</v>
      </c>
      <c r="AG91" s="1713">
        <f>_xlfn.SUMIFS('Ресурсы (5.4)'!AG$26:AG$47,'Ресурсы (5.4)'!$F$26:$F$47,$F91,'Ресурсы (5.4)'!$G$26:$G$47,$G91)</f>
        <v>283.72</v>
      </c>
      <c r="AH91" s="539"/>
      <c r="AI91" s="539"/>
      <c r="AJ91" s="539"/>
      <c r="AK91" s="539"/>
      <c r="AL91" s="539"/>
      <c r="AM91" s="539"/>
      <c r="AN91" s="539"/>
      <c r="AO91" s="539"/>
      <c r="AP91" s="539"/>
      <c r="AQ91" s="539"/>
      <c r="AR91" s="539"/>
      <c r="AS91" s="539"/>
      <c r="AT91" s="539"/>
      <c r="AU91" s="539"/>
      <c r="AV91" s="539"/>
      <c r="AW91" s="539"/>
      <c r="AX91" s="539"/>
      <c r="AY91" s="539"/>
      <c r="AZ91" s="1184" t="s">
        <v>1458</v>
      </c>
    </row>
    <row s="1632" customFormat="1" customHeight="1" ht="30">
      <c r="A92" s="1443"/>
      <c r="B92" s="927"/>
      <c r="C92" s="1443"/>
      <c r="D92" s="1443"/>
      <c r="E92" s="797">
        <v>30.8</v>
      </c>
      <c r="F92" s="922" cm="1" t="str">
        <f t="array" ref="F92:F92">F91</f>
        <v>1</v>
      </c>
      <c r="G92" s="965"/>
      <c r="H92" s="965"/>
      <c r="I92" s="965"/>
      <c r="J92" s="965"/>
      <c r="K92" s="965"/>
      <c r="L92" s="965"/>
      <c r="M92" s="965"/>
      <c r="N92" s="965"/>
      <c r="O92" s="965"/>
      <c r="P92" s="965"/>
      <c r="Q92" s="928"/>
      <c r="R92" s="928"/>
      <c r="S92" s="965"/>
      <c r="T92" s="819" cm="1" t="str">
        <f t="array" ref="T92:T92">T91</f>
        <v>true</v>
      </c>
      <c r="U92" s="1443"/>
      <c r="V92" s="1443"/>
      <c r="W92" s="1443"/>
      <c r="X92" s="1443"/>
      <c r="Y92" s="1443"/>
      <c r="Z92" s="1443"/>
      <c r="AA92" s="937"/>
      <c r="AB92" s="173" t="s">
        <v>1459</v>
      </c>
      <c r="AC92" s="633" t="s">
        <v>1460</v>
      </c>
      <c r="AD92" s="169" t="s">
        <v>1549</v>
      </c>
      <c r="AE92" s="629" t="s">
        <v>1462</v>
      </c>
      <c r="AF92" s="1713"/>
      <c r="AG92" s="1713"/>
      <c r="AH92" s="539"/>
      <c r="AI92" s="539"/>
      <c r="AJ92" s="539"/>
      <c r="AK92" s="539"/>
      <c r="AL92" s="539"/>
      <c r="AM92" s="539"/>
      <c r="AN92" s="539"/>
      <c r="AO92" s="539"/>
      <c r="AP92" s="539"/>
      <c r="AQ92" s="539"/>
      <c r="AR92" s="539"/>
      <c r="AS92" s="539"/>
      <c r="AT92" s="539"/>
      <c r="AU92" s="539"/>
      <c r="AV92" s="539"/>
      <c r="AW92" s="539"/>
      <c r="AX92" s="539"/>
      <c r="AY92" s="539"/>
      <c r="AZ92" s="1184" t="s">
        <v>1005</v>
      </c>
    </row>
    <row s="1632" customFormat="1" customHeight="1" ht="30">
      <c r="A93" s="1443"/>
      <c r="B93" s="927"/>
      <c r="C93" s="1443"/>
      <c r="D93" s="1443"/>
      <c r="E93" s="797">
        <v>30.8</v>
      </c>
      <c r="F93" s="922" cm="1" t="str">
        <f t="array" ref="F93:F93">F92</f>
        <v>1</v>
      </c>
      <c r="G93" s="965"/>
      <c r="H93" s="965"/>
      <c r="I93" s="965"/>
      <c r="J93" s="965"/>
      <c r="K93" s="965"/>
      <c r="L93" s="965"/>
      <c r="M93" s="965"/>
      <c r="N93" s="965"/>
      <c r="O93" s="965"/>
      <c r="P93" s="965"/>
      <c r="Q93" s="928"/>
      <c r="R93" s="928"/>
      <c r="S93" s="965"/>
      <c r="T93" s="819" cm="1" t="str">
        <f t="array" ref="T93:T93">T92</f>
        <v>true</v>
      </c>
      <c r="U93" s="1443"/>
      <c r="V93" s="1443"/>
      <c r="W93" s="1443"/>
      <c r="X93" s="1443"/>
      <c r="Y93" s="1443"/>
      <c r="Z93" s="1443"/>
      <c r="AA93" s="937"/>
      <c r="AB93" s="173" t="s">
        <v>1463</v>
      </c>
      <c r="AC93" s="633" t="s">
        <v>1445</v>
      </c>
      <c r="AD93" s="169" t="s">
        <v>1546</v>
      </c>
      <c r="AE93" s="629" t="s">
        <v>599</v>
      </c>
      <c r="AF93" s="1713"/>
      <c r="AG93" s="1713"/>
      <c r="AH93" s="539"/>
      <c r="AI93" s="539"/>
      <c r="AJ93" s="539"/>
      <c r="AK93" s="539"/>
      <c r="AL93" s="539"/>
      <c r="AM93" s="539"/>
      <c r="AN93" s="539"/>
      <c r="AO93" s="539"/>
      <c r="AP93" s="539"/>
      <c r="AQ93" s="539"/>
      <c r="AR93" s="539"/>
      <c r="AS93" s="539"/>
      <c r="AT93" s="539"/>
      <c r="AU93" s="539"/>
      <c r="AV93" s="539"/>
      <c r="AW93" s="539"/>
      <c r="AX93" s="539"/>
      <c r="AY93" s="539"/>
      <c r="AZ93" s="1184" t="s">
        <v>1464</v>
      </c>
    </row>
    <row s="1632" customFormat="1" customHeight="1" ht="29.25">
      <c r="A94" s="1443"/>
      <c r="B94" s="927"/>
      <c r="C94" s="1443"/>
      <c r="D94" s="1443"/>
      <c r="E94" s="797">
        <v>30</v>
      </c>
      <c r="F94" s="922" cm="1" t="str">
        <f t="array" ref="F94:F94">F93</f>
        <v>1</v>
      </c>
      <c r="G94" s="965"/>
      <c r="H94" s="965"/>
      <c r="I94" s="965"/>
      <c r="J94" s="965"/>
      <c r="K94" s="965"/>
      <c r="L94" s="965"/>
      <c r="M94" s="965"/>
      <c r="N94" s="965"/>
      <c r="O94" s="965"/>
      <c r="P94" s="965"/>
      <c r="Q94" s="928"/>
      <c r="R94" s="928"/>
      <c r="S94" s="965"/>
      <c r="T94" s="819" cm="1" t="str">
        <f t="array" ref="T94:T94">T93</f>
        <v>true</v>
      </c>
      <c r="U94" s="1443"/>
      <c r="V94" s="1443"/>
      <c r="W94" s="1443"/>
      <c r="X94" s="1443"/>
      <c r="Y94" s="1443"/>
      <c r="Z94" s="1443"/>
      <c r="AA94" s="937"/>
      <c r="AB94" s="173" t="s">
        <v>1465</v>
      </c>
      <c r="AC94" s="633" t="s">
        <v>1449</v>
      </c>
      <c r="AD94" s="169" t="s">
        <v>1547</v>
      </c>
      <c r="AE94" s="629" t="s">
        <v>599</v>
      </c>
      <c r="AF94" s="1713"/>
      <c r="AG94" s="1713"/>
      <c r="AH94" s="539"/>
      <c r="AI94" s="539"/>
      <c r="AJ94" s="539"/>
      <c r="AK94" s="539"/>
      <c r="AL94" s="539"/>
      <c r="AM94" s="539"/>
      <c r="AN94" s="539"/>
      <c r="AO94" s="539"/>
      <c r="AP94" s="539"/>
      <c r="AQ94" s="539"/>
      <c r="AR94" s="539"/>
      <c r="AS94" s="539"/>
      <c r="AT94" s="539"/>
      <c r="AU94" s="539"/>
      <c r="AV94" s="539"/>
      <c r="AW94" s="539"/>
      <c r="AX94" s="539"/>
      <c r="AY94" s="539"/>
      <c r="AZ94" s="1184" t="s">
        <v>1466</v>
      </c>
    </row>
    <row s="1632" customFormat="1" customHeight="1" ht="21">
      <c r="A95" s="1443"/>
      <c r="B95" s="927"/>
      <c r="C95" s="1443"/>
      <c r="D95" s="1443"/>
      <c r="E95" s="797">
        <v>21.8</v>
      </c>
      <c r="F95" s="922" cm="1" t="str">
        <f t="array" ref="F95:F95">F94</f>
        <v>1</v>
      </c>
      <c r="G95" s="965"/>
      <c r="H95" s="965"/>
      <c r="I95" s="965"/>
      <c r="J95" s="965"/>
      <c r="K95" s="965"/>
      <c r="L95" s="965"/>
      <c r="M95" s="965"/>
      <c r="N95" s="965"/>
      <c r="O95" s="965"/>
      <c r="P95" s="965"/>
      <c r="Q95" s="928"/>
      <c r="R95" s="928"/>
      <c r="S95" s="965"/>
      <c r="T95" s="819" cm="1" t="str">
        <f t="array" ref="T95:T95">T94</f>
        <v>true</v>
      </c>
      <c r="U95" s="1443"/>
      <c r="V95" s="1443"/>
      <c r="W95" s="1443"/>
      <c r="X95" s="1443"/>
      <c r="Y95" s="1443"/>
      <c r="Z95" s="1443"/>
      <c r="AA95" s="937"/>
      <c r="AB95" s="173" t="s">
        <v>1467</v>
      </c>
      <c r="AC95" s="633" t="s">
        <v>1468</v>
      </c>
      <c r="AD95" s="169" t="s">
        <v>1548</v>
      </c>
      <c r="AE95" s="629" t="s">
        <v>1469</v>
      </c>
      <c r="AF95" s="1713"/>
      <c r="AG95" s="1713"/>
      <c r="AH95" s="539"/>
      <c r="AI95" s="539"/>
      <c r="AJ95" s="539"/>
      <c r="AK95" s="539"/>
      <c r="AL95" s="539"/>
      <c r="AM95" s="539"/>
      <c r="AN95" s="539"/>
      <c r="AO95" s="539"/>
      <c r="AP95" s="539"/>
      <c r="AQ95" s="539"/>
      <c r="AR95" s="539"/>
      <c r="AS95" s="539"/>
      <c r="AT95" s="539"/>
      <c r="AU95" s="539"/>
      <c r="AV95" s="539"/>
      <c r="AW95" s="539"/>
      <c r="AX95" s="539"/>
      <c r="AY95" s="539"/>
      <c r="AZ95" s="1184" t="s">
        <v>1470</v>
      </c>
    </row>
    <row s="1632" customFormat="1" customHeight="1" ht="15.75">
      <c r="A96" s="1443"/>
      <c r="B96" s="927"/>
      <c r="C96" s="1443"/>
      <c r="D96" s="1443"/>
      <c r="E96" s="797">
        <v>16.5</v>
      </c>
      <c r="F96" s="922" cm="1" t="str">
        <f t="array" ref="F96:F96">F95</f>
        <v>1</v>
      </c>
      <c r="G96" s="739" t="s">
        <v>964</v>
      </c>
      <c r="H96" s="965"/>
      <c r="I96" s="965"/>
      <c r="J96" s="965"/>
      <c r="K96" s="965"/>
      <c r="L96" s="965"/>
      <c r="M96" s="965"/>
      <c r="N96" s="965"/>
      <c r="O96" s="965"/>
      <c r="P96" s="965"/>
      <c r="Q96" s="928"/>
      <c r="R96" s="928"/>
      <c r="S96" s="965"/>
      <c r="T96" s="819" cm="1" t="str">
        <f t="array" ref="T96:T96">T95</f>
        <v>true</v>
      </c>
      <c r="U96" s="1443"/>
      <c r="V96" s="1443"/>
      <c r="W96" s="1443"/>
      <c r="X96" s="1443"/>
      <c r="Y96" s="1443"/>
      <c r="Z96" s="1443"/>
      <c r="AA96" s="937"/>
      <c r="AB96" s="173" t="s">
        <v>1471</v>
      </c>
      <c r="AC96" s="581" t="s">
        <v>1472</v>
      </c>
      <c r="AD96" s="631"/>
      <c r="AE96" s="629" t="s">
        <v>1402</v>
      </c>
      <c r="AF96" s="1713">
        <f>_xlfn.SUMIFS('Ресурсы (5.4)'!AF$26:AF$47,'Ресурсы (5.4)'!$F$26:$F$47,$F96,'Ресурсы (5.4)'!$G$26:$G$47,$G96)</f>
        <v>0</v>
      </c>
      <c r="AG96" s="1713">
        <f>_xlfn.SUMIFS('Ресурсы (5.4)'!AG$26:AG$47,'Ресурсы (5.4)'!$F$26:$F$47,$F96,'Ресурсы (5.4)'!$G$26:$G$47,$G96)</f>
        <v>0</v>
      </c>
      <c r="AH96" s="539"/>
      <c r="AI96" s="539"/>
      <c r="AJ96" s="539"/>
      <c r="AK96" s="539"/>
      <c r="AL96" s="539"/>
      <c r="AM96" s="539"/>
      <c r="AN96" s="539"/>
      <c r="AO96" s="539"/>
      <c r="AP96" s="539"/>
      <c r="AQ96" s="539"/>
      <c r="AR96" s="539"/>
      <c r="AS96" s="539"/>
      <c r="AT96" s="539"/>
      <c r="AU96" s="539"/>
      <c r="AV96" s="539"/>
      <c r="AW96" s="539"/>
      <c r="AX96" s="539"/>
      <c r="AY96" s="539"/>
      <c r="AZ96" s="1184" t="s">
        <v>1473</v>
      </c>
    </row>
    <row s="1632" customFormat="1" customHeight="1" ht="28.5">
      <c r="A97" s="1443"/>
      <c r="B97" s="927"/>
      <c r="C97" s="1443"/>
      <c r="D97" s="1443"/>
      <c r="E97" s="797">
        <v>29.3</v>
      </c>
      <c r="F97" s="922" cm="1" t="str">
        <f t="array" ref="F97:F97">F96</f>
        <v>1</v>
      </c>
      <c r="G97" s="965"/>
      <c r="H97" s="965"/>
      <c r="I97" s="965"/>
      <c r="J97" s="965"/>
      <c r="K97" s="965"/>
      <c r="L97" s="965"/>
      <c r="M97" s="965"/>
      <c r="N97" s="965"/>
      <c r="O97" s="965"/>
      <c r="P97" s="965"/>
      <c r="Q97" s="928"/>
      <c r="R97" s="928"/>
      <c r="S97" s="965"/>
      <c r="T97" s="819" cm="1" t="str">
        <f t="array" ref="T97:T97">T96</f>
        <v>true</v>
      </c>
      <c r="U97" s="1443"/>
      <c r="V97" s="1443"/>
      <c r="W97" s="1443"/>
      <c r="X97" s="1443"/>
      <c r="Y97" s="1443"/>
      <c r="Z97" s="1443"/>
      <c r="AA97" s="937"/>
      <c r="AB97" s="173" t="s">
        <v>1474</v>
      </c>
      <c r="AC97" s="633" t="s">
        <v>1475</v>
      </c>
      <c r="AD97" s="169" t="s">
        <v>1550</v>
      </c>
      <c r="AE97" s="629" t="s">
        <v>599</v>
      </c>
      <c r="AF97" s="1713"/>
      <c r="AG97" s="1713"/>
      <c r="AH97" s="539"/>
      <c r="AI97" s="539"/>
      <c r="AJ97" s="539"/>
      <c r="AK97" s="539"/>
      <c r="AL97" s="539"/>
      <c r="AM97" s="539"/>
      <c r="AN97" s="539"/>
      <c r="AO97" s="539"/>
      <c r="AP97" s="539"/>
      <c r="AQ97" s="539"/>
      <c r="AR97" s="539"/>
      <c r="AS97" s="539"/>
      <c r="AT97" s="539"/>
      <c r="AU97" s="539"/>
      <c r="AV97" s="539"/>
      <c r="AW97" s="539"/>
      <c r="AX97" s="539"/>
      <c r="AY97" s="539"/>
      <c r="AZ97" s="1184" t="s">
        <v>986</v>
      </c>
    </row>
    <row s="1632" customFormat="1" customHeight="1" ht="30">
      <c r="A98" s="1443"/>
      <c r="B98" s="927"/>
      <c r="C98" s="1443"/>
      <c r="D98" s="1443"/>
      <c r="E98" s="797">
        <v>31.5</v>
      </c>
      <c r="F98" s="922" cm="1" t="str">
        <f t="array" ref="F98:F98">F97</f>
        <v>1</v>
      </c>
      <c r="G98" s="965"/>
      <c r="H98" s="965"/>
      <c r="I98" s="965"/>
      <c r="J98" s="965"/>
      <c r="K98" s="965"/>
      <c r="L98" s="965"/>
      <c r="M98" s="965"/>
      <c r="N98" s="965"/>
      <c r="O98" s="965"/>
      <c r="P98" s="965"/>
      <c r="Q98" s="928"/>
      <c r="R98" s="928"/>
      <c r="S98" s="965"/>
      <c r="T98" s="819" cm="1" t="str">
        <f t="array" ref="T98:T98">T97</f>
        <v>true</v>
      </c>
      <c r="U98" s="1443"/>
      <c r="V98" s="1443"/>
      <c r="W98" s="1443"/>
      <c r="X98" s="1443"/>
      <c r="Y98" s="1443"/>
      <c r="Z98" s="1443"/>
      <c r="AA98" s="937"/>
      <c r="AB98" s="173" t="s">
        <v>1477</v>
      </c>
      <c r="AC98" s="633" t="s">
        <v>1445</v>
      </c>
      <c r="AD98" s="169" t="s">
        <v>1546</v>
      </c>
      <c r="AE98" s="629" t="s">
        <v>599</v>
      </c>
      <c r="AF98" s="1713"/>
      <c r="AG98" s="1713"/>
      <c r="AH98" s="539"/>
      <c r="AI98" s="539"/>
      <c r="AJ98" s="539"/>
      <c r="AK98" s="539"/>
      <c r="AL98" s="539"/>
      <c r="AM98" s="539"/>
      <c r="AN98" s="539"/>
      <c r="AO98" s="539"/>
      <c r="AP98" s="539"/>
      <c r="AQ98" s="539"/>
      <c r="AR98" s="539"/>
      <c r="AS98" s="539"/>
      <c r="AT98" s="539"/>
      <c r="AU98" s="539"/>
      <c r="AV98" s="539"/>
      <c r="AW98" s="539"/>
      <c r="AX98" s="539"/>
      <c r="AY98" s="539"/>
      <c r="AZ98" s="1184" t="s">
        <v>1427</v>
      </c>
    </row>
    <row s="1632" customFormat="1" customHeight="1" ht="27.75">
      <c r="A99" s="1443"/>
      <c r="B99" s="927"/>
      <c r="C99" s="1443"/>
      <c r="D99" s="1443"/>
      <c r="E99" s="797">
        <v>28.5</v>
      </c>
      <c r="F99" s="922" cm="1" t="str">
        <f t="array" ref="F99:F99">F98</f>
        <v>1</v>
      </c>
      <c r="G99" s="965"/>
      <c r="H99" s="965"/>
      <c r="I99" s="965"/>
      <c r="J99" s="965"/>
      <c r="K99" s="965"/>
      <c r="L99" s="965"/>
      <c r="M99" s="965"/>
      <c r="N99" s="965"/>
      <c r="O99" s="965"/>
      <c r="P99" s="965"/>
      <c r="Q99" s="928"/>
      <c r="R99" s="928"/>
      <c r="S99" s="965"/>
      <c r="T99" s="819" cm="1" t="str">
        <f t="array" ref="T99:T99">T98</f>
        <v>true</v>
      </c>
      <c r="U99" s="1443"/>
      <c r="V99" s="1443"/>
      <c r="W99" s="1443"/>
      <c r="X99" s="1443"/>
      <c r="Y99" s="1443"/>
      <c r="Z99" s="1443"/>
      <c r="AA99" s="937"/>
      <c r="AB99" s="173" t="s">
        <v>1478</v>
      </c>
      <c r="AC99" s="633" t="s">
        <v>1449</v>
      </c>
      <c r="AD99" s="169" t="s">
        <v>1547</v>
      </c>
      <c r="AE99" s="629" t="s">
        <v>599</v>
      </c>
      <c r="AF99" s="1713"/>
      <c r="AG99" s="1713"/>
      <c r="AH99" s="539"/>
      <c r="AI99" s="539"/>
      <c r="AJ99" s="539"/>
      <c r="AK99" s="539"/>
      <c r="AL99" s="539"/>
      <c r="AM99" s="539"/>
      <c r="AN99" s="539"/>
      <c r="AO99" s="539"/>
      <c r="AP99" s="539"/>
      <c r="AQ99" s="539"/>
      <c r="AR99" s="539"/>
      <c r="AS99" s="539"/>
      <c r="AT99" s="539"/>
      <c r="AU99" s="539"/>
      <c r="AV99" s="539"/>
      <c r="AW99" s="539"/>
      <c r="AX99" s="539"/>
      <c r="AY99" s="539"/>
      <c r="AZ99" s="1184" t="s">
        <v>1479</v>
      </c>
    </row>
    <row s="1632" customFormat="1" customHeight="1" ht="21.75">
      <c r="A100" s="1443"/>
      <c r="B100" s="927"/>
      <c r="C100" s="1443"/>
      <c r="D100" s="1443"/>
      <c r="E100" s="797">
        <v>22.8</v>
      </c>
      <c r="F100" s="922" cm="1" t="str">
        <f t="array" ref="F100:F100">F99</f>
        <v>1</v>
      </c>
      <c r="G100" s="965"/>
      <c r="H100" s="965"/>
      <c r="I100" s="965"/>
      <c r="J100" s="965"/>
      <c r="K100" s="965"/>
      <c r="L100" s="965"/>
      <c r="M100" s="965"/>
      <c r="N100" s="965"/>
      <c r="O100" s="965"/>
      <c r="P100" s="965"/>
      <c r="Q100" s="928"/>
      <c r="R100" s="928"/>
      <c r="S100" s="965"/>
      <c r="T100" s="819" cm="1" t="str">
        <f t="array" ref="T100:T100">T99</f>
        <v>true</v>
      </c>
      <c r="U100" s="1443"/>
      <c r="V100" s="1443"/>
      <c r="W100" s="1443"/>
      <c r="X100" s="1443"/>
      <c r="Y100" s="1443"/>
      <c r="Z100" s="1443"/>
      <c r="AA100" s="937"/>
      <c r="AB100" s="173" t="s">
        <v>1480</v>
      </c>
      <c r="AC100" s="633" t="s">
        <v>1481</v>
      </c>
      <c r="AD100" s="169" t="s">
        <v>1548</v>
      </c>
      <c r="AE100" s="629" t="s">
        <v>900</v>
      </c>
      <c r="AF100" s="1713"/>
      <c r="AG100" s="1713"/>
      <c r="AH100" s="539"/>
      <c r="AI100" s="539"/>
      <c r="AJ100" s="539"/>
      <c r="AK100" s="539"/>
      <c r="AL100" s="539"/>
      <c r="AM100" s="539"/>
      <c r="AN100" s="539"/>
      <c r="AO100" s="539"/>
      <c r="AP100" s="539"/>
      <c r="AQ100" s="539"/>
      <c r="AR100" s="539"/>
      <c r="AS100" s="539"/>
      <c r="AT100" s="539"/>
      <c r="AU100" s="539"/>
      <c r="AV100" s="539"/>
      <c r="AW100" s="539"/>
      <c r="AX100" s="539"/>
      <c r="AY100" s="539"/>
      <c r="AZ100" s="1184" t="s">
        <v>1482</v>
      </c>
    </row>
    <row s="1632" customFormat="1" customHeight="1" ht="15.75">
      <c r="A101" s="1443"/>
      <c r="B101" s="927"/>
      <c r="C101" s="1443"/>
      <c r="D101" s="1443"/>
      <c r="E101" s="797">
        <v>16.5</v>
      </c>
      <c r="F101" s="922" cm="1" t="str">
        <f t="array" ref="F101:F101">F100</f>
        <v>1</v>
      </c>
      <c r="G101" s="739" t="s">
        <v>1007</v>
      </c>
      <c r="H101" s="965"/>
      <c r="I101" s="965"/>
      <c r="J101" s="965"/>
      <c r="K101" s="965"/>
      <c r="L101" s="965"/>
      <c r="M101" s="965"/>
      <c r="N101" s="965"/>
      <c r="O101" s="965"/>
      <c r="P101" s="965"/>
      <c r="Q101" s="928"/>
      <c r="R101" s="928"/>
      <c r="S101" s="965"/>
      <c r="T101" s="819" cm="1" t="str">
        <f t="array" ref="T101:T101">T100</f>
        <v>true</v>
      </c>
      <c r="U101" s="1443"/>
      <c r="V101" s="1443"/>
      <c r="W101" s="1443"/>
      <c r="X101" s="1443"/>
      <c r="Y101" s="1443"/>
      <c r="Z101" s="1443"/>
      <c r="AA101" s="937"/>
      <c r="AB101" s="173" t="s">
        <v>1483</v>
      </c>
      <c r="AC101" s="581" t="s">
        <v>1484</v>
      </c>
      <c r="AD101" s="631"/>
      <c r="AE101" s="629" t="s">
        <v>1402</v>
      </c>
      <c r="AF101" s="1713">
        <f>_xlfn.SUMIFS('Ресурсы (5.4)'!AF$26:AF$47,'Ресурсы (5.4)'!$F$26:$F$47,$F101,'Ресурсы (5.4)'!$G$26:$G$47,$G101)</f>
        <v>0</v>
      </c>
      <c r="AG101" s="1713">
        <f>_xlfn.SUMIFS('Ресурсы (5.4)'!AG$26:AG$47,'Ресурсы (5.4)'!$F$26:$F$47,$F101,'Ресурсы (5.4)'!$G$26:$G$47,$G101)</f>
        <v>0</v>
      </c>
      <c r="AH101" s="539"/>
      <c r="AI101" s="539"/>
      <c r="AJ101" s="539"/>
      <c r="AK101" s="539"/>
      <c r="AL101" s="539"/>
      <c r="AM101" s="539"/>
      <c r="AN101" s="539"/>
      <c r="AO101" s="539"/>
      <c r="AP101" s="539"/>
      <c r="AQ101" s="539"/>
      <c r="AR101" s="539"/>
      <c r="AS101" s="539"/>
      <c r="AT101" s="539"/>
      <c r="AU101" s="539"/>
      <c r="AV101" s="539"/>
      <c r="AW101" s="539"/>
      <c r="AX101" s="539"/>
      <c r="AY101" s="539"/>
      <c r="AZ101" s="1184" t="s">
        <v>1485</v>
      </c>
    </row>
    <row s="1632" customFormat="1" customHeight="1" ht="28.5">
      <c r="A102" s="1443"/>
      <c r="B102" s="927"/>
      <c r="C102" s="1443"/>
      <c r="D102" s="1443"/>
      <c r="E102" s="797">
        <v>29.3</v>
      </c>
      <c r="F102" s="922" cm="1" t="str">
        <f t="array" ref="F102:F102">F101</f>
        <v>1</v>
      </c>
      <c r="G102" s="965"/>
      <c r="H102" s="965"/>
      <c r="I102" s="965"/>
      <c r="J102" s="965"/>
      <c r="K102" s="965"/>
      <c r="L102" s="965"/>
      <c r="M102" s="965"/>
      <c r="N102" s="965"/>
      <c r="O102" s="965"/>
      <c r="P102" s="965"/>
      <c r="Q102" s="928"/>
      <c r="R102" s="928"/>
      <c r="S102" s="965"/>
      <c r="T102" s="819" cm="1" t="str">
        <f t="array" ref="T102:T102">T101</f>
        <v>true</v>
      </c>
      <c r="U102" s="1443"/>
      <c r="V102" s="1443"/>
      <c r="W102" s="1443"/>
      <c r="X102" s="1443"/>
      <c r="Y102" s="1443"/>
      <c r="Z102" s="1443"/>
      <c r="AA102" s="937"/>
      <c r="AB102" s="173" t="s">
        <v>1486</v>
      </c>
      <c r="AC102" s="633" t="s">
        <v>1487</v>
      </c>
      <c r="AD102" s="169" t="s">
        <v>1550</v>
      </c>
      <c r="AE102" s="629" t="s">
        <v>1462</v>
      </c>
      <c r="AF102" s="1713"/>
      <c r="AG102" s="1713"/>
      <c r="AH102" s="539"/>
      <c r="AI102" s="539"/>
      <c r="AJ102" s="539"/>
      <c r="AK102" s="539"/>
      <c r="AL102" s="539"/>
      <c r="AM102" s="539"/>
      <c r="AN102" s="539"/>
      <c r="AO102" s="539"/>
      <c r="AP102" s="539"/>
      <c r="AQ102" s="539"/>
      <c r="AR102" s="539"/>
      <c r="AS102" s="539"/>
      <c r="AT102" s="539"/>
      <c r="AU102" s="539"/>
      <c r="AV102" s="539"/>
      <c r="AW102" s="539"/>
      <c r="AX102" s="539"/>
      <c r="AY102" s="539"/>
      <c r="AZ102" s="1184" t="s">
        <v>1014</v>
      </c>
    </row>
    <row s="1632" customFormat="1" customHeight="1" ht="30">
      <c r="A103" s="1443"/>
      <c r="B103" s="927"/>
      <c r="C103" s="1443"/>
      <c r="D103" s="1443"/>
      <c r="E103" s="797">
        <v>31.5</v>
      </c>
      <c r="F103" s="922" cm="1" t="str">
        <f t="array" ref="F103:F103">F102</f>
        <v>1</v>
      </c>
      <c r="G103" s="965"/>
      <c r="H103" s="965"/>
      <c r="I103" s="965"/>
      <c r="J103" s="965"/>
      <c r="K103" s="965"/>
      <c r="L103" s="965"/>
      <c r="M103" s="965"/>
      <c r="N103" s="965"/>
      <c r="O103" s="965"/>
      <c r="P103" s="965"/>
      <c r="Q103" s="928"/>
      <c r="R103" s="928"/>
      <c r="S103" s="965"/>
      <c r="T103" s="819" cm="1" t="str">
        <f t="array" ref="T103:T103">T102</f>
        <v>true</v>
      </c>
      <c r="U103" s="1443"/>
      <c r="V103" s="1443"/>
      <c r="W103" s="1443"/>
      <c r="X103" s="1443"/>
      <c r="Y103" s="1443"/>
      <c r="Z103" s="1443"/>
      <c r="AA103" s="937"/>
      <c r="AB103" s="173" t="s">
        <v>1488</v>
      </c>
      <c r="AC103" s="633" t="s">
        <v>1445</v>
      </c>
      <c r="AD103" s="169" t="s">
        <v>1546</v>
      </c>
      <c r="AE103" s="629" t="s">
        <v>599</v>
      </c>
      <c r="AF103" s="1713"/>
      <c r="AG103" s="1713"/>
      <c r="AH103" s="539"/>
      <c r="AI103" s="539"/>
      <c r="AJ103" s="539"/>
      <c r="AK103" s="539"/>
      <c r="AL103" s="539"/>
      <c r="AM103" s="539"/>
      <c r="AN103" s="539"/>
      <c r="AO103" s="539"/>
      <c r="AP103" s="539"/>
      <c r="AQ103" s="539"/>
      <c r="AR103" s="539"/>
      <c r="AS103" s="539"/>
      <c r="AT103" s="539"/>
      <c r="AU103" s="539"/>
      <c r="AV103" s="539"/>
      <c r="AW103" s="539"/>
      <c r="AX103" s="539"/>
      <c r="AY103" s="539"/>
      <c r="AZ103" s="1184" t="s">
        <v>1489</v>
      </c>
    </row>
    <row s="1632" customFormat="1" customHeight="1" ht="27.75">
      <c r="A104" s="1443"/>
      <c r="B104" s="927"/>
      <c r="C104" s="1443"/>
      <c r="D104" s="1443"/>
      <c r="E104" s="797">
        <v>28.5</v>
      </c>
      <c r="F104" s="922" cm="1" t="str">
        <f t="array" ref="F104:F104">F103</f>
        <v>1</v>
      </c>
      <c r="G104" s="965"/>
      <c r="H104" s="965"/>
      <c r="I104" s="965"/>
      <c r="J104" s="965"/>
      <c r="K104" s="965"/>
      <c r="L104" s="965"/>
      <c r="M104" s="965"/>
      <c r="N104" s="965"/>
      <c r="O104" s="965"/>
      <c r="P104" s="965"/>
      <c r="Q104" s="928"/>
      <c r="R104" s="928"/>
      <c r="S104" s="965"/>
      <c r="T104" s="819" cm="1" t="str">
        <f t="array" ref="T104:T104">T103</f>
        <v>true</v>
      </c>
      <c r="U104" s="1443"/>
      <c r="V104" s="1443"/>
      <c r="W104" s="1443"/>
      <c r="X104" s="1443"/>
      <c r="Y104" s="1443"/>
      <c r="Z104" s="1443"/>
      <c r="AA104" s="937"/>
      <c r="AB104" s="173" t="s">
        <v>1490</v>
      </c>
      <c r="AC104" s="633" t="s">
        <v>1449</v>
      </c>
      <c r="AD104" s="169" t="s">
        <v>1547</v>
      </c>
      <c r="AE104" s="629" t="s">
        <v>599</v>
      </c>
      <c r="AF104" s="1713"/>
      <c r="AG104" s="1713"/>
      <c r="AH104" s="539"/>
      <c r="AI104" s="539"/>
      <c r="AJ104" s="539"/>
      <c r="AK104" s="539"/>
      <c r="AL104" s="539"/>
      <c r="AM104" s="539"/>
      <c r="AN104" s="539"/>
      <c r="AO104" s="539"/>
      <c r="AP104" s="539"/>
      <c r="AQ104" s="539"/>
      <c r="AR104" s="539"/>
      <c r="AS104" s="539"/>
      <c r="AT104" s="539"/>
      <c r="AU104" s="539"/>
      <c r="AV104" s="539"/>
      <c r="AW104" s="539"/>
      <c r="AX104" s="539"/>
      <c r="AY104" s="539"/>
      <c r="AZ104" s="1184" t="s">
        <v>1491</v>
      </c>
    </row>
    <row s="1632" customFormat="1" customHeight="1" ht="21.75">
      <c r="A105" s="1443"/>
      <c r="B105" s="927"/>
      <c r="C105" s="1443"/>
      <c r="D105" s="1443"/>
      <c r="E105" s="797">
        <v>22.8</v>
      </c>
      <c r="F105" s="922" cm="1" t="str">
        <f t="array" ref="F105:F105">F104</f>
        <v>1</v>
      </c>
      <c r="G105" s="965"/>
      <c r="H105" s="965"/>
      <c r="I105" s="965"/>
      <c r="J105" s="965"/>
      <c r="K105" s="965"/>
      <c r="L105" s="965"/>
      <c r="M105" s="965"/>
      <c r="N105" s="965"/>
      <c r="O105" s="965"/>
      <c r="P105" s="965"/>
      <c r="Q105" s="928"/>
      <c r="R105" s="928"/>
      <c r="S105" s="965"/>
      <c r="T105" s="819" cm="1" t="str">
        <f t="array" ref="T105:T105">T104</f>
        <v>true</v>
      </c>
      <c r="U105" s="1443"/>
      <c r="V105" s="1443"/>
      <c r="W105" s="1443"/>
      <c r="X105" s="1443"/>
      <c r="Y105" s="1443"/>
      <c r="Z105" s="1443"/>
      <c r="AA105" s="937"/>
      <c r="AB105" s="173" t="s">
        <v>1492</v>
      </c>
      <c r="AC105" s="633" t="s">
        <v>1493</v>
      </c>
      <c r="AD105" s="169" t="s">
        <v>1548</v>
      </c>
      <c r="AE105" s="629" t="s">
        <v>1469</v>
      </c>
      <c r="AF105" s="1713"/>
      <c r="AG105" s="1713"/>
      <c r="AH105" s="539"/>
      <c r="AI105" s="539"/>
      <c r="AJ105" s="539"/>
      <c r="AK105" s="539"/>
      <c r="AL105" s="539"/>
      <c r="AM105" s="539"/>
      <c r="AN105" s="539"/>
      <c r="AO105" s="539"/>
      <c r="AP105" s="539"/>
      <c r="AQ105" s="539"/>
      <c r="AR105" s="539"/>
      <c r="AS105" s="539"/>
      <c r="AT105" s="539"/>
      <c r="AU105" s="539"/>
      <c r="AV105" s="539"/>
      <c r="AW105" s="539"/>
      <c r="AX105" s="539"/>
      <c r="AY105" s="539"/>
      <c r="AZ105" s="1184" t="s">
        <v>1494</v>
      </c>
    </row>
    <row s="1632" customFormat="1" customHeight="1" ht="36.75">
      <c r="A106" s="1443"/>
      <c r="B106" s="927"/>
      <c r="C106" s="1443"/>
      <c r="D106" s="1443"/>
      <c r="E106" s="797">
        <v>38.3</v>
      </c>
      <c r="F106" s="922" cm="1" t="str">
        <f t="array" ref="F106:F106">F105</f>
        <v>1</v>
      </c>
      <c r="G106" s="739" t="s">
        <v>1352</v>
      </c>
      <c r="H106" s="965"/>
      <c r="I106" s="965"/>
      <c r="J106" s="965"/>
      <c r="K106" s="965"/>
      <c r="L106" s="965"/>
      <c r="M106" s="965"/>
      <c r="N106" s="965"/>
      <c r="O106" s="965"/>
      <c r="P106" s="965"/>
      <c r="Q106" s="928"/>
      <c r="R106" s="928"/>
      <c r="S106" s="965"/>
      <c r="T106" s="819" cm="1" t="str">
        <f t="array" ref="T106:T106">T105</f>
        <v>true</v>
      </c>
      <c r="U106" s="1443"/>
      <c r="V106" s="1443"/>
      <c r="W106" s="1443"/>
      <c r="X106" s="1443"/>
      <c r="Y106" s="1443"/>
      <c r="Z106" s="1443"/>
      <c r="AA106" s="937"/>
      <c r="AB106" s="173" t="s">
        <v>1495</v>
      </c>
      <c r="AC106" s="562" t="s">
        <v>1496</v>
      </c>
      <c r="AD106" s="631" t="s">
        <v>1497</v>
      </c>
      <c r="AE106" s="629" t="s">
        <v>810</v>
      </c>
      <c r="AF106" s="1713">
        <f>_xlfn.SUMIFS('Калькуляция (5.9)'!AF$26:AF$137,'Калькуляция (5.9)'!$F$26:$F$137,$F106,'Калькуляция (5.9)'!$G$26:$G$137,$G106)</f>
        <v>3947.28</v>
      </c>
      <c r="AG106" s="1713">
        <f>_xlfn.SUMIFS('Калькуляция (5.9)'!AG$26:AG$137,'Калькуляция (5.9)'!$F$26:$F$137,$F106,'Калькуляция (5.9)'!$G$26:$G$137,$G106)</f>
        <v>3932.28</v>
      </c>
      <c r="AH106" s="539"/>
      <c r="AI106" s="539"/>
      <c r="AJ106" s="539"/>
      <c r="AK106" s="539"/>
      <c r="AL106" s="539"/>
      <c r="AM106" s="539"/>
      <c r="AN106" s="539"/>
      <c r="AO106" s="539"/>
      <c r="AP106" s="539"/>
      <c r="AQ106" s="539"/>
      <c r="AR106" s="539"/>
      <c r="AS106" s="539"/>
      <c r="AT106" s="539"/>
      <c r="AU106" s="539"/>
      <c r="AV106" s="539"/>
      <c r="AW106" s="539"/>
      <c r="AX106" s="539"/>
      <c r="AY106" s="539"/>
      <c r="AZ106" s="1184" t="s">
        <v>1498</v>
      </c>
    </row>
    <row s="1632" customFormat="1" customHeight="1" ht="20.25">
      <c r="A107" s="1443"/>
      <c r="B107" s="927"/>
      <c r="C107" s="1443"/>
      <c r="D107" s="1443"/>
      <c r="E107" s="797">
        <v>21</v>
      </c>
      <c r="F107" s="922" cm="1" t="str">
        <f t="array" ref="F107:F107">F106</f>
        <v>1</v>
      </c>
      <c r="G107" s="739" t="s">
        <v>1499</v>
      </c>
      <c r="H107" s="965"/>
      <c r="I107" s="965"/>
      <c r="J107" s="965"/>
      <c r="K107" s="965"/>
      <c r="L107" s="965"/>
      <c r="M107" s="965"/>
      <c r="N107" s="965"/>
      <c r="O107" s="965"/>
      <c r="P107" s="965"/>
      <c r="Q107" s="928"/>
      <c r="R107" s="928"/>
      <c r="S107" s="965"/>
      <c r="T107" s="819" cm="1" t="str">
        <f t="array" ref="T107:T107">T106</f>
        <v>true</v>
      </c>
      <c r="U107" s="1443"/>
      <c r="V107" s="1443"/>
      <c r="W107" s="1443"/>
      <c r="X107" s="1443"/>
      <c r="Y107" s="1443"/>
      <c r="Z107" s="1443"/>
      <c r="AA107" s="937"/>
      <c r="AB107" s="173" t="s">
        <v>1500</v>
      </c>
      <c r="AC107" s="166" t="s">
        <v>1501</v>
      </c>
      <c r="AD107" s="629"/>
      <c r="AE107" s="629" t="s">
        <v>810</v>
      </c>
      <c r="AF107" s="1713">
        <f>_xlfn.SUMIFS('Калькуляция (5.9)'!AF$26:AF$137,'Калькуляция (5.9)'!$F$26:$F$137,$F107,'Калькуляция (5.9)'!$G$26:$G$137,$G107)</f>
        <v>0</v>
      </c>
      <c r="AG107" s="1713">
        <f>_xlfn.SUMIFS('Калькуляция (5.9)'!AG$26:AG$137,'Калькуляция (5.9)'!$F$26:$F$137,$F107,'Калькуляция (5.9)'!$G$26:$G$137,$G107)</f>
        <v>0</v>
      </c>
      <c r="AH107" s="539"/>
      <c r="AI107" s="539"/>
      <c r="AJ107" s="539"/>
      <c r="AK107" s="539"/>
      <c r="AL107" s="539"/>
      <c r="AM107" s="539"/>
      <c r="AN107" s="539"/>
      <c r="AO107" s="539"/>
      <c r="AP107" s="539"/>
      <c r="AQ107" s="539"/>
      <c r="AR107" s="539"/>
      <c r="AS107" s="539"/>
      <c r="AT107" s="539"/>
      <c r="AU107" s="539"/>
      <c r="AV107" s="539"/>
      <c r="AW107" s="539"/>
      <c r="AX107" s="539"/>
      <c r="AY107" s="539"/>
      <c r="AZ107" s="1184" t="s">
        <v>1502</v>
      </c>
    </row>
    <row s="1632" customFormat="1" customHeight="1" ht="20.25">
      <c r="A108" s="1443"/>
      <c r="B108" s="927"/>
      <c r="C108" s="1443"/>
      <c r="D108" s="1443"/>
      <c r="E108" s="797">
        <v>21</v>
      </c>
      <c r="F108" s="922" cm="1" t="str">
        <f t="array" ref="F108:F108">F107</f>
        <v>1</v>
      </c>
      <c r="G108" s="965"/>
      <c r="H108" s="965"/>
      <c r="I108" s="965"/>
      <c r="J108" s="965"/>
      <c r="K108" s="965"/>
      <c r="L108" s="965"/>
      <c r="M108" s="965"/>
      <c r="N108" s="965"/>
      <c r="O108" s="965"/>
      <c r="P108" s="965"/>
      <c r="Q108" s="928"/>
      <c r="R108" s="928"/>
      <c r="S108" s="965"/>
      <c r="T108" s="819" cm="1" t="str">
        <f t="array" ref="T108:T108">T107</f>
        <v>true</v>
      </c>
      <c r="U108" s="1443"/>
      <c r="V108" s="1443"/>
      <c r="W108" s="1443"/>
      <c r="X108" s="1443"/>
      <c r="Y108" s="1443"/>
      <c r="Z108" s="1443"/>
      <c r="AA108" s="937"/>
      <c r="AB108" s="173" t="s">
        <v>1503</v>
      </c>
      <c r="AC108" s="1067" t="s">
        <v>1504</v>
      </c>
      <c r="AD108" s="629"/>
      <c r="AE108" s="629" t="s">
        <v>498</v>
      </c>
      <c r="AF108" s="1970"/>
      <c r="AG108" s="1970"/>
      <c r="AH108" s="539"/>
      <c r="AI108" s="539"/>
      <c r="AJ108" s="539"/>
      <c r="AK108" s="539"/>
      <c r="AL108" s="539"/>
      <c r="AM108" s="539"/>
      <c r="AN108" s="539"/>
      <c r="AO108" s="539"/>
      <c r="AP108" s="539"/>
      <c r="AQ108" s="539"/>
      <c r="AR108" s="539"/>
      <c r="AS108" s="539"/>
      <c r="AT108" s="539"/>
      <c r="AU108" s="539"/>
      <c r="AV108" s="539"/>
      <c r="AW108" s="539"/>
      <c r="AX108" s="539"/>
      <c r="AY108" s="539"/>
      <c r="AZ108" s="1184" t="s">
        <v>1505</v>
      </c>
    </row>
    <row s="1632" customFormat="1" customHeight="1" ht="21.75">
      <c r="A109" s="1443"/>
      <c r="B109" s="927"/>
      <c r="C109" s="1443"/>
      <c r="D109" s="1443"/>
      <c r="E109" s="797">
        <v>22.5</v>
      </c>
      <c r="F109" s="922" cm="1" t="str">
        <f t="array" ref="F109:F109">F107</f>
        <v>1</v>
      </c>
      <c r="G109" s="739" t="s">
        <v>1506</v>
      </c>
      <c r="H109" s="965"/>
      <c r="I109" s="965"/>
      <c r="J109" s="965"/>
      <c r="K109" s="965"/>
      <c r="L109" s="965"/>
      <c r="M109" s="965"/>
      <c r="N109" s="965"/>
      <c r="O109" s="965"/>
      <c r="P109" s="965"/>
      <c r="Q109" s="928"/>
      <c r="R109" s="928"/>
      <c r="S109" s="965"/>
      <c r="T109" s="819" cm="1" t="str">
        <f t="array" ref="T109:T109">T107</f>
        <v>true</v>
      </c>
      <c r="U109" s="1443"/>
      <c r="V109" s="1443"/>
      <c r="W109" s="1443"/>
      <c r="X109" s="1443"/>
      <c r="Y109" s="1443"/>
      <c r="Z109" s="1443"/>
      <c r="AA109" s="937"/>
      <c r="AB109" s="173" t="s">
        <v>1507</v>
      </c>
      <c r="AC109" s="166" t="s">
        <v>1508</v>
      </c>
      <c r="AD109" s="629"/>
      <c r="AE109" s="629" t="s">
        <v>810</v>
      </c>
      <c r="AF109" s="1713">
        <f>_xlfn.SUMIFS('Калькуляция (5.9)'!AF$26:AF$137,'Калькуляция (5.9)'!$F$26:$F$137,$F109,'Калькуляция (5.9)'!$G$26:$G$137,$G109)</f>
        <v>0</v>
      </c>
      <c r="AG109" s="1713">
        <f>_xlfn.SUMIFS('Калькуляция (5.9)'!AG$26:AG$137,'Калькуляция (5.9)'!$F$26:$F$137,$F109,'Калькуляция (5.9)'!$G$26:$G$137,$G109)</f>
        <v>0</v>
      </c>
      <c r="AH109" s="539"/>
      <c r="AI109" s="539"/>
      <c r="AJ109" s="539"/>
      <c r="AK109" s="539"/>
      <c r="AL109" s="539"/>
      <c r="AM109" s="539"/>
      <c r="AN109" s="539"/>
      <c r="AO109" s="539"/>
      <c r="AP109" s="539"/>
      <c r="AQ109" s="539"/>
      <c r="AR109" s="539"/>
      <c r="AS109" s="539"/>
      <c r="AT109" s="539"/>
      <c r="AU109" s="539"/>
      <c r="AV109" s="539"/>
      <c r="AW109" s="539"/>
      <c r="AX109" s="539"/>
      <c r="AY109" s="539"/>
      <c r="AZ109" s="1184" t="s">
        <v>1509</v>
      </c>
    </row>
    <row s="1632" customFormat="1" customHeight="1" ht="21.75">
      <c r="A110" s="1443"/>
      <c r="B110" s="927"/>
      <c r="C110" s="1443"/>
      <c r="D110" s="1443"/>
      <c r="E110" s="797">
        <v>22.8</v>
      </c>
      <c r="F110" s="922" cm="1" t="str">
        <f t="array" ref="F110:F110">F109</f>
        <v>1</v>
      </c>
      <c r="G110" s="739" t="s">
        <v>637</v>
      </c>
      <c r="H110" s="965"/>
      <c r="I110" s="965"/>
      <c r="J110" s="965"/>
      <c r="K110" s="965"/>
      <c r="L110" s="965"/>
      <c r="M110" s="965"/>
      <c r="N110" s="965"/>
      <c r="O110" s="965"/>
      <c r="P110" s="965"/>
      <c r="Q110" s="928"/>
      <c r="R110" s="928"/>
      <c r="S110" s="965"/>
      <c r="T110" s="819" cm="1" t="str">
        <f t="array" ref="T110:T110">T109</f>
        <v>true</v>
      </c>
      <c r="U110" s="1443"/>
      <c r="V110" s="1443"/>
      <c r="W110" s="1443"/>
      <c r="X110" s="1443"/>
      <c r="Y110" s="1443"/>
      <c r="Z110" s="1443"/>
      <c r="AA110" s="937"/>
      <c r="AB110" s="173" t="s">
        <v>1510</v>
      </c>
      <c r="AC110" s="166" t="s">
        <v>1511</v>
      </c>
      <c r="AD110" s="629"/>
      <c r="AE110" s="629" t="s">
        <v>810</v>
      </c>
      <c r="AF110" s="1713">
        <f>_xlfn.SUMIFS('Калькуляция (5.9)'!AF$26:AF$137,'Калькуляция (5.9)'!$F$26:$F$137,$F110,'Калькуляция (5.9)'!$G$26:$G$137,$G110)</f>
        <v>0</v>
      </c>
      <c r="AG110" s="1713">
        <f>_xlfn.SUMIFS('Калькуляция (5.9)'!AG$26:AG$137,'Калькуляция (5.9)'!$F$26:$F$137,$F110,'Калькуляция (5.9)'!$G$26:$G$137,$G110)</f>
        <v>0</v>
      </c>
      <c r="AH110" s="539"/>
      <c r="AI110" s="539"/>
      <c r="AJ110" s="539"/>
      <c r="AK110" s="539"/>
      <c r="AL110" s="539"/>
      <c r="AM110" s="539"/>
      <c r="AN110" s="539"/>
      <c r="AO110" s="539"/>
      <c r="AP110" s="539"/>
      <c r="AQ110" s="539"/>
      <c r="AR110" s="539"/>
      <c r="AS110" s="539"/>
      <c r="AT110" s="539"/>
      <c r="AU110" s="539"/>
      <c r="AV110" s="539"/>
      <c r="AW110" s="539"/>
      <c r="AX110" s="539"/>
      <c r="AY110" s="539"/>
      <c r="AZ110" s="1184" t="s">
        <v>1512</v>
      </c>
    </row>
    <row s="1632" customFormat="1" customHeight="1" ht="29.25">
      <c r="A111" s="1443"/>
      <c r="B111" s="927"/>
      <c r="C111" s="1443"/>
      <c r="D111" s="1443"/>
      <c r="E111" s="797">
        <v>30</v>
      </c>
      <c r="F111" s="922" cm="1" t="str">
        <f t="array" ref="F111:F111">F110</f>
        <v>1</v>
      </c>
      <c r="G111" s="965"/>
      <c r="H111" s="965"/>
      <c r="I111" s="965"/>
      <c r="J111" s="965"/>
      <c r="K111" s="965"/>
      <c r="L111" s="965"/>
      <c r="M111" s="965"/>
      <c r="N111" s="965"/>
      <c r="O111" s="965"/>
      <c r="P111" s="965"/>
      <c r="Q111" s="928"/>
      <c r="R111" s="928"/>
      <c r="S111" s="965"/>
      <c r="T111" s="819" cm="1" t="str">
        <f t="array" ref="T111:T111">T110</f>
        <v>true</v>
      </c>
      <c r="U111" s="1443"/>
      <c r="V111" s="1443"/>
      <c r="W111" s="1443"/>
      <c r="X111" s="1443"/>
      <c r="Y111" s="1443"/>
      <c r="Z111" s="1443"/>
      <c r="AA111" s="937"/>
      <c r="AB111" s="173" t="s">
        <v>1513</v>
      </c>
      <c r="AC111" s="166" t="s">
        <v>1514</v>
      </c>
      <c r="AD111" s="632"/>
      <c r="AE111" s="629" t="s">
        <v>810</v>
      </c>
      <c r="AF111" s="1713"/>
      <c r="AG111" s="1713"/>
      <c r="AH111" s="539"/>
      <c r="AI111" s="539"/>
      <c r="AJ111" s="539"/>
      <c r="AK111" s="539"/>
      <c r="AL111" s="539"/>
      <c r="AM111" s="539"/>
      <c r="AN111" s="539"/>
      <c r="AO111" s="539"/>
      <c r="AP111" s="539"/>
      <c r="AQ111" s="539"/>
      <c r="AR111" s="539"/>
      <c r="AS111" s="539"/>
      <c r="AT111" s="539"/>
      <c r="AU111" s="539"/>
      <c r="AV111" s="539"/>
      <c r="AW111" s="539"/>
      <c r="AX111" s="539"/>
      <c r="AY111" s="539"/>
      <c r="AZ111" s="1184" t="s">
        <v>1515</v>
      </c>
    </row>
    <row s="1632" customFormat="1" customHeight="1" ht="36.75">
      <c r="A112" s="1443"/>
      <c r="B112" s="927"/>
      <c r="C112" s="1443"/>
      <c r="D112" s="1443"/>
      <c r="E112" s="797">
        <v>38.3</v>
      </c>
      <c r="F112" s="922" cm="1" t="str">
        <f t="array" ref="F112:F112">F111</f>
        <v>1</v>
      </c>
      <c r="G112" s="965"/>
      <c r="H112" s="965"/>
      <c r="I112" s="965"/>
      <c r="J112" s="965"/>
      <c r="K112" s="965"/>
      <c r="L112" s="965"/>
      <c r="M112" s="965"/>
      <c r="N112" s="965"/>
      <c r="O112" s="965"/>
      <c r="P112" s="965"/>
      <c r="Q112" s="928"/>
      <c r="R112" s="928"/>
      <c r="S112" s="965"/>
      <c r="T112" s="819" cm="1" t="str">
        <f t="array" ref="T112:T112">T111</f>
        <v>true</v>
      </c>
      <c r="U112" s="1443"/>
      <c r="V112" s="1443"/>
      <c r="W112" s="1443"/>
      <c r="X112" s="1443"/>
      <c r="Y112" s="1443"/>
      <c r="Z112" s="1443"/>
      <c r="AA112" s="937"/>
      <c r="AB112" s="173" t="s">
        <v>1516</v>
      </c>
      <c r="AC112" s="166" t="s">
        <v>1517</v>
      </c>
      <c r="AD112" s="629"/>
      <c r="AE112" s="629" t="s">
        <v>810</v>
      </c>
      <c r="AF112" s="1713"/>
      <c r="AG112" s="1713"/>
      <c r="AH112" s="539"/>
      <c r="AI112" s="539"/>
      <c r="AJ112" s="539"/>
      <c r="AK112" s="539"/>
      <c r="AL112" s="539"/>
      <c r="AM112" s="539"/>
      <c r="AN112" s="539"/>
      <c r="AO112" s="539"/>
      <c r="AP112" s="539"/>
      <c r="AQ112" s="539"/>
      <c r="AR112" s="539"/>
      <c r="AS112" s="539"/>
      <c r="AT112" s="539"/>
      <c r="AU112" s="539"/>
      <c r="AV112" s="539"/>
      <c r="AW112" s="539"/>
      <c r="AX112" s="539"/>
      <c r="AY112" s="539"/>
      <c r="AZ112" s="1184" t="s">
        <v>1518</v>
      </c>
    </row>
    <row s="1632" customFormat="1" customHeight="1" ht="72.75">
      <c r="A113" s="1443"/>
      <c r="B113" s="927"/>
      <c r="C113" s="1443"/>
      <c r="D113" s="1443"/>
      <c r="E113" s="797">
        <v>75</v>
      </c>
      <c r="F113" s="922" cm="1" t="str">
        <f t="array" ref="F113:F113">F112</f>
        <v>1</v>
      </c>
      <c r="G113" s="965"/>
      <c r="H113" s="965"/>
      <c r="I113" s="965"/>
      <c r="J113" s="965"/>
      <c r="K113" s="965"/>
      <c r="L113" s="965"/>
      <c r="M113" s="965"/>
      <c r="N113" s="965"/>
      <c r="O113" s="965"/>
      <c r="P113" s="965"/>
      <c r="Q113" s="928"/>
      <c r="R113" s="928"/>
      <c r="S113" s="965"/>
      <c r="T113" s="819" cm="1" t="str">
        <f t="array" ref="T113:T113">T112</f>
        <v>true</v>
      </c>
      <c r="U113" s="1443"/>
      <c r="V113" s="1443"/>
      <c r="W113" s="1443"/>
      <c r="X113" s="1443"/>
      <c r="Y113" s="1443"/>
      <c r="Z113" s="1443"/>
      <c r="AA113" s="937"/>
      <c r="AB113" s="173" t="s">
        <v>1519</v>
      </c>
      <c r="AC113" s="166" t="s">
        <v>1520</v>
      </c>
      <c r="AD113" s="629"/>
      <c r="AE113" s="629" t="s">
        <v>810</v>
      </c>
      <c r="AF113" s="1713"/>
      <c r="AG113" s="1713"/>
      <c r="AH113" s="539"/>
      <c r="AI113" s="539"/>
      <c r="AJ113" s="539"/>
      <c r="AK113" s="539"/>
      <c r="AL113" s="539"/>
      <c r="AM113" s="539"/>
      <c r="AN113" s="539"/>
      <c r="AO113" s="539"/>
      <c r="AP113" s="539"/>
      <c r="AQ113" s="539"/>
      <c r="AR113" s="539"/>
      <c r="AS113" s="539"/>
      <c r="AT113" s="539"/>
      <c r="AU113" s="539"/>
      <c r="AV113" s="539"/>
      <c r="AW113" s="539"/>
      <c r="AX113" s="539"/>
      <c r="AY113" s="539"/>
      <c r="AZ113" s="1184" t="s">
        <v>1521</v>
      </c>
    </row>
    <row s="1632" customFormat="1" customHeight="1" ht="72">
      <c r="A114" s="1443"/>
      <c r="B114" s="927"/>
      <c r="C114" s="1443"/>
      <c r="D114" s="1443"/>
      <c r="E114" s="797">
        <v>74.3</v>
      </c>
      <c r="F114" s="922" cm="1" t="str">
        <f t="array" ref="F114:F114">F113</f>
        <v>1</v>
      </c>
      <c r="G114" s="965"/>
      <c r="H114" s="965"/>
      <c r="I114" s="965"/>
      <c r="J114" s="965"/>
      <c r="K114" s="965"/>
      <c r="L114" s="965"/>
      <c r="M114" s="965"/>
      <c r="N114" s="965"/>
      <c r="O114" s="965"/>
      <c r="P114" s="965"/>
      <c r="Q114" s="928"/>
      <c r="R114" s="928"/>
      <c r="S114" s="965"/>
      <c r="T114" s="819" cm="1" t="str">
        <f t="array" ref="T114:T114">T113</f>
        <v>true</v>
      </c>
      <c r="U114" s="1443"/>
      <c r="V114" s="1443"/>
      <c r="W114" s="1443"/>
      <c r="X114" s="1443"/>
      <c r="Y114" s="1443"/>
      <c r="Z114" s="1443"/>
      <c r="AA114" s="937"/>
      <c r="AB114" s="173" t="s">
        <v>1522</v>
      </c>
      <c r="AC114" s="166" t="s">
        <v>1523</v>
      </c>
      <c r="AD114" s="629"/>
      <c r="AE114" s="629" t="s">
        <v>1402</v>
      </c>
      <c r="AF114" s="1713"/>
      <c r="AG114" s="1713"/>
      <c r="AH114" s="539"/>
      <c r="AI114" s="539"/>
      <c r="AJ114" s="539"/>
      <c r="AK114" s="539"/>
      <c r="AL114" s="539"/>
      <c r="AM114" s="539"/>
      <c r="AN114" s="539"/>
      <c r="AO114" s="539"/>
      <c r="AP114" s="539"/>
      <c r="AQ114" s="539"/>
      <c r="AR114" s="539"/>
      <c r="AS114" s="539"/>
      <c r="AT114" s="539"/>
      <c r="AU114" s="539"/>
      <c r="AV114" s="539"/>
      <c r="AW114" s="539"/>
      <c r="AX114" s="539"/>
      <c r="AY114" s="539"/>
      <c r="AZ114" s="1184" t="s">
        <v>1524</v>
      </c>
    </row>
    <row s="1632" customFormat="1" customHeight="1" ht="55.5">
      <c r="A115" s="1443"/>
      <c r="B115" s="927"/>
      <c r="C115" s="1443"/>
      <c r="D115" s="1443"/>
      <c r="E115" s="797">
        <v>57</v>
      </c>
      <c r="F115" s="922" cm="1" t="str">
        <f t="array" ref="F115:F115">F114</f>
        <v>1</v>
      </c>
      <c r="G115" s="965"/>
      <c r="H115" s="965"/>
      <c r="I115" s="965"/>
      <c r="J115" s="965"/>
      <c r="K115" s="965"/>
      <c r="L115" s="965"/>
      <c r="M115" s="965"/>
      <c r="N115" s="965"/>
      <c r="O115" s="965"/>
      <c r="P115" s="965"/>
      <c r="Q115" s="928"/>
      <c r="R115" s="928"/>
      <c r="S115" s="965"/>
      <c r="T115" s="819" cm="1" t="str">
        <f t="array" ref="T115:T115">T114</f>
        <v>true</v>
      </c>
      <c r="U115" s="1443"/>
      <c r="V115" s="1443"/>
      <c r="W115" s="1443"/>
      <c r="X115" s="1443"/>
      <c r="Y115" s="1443"/>
      <c r="Z115" s="1443"/>
      <c r="AA115" s="937"/>
      <c r="AB115" s="173" t="s">
        <v>426</v>
      </c>
      <c r="AC115" s="627" t="s">
        <v>1525</v>
      </c>
      <c r="AD115" s="169" t="s">
        <v>1551</v>
      </c>
      <c r="AE115" s="629" t="s">
        <v>1402</v>
      </c>
      <c r="AF115" s="1713"/>
      <c r="AG115" s="1713"/>
      <c r="AH115" s="539"/>
      <c r="AI115" s="539"/>
      <c r="AJ115" s="539"/>
      <c r="AK115" s="539"/>
      <c r="AL115" s="539"/>
      <c r="AM115" s="539"/>
      <c r="AN115" s="539"/>
      <c r="AO115" s="539"/>
      <c r="AP115" s="539"/>
      <c r="AQ115" s="539"/>
      <c r="AR115" s="539"/>
      <c r="AS115" s="539"/>
      <c r="AT115" s="539"/>
      <c r="AU115" s="539"/>
      <c r="AV115" s="539"/>
      <c r="AW115" s="539"/>
      <c r="AX115" s="539"/>
      <c r="AY115" s="539"/>
      <c r="AZ115" s="1184" t="s">
        <v>1527</v>
      </c>
    </row>
    <row s="1632" customFormat="1" customHeight="1" ht="10.5">
      <c r="A116" s="1443"/>
      <c r="B116" s="927"/>
      <c r="C116" s="1443"/>
      <c r="D116" s="1443"/>
      <c r="E116" s="797">
        <v>11.4</v>
      </c>
      <c r="F116" s="922" cm="1" t="str">
        <f t="array" ref="F116:F116">F115</f>
        <v>1</v>
      </c>
      <c r="G116" s="965"/>
      <c r="H116" s="965"/>
      <c r="I116" s="965"/>
      <c r="J116" s="965"/>
      <c r="K116" s="965"/>
      <c r="L116" s="965"/>
      <c r="M116" s="965"/>
      <c r="N116" s="965"/>
      <c r="O116" s="965"/>
      <c r="P116" s="965"/>
      <c r="Q116" s="928"/>
      <c r="R116" s="928"/>
      <c r="S116" s="965"/>
      <c r="T116" s="819" cm="1" t="str">
        <f t="array" ref="T116:T116">T115</f>
        <v>true</v>
      </c>
      <c r="U116" s="1443"/>
      <c r="V116" s="1443"/>
      <c r="W116" s="1443"/>
      <c r="X116" s="1443"/>
      <c r="Y116" s="1443"/>
      <c r="Z116" s="1443"/>
      <c r="AA116" s="937"/>
      <c r="AB116" s="972"/>
      <c r="AC116" s="972"/>
      <c r="AD116" s="972"/>
      <c r="AE116" s="972"/>
      <c r="AF116" s="972"/>
      <c r="AG116" s="972"/>
      <c r="AH116" s="539"/>
      <c r="AI116" s="539"/>
      <c r="AJ116" s="539"/>
      <c r="AK116" s="539"/>
      <c r="AL116" s="539"/>
      <c r="AM116" s="539"/>
      <c r="AN116" s="539"/>
      <c r="AO116" s="539"/>
      <c r="AP116" s="539"/>
      <c r="AQ116" s="539"/>
      <c r="AR116" s="539"/>
      <c r="AS116" s="539"/>
      <c r="AT116" s="539"/>
      <c r="AU116" s="539"/>
      <c r="AV116" s="539"/>
      <c r="AW116" s="539"/>
      <c r="AX116" s="539"/>
      <c r="AY116" s="539"/>
      <c r="AZ116" s="1247"/>
    </row>
    <row s="1632" customFormat="1" customHeight="1" ht="10.5">
      <c r="A117" s="1443"/>
      <c r="B117" s="927"/>
      <c r="C117" s="1443"/>
      <c r="D117" s="1443"/>
      <c r="E117" s="797">
        <v>11.3</v>
      </c>
      <c r="F117" s="922" cm="1" t="str">
        <f t="array" ref="F117:F117">F116</f>
        <v>1</v>
      </c>
      <c r="G117" s="965"/>
      <c r="H117" s="965"/>
      <c r="I117" s="965"/>
      <c r="J117" s="965"/>
      <c r="K117" s="965"/>
      <c r="L117" s="965"/>
      <c r="M117" s="965"/>
      <c r="N117" s="965"/>
      <c r="O117" s="965"/>
      <c r="P117" s="965"/>
      <c r="Q117" s="928"/>
      <c r="R117" s="928"/>
      <c r="S117" s="965"/>
      <c r="T117" s="819" cm="1" t="str">
        <f t="array" ref="T117:T117">T116</f>
        <v>true</v>
      </c>
      <c r="U117" s="1443"/>
      <c r="V117" s="1443"/>
      <c r="W117" s="1443"/>
      <c r="X117" s="1443"/>
      <c r="Y117" s="1443"/>
      <c r="Z117" s="1443"/>
      <c r="AA117" s="937"/>
      <c r="AB117" s="673" t="s">
        <v>1398</v>
      </c>
      <c r="AC117" s="1553" t="s">
        <v>496</v>
      </c>
      <c r="AD117" s="325" t="s">
        <v>1150</v>
      </c>
      <c r="AE117" s="157">
        <f>god-2</f>
        <v>2024</v>
      </c>
      <c r="AF117" s="157">
        <f>god-1</f>
        <v>2025</v>
      </c>
      <c r="AG117" s="325" t="s">
        <v>1528</v>
      </c>
      <c r="AH117" s="305" cm="1" t="str">
        <f t="array" ref="AH117:AH117">god</f>
        <v>2026</v>
      </c>
      <c r="AI117" s="157">
        <f>god+1</f>
        <v>2027</v>
      </c>
      <c r="AJ117" s="157">
        <f>god+2</f>
        <v>2028</v>
      </c>
      <c r="AK117" s="157">
        <f>god+3</f>
        <v>2029</v>
      </c>
      <c r="AL117" s="157">
        <f>god+4</f>
        <v>2030</v>
      </c>
      <c r="AM117" s="325" t="s">
        <v>1528</v>
      </c>
      <c r="AN117" s="305" cm="1" t="str">
        <f t="array" ref="AN117:AN117">god</f>
        <v>2026</v>
      </c>
      <c r="AO117" s="157">
        <f>god+1</f>
        <v>2027</v>
      </c>
      <c r="AP117" s="157">
        <f>god+2</f>
        <v>2028</v>
      </c>
      <c r="AQ117" s="157">
        <f>god+3</f>
        <v>2029</v>
      </c>
      <c r="AR117" s="157">
        <f>god+4</f>
        <v>2030</v>
      </c>
      <c r="AS117" s="539"/>
      <c r="AT117" s="539"/>
      <c r="AU117" s="126" t="s">
        <v>1529</v>
      </c>
      <c r="AV117" s="539"/>
      <c r="AW117" s="539"/>
      <c r="AX117" s="539"/>
      <c r="AY117" s="539"/>
      <c r="AZ117" s="1247"/>
    </row>
    <row s="1632" customFormat="1" customHeight="1" ht="21.75">
      <c r="A118" s="1443"/>
      <c r="B118" s="927"/>
      <c r="C118" s="1443"/>
      <c r="D118" s="1443"/>
      <c r="E118" s="797">
        <v>22.5</v>
      </c>
      <c r="F118" s="922" cm="1" t="str">
        <f t="array" ref="F118:F118">F117</f>
        <v>1</v>
      </c>
      <c r="G118" s="965"/>
      <c r="H118" s="965"/>
      <c r="I118" s="965"/>
      <c r="J118" s="965"/>
      <c r="K118" s="965"/>
      <c r="L118" s="965"/>
      <c r="M118" s="965"/>
      <c r="N118" s="965"/>
      <c r="O118" s="965"/>
      <c r="P118" s="965"/>
      <c r="Q118" s="928"/>
      <c r="R118" s="928"/>
      <c r="S118" s="965"/>
      <c r="T118" s="819" cm="1" t="str">
        <f t="array" ref="T118:T118">T117</f>
        <v>true</v>
      </c>
      <c r="U118" s="1443"/>
      <c r="V118" s="1443"/>
      <c r="W118" s="1443"/>
      <c r="X118" s="1443"/>
      <c r="Y118" s="1443"/>
      <c r="Z118" s="1443"/>
      <c r="AA118" s="937"/>
      <c r="AB118" s="1552"/>
      <c r="AC118" s="1554"/>
      <c r="AD118" s="325"/>
      <c r="AE118" s="173" t="s">
        <v>1530</v>
      </c>
      <c r="AF118" s="173" t="s">
        <v>1530</v>
      </c>
      <c r="AG118" s="325"/>
      <c r="AH118" s="173" t="s">
        <v>1531</v>
      </c>
      <c r="AI118" s="173" t="s">
        <v>1531</v>
      </c>
      <c r="AJ118" s="173" t="s">
        <v>1531</v>
      </c>
      <c r="AK118" s="173" t="s">
        <v>1531</v>
      </c>
      <c r="AL118" s="173" t="s">
        <v>1531</v>
      </c>
      <c r="AM118" s="325"/>
      <c r="AN118" s="173" t="s">
        <v>1532</v>
      </c>
      <c r="AO118" s="173" t="s">
        <v>1532</v>
      </c>
      <c r="AP118" s="173" t="s">
        <v>1532</v>
      </c>
      <c r="AQ118" s="173" t="s">
        <v>1532</v>
      </c>
      <c r="AR118" s="173" t="s">
        <v>1532</v>
      </c>
      <c r="AS118" s="539"/>
      <c r="AT118" s="539"/>
      <c r="AU118" s="126"/>
      <c r="AV118" s="539"/>
      <c r="AW118" s="539"/>
      <c r="AX118" s="539"/>
      <c r="AY118" s="539"/>
      <c r="AZ118" s="1247"/>
    </row>
    <row s="1632" customFormat="1" customHeight="1" ht="15">
      <c r="A119" s="1443"/>
      <c r="B119" s="927"/>
      <c r="C119" s="1443"/>
      <c r="D119" s="1443"/>
      <c r="E119" s="797">
        <v>15.8</v>
      </c>
      <c r="F119" s="922" cm="1" t="str">
        <f t="array" ref="F119:F119">F118</f>
        <v>1</v>
      </c>
      <c r="G119" s="965"/>
      <c r="H119" s="965"/>
      <c r="I119" s="965"/>
      <c r="J119" s="965"/>
      <c r="K119" s="965"/>
      <c r="L119" s="965"/>
      <c r="M119" s="965"/>
      <c r="N119" s="965"/>
      <c r="O119" s="965"/>
      <c r="P119" s="965"/>
      <c r="Q119" s="928"/>
      <c r="R119" s="928"/>
      <c r="S119" s="965"/>
      <c r="T119" s="819" cm="1" t="str">
        <f t="array" ref="T119:T119">T118</f>
        <v>true</v>
      </c>
      <c r="U119" s="1443"/>
      <c r="V119" s="1443"/>
      <c r="W119" s="1443"/>
      <c r="X119" s="1443"/>
      <c r="Y119" s="1443"/>
      <c r="Z119" s="1443"/>
      <c r="AA119" s="937"/>
      <c r="AB119" s="288" t="s">
        <v>429</v>
      </c>
      <c r="AC119" s="407" t="s">
        <v>1533</v>
      </c>
      <c r="AD119" s="629" t="s">
        <v>810</v>
      </c>
      <c r="AE119" s="821" t="s">
        <v>1534</v>
      </c>
      <c r="AF119" s="821" t="s">
        <v>1534</v>
      </c>
      <c r="AG119" s="422" cm="1" t="str">
        <f t="array" ref="AG119:AG119">AF76</f>
        <v>33939.28</v>
      </c>
      <c r="AH119" s="1967"/>
      <c r="AI119" s="1967"/>
      <c r="AJ119" s="1967"/>
      <c r="AK119" s="1967"/>
      <c r="AL119" s="1967"/>
      <c r="AM119" s="422" cm="1" t="str">
        <f t="array" ref="AM119:AM119">AG76</f>
        <v>28735.8657142857</v>
      </c>
      <c r="AN119" s="1968">
        <v>2072.55</v>
      </c>
      <c r="AO119" s="1968"/>
      <c r="AP119" s="1968"/>
      <c r="AQ119" s="1968"/>
      <c r="AR119" s="1968"/>
      <c r="AS119" s="539"/>
      <c r="AT119" s="539"/>
      <c r="AU119" s="129"/>
      <c r="AV119" s="539"/>
      <c r="AW119" s="539"/>
      <c r="AX119" s="539"/>
      <c r="AY119" s="539"/>
      <c r="AZ119" s="1184" t="s">
        <v>1535</v>
      </c>
    </row>
    <row s="1632" customFormat="1" customHeight="1" ht="27">
      <c r="A120" s="1443"/>
      <c r="B120" s="927"/>
      <c r="C120" s="1443"/>
      <c r="D120" s="1443"/>
      <c r="E120" s="797">
        <v>27.8</v>
      </c>
      <c r="F120" s="922" cm="1" t="str">
        <f t="array" ref="F120:F120">F119</f>
        <v>1</v>
      </c>
      <c r="G120" s="965"/>
      <c r="H120" s="965"/>
      <c r="I120" s="965"/>
      <c r="J120" s="965"/>
      <c r="K120" s="965"/>
      <c r="L120" s="965"/>
      <c r="M120" s="965"/>
      <c r="N120" s="965"/>
      <c r="O120" s="965"/>
      <c r="P120" s="965"/>
      <c r="Q120" s="928"/>
      <c r="R120" s="928"/>
      <c r="S120" s="965"/>
      <c r="T120" s="819" cm="1" t="str">
        <f t="array" ref="T120:T120">T119</f>
        <v>true</v>
      </c>
      <c r="U120" s="1443"/>
      <c r="V120" s="1443"/>
      <c r="W120" s="1443"/>
      <c r="X120" s="1443"/>
      <c r="Y120" s="1443"/>
      <c r="Z120" s="1443"/>
      <c r="AA120" s="937"/>
      <c r="AB120" s="288" t="s">
        <v>432</v>
      </c>
      <c r="AC120" s="635" t="s">
        <v>1536</v>
      </c>
      <c r="AD120" s="629" t="s">
        <v>810</v>
      </c>
      <c r="AE120" s="1967"/>
      <c r="AF120" s="1967"/>
      <c r="AG120" s="422">
        <f>SUM(AH120:AL120)</f>
        <v>0</v>
      </c>
      <c r="AH120" s="1967"/>
      <c r="AI120" s="1967"/>
      <c r="AJ120" s="1967"/>
      <c r="AK120" s="1967"/>
      <c r="AL120" s="1967"/>
      <c r="AM120" s="422">
        <f>SUM(AN120:AR120)</f>
        <v>0</v>
      </c>
      <c r="AN120" s="1968"/>
      <c r="AO120" s="1968"/>
      <c r="AP120" s="1968"/>
      <c r="AQ120" s="1968"/>
      <c r="AR120" s="1968"/>
      <c r="AS120" s="539"/>
      <c r="AT120" s="539"/>
      <c r="AU120" s="129"/>
      <c r="AV120" s="539"/>
      <c r="AW120" s="539"/>
      <c r="AX120" s="539"/>
      <c r="AY120" s="539"/>
      <c r="AZ120" s="1184" t="s">
        <v>1537</v>
      </c>
    </row>
    <row s="1632" customFormat="1" customHeight="1" ht="15">
      <c r="A121" s="1443"/>
      <c r="B121" s="927"/>
      <c r="C121" s="1443"/>
      <c r="D121" s="1443"/>
      <c r="E121" s="797">
        <v>15.8</v>
      </c>
      <c r="F121" s="922" cm="1" t="str">
        <f t="array" ref="F121:F121">F120</f>
        <v>1</v>
      </c>
      <c r="G121" s="739" t="s">
        <v>1538</v>
      </c>
      <c r="H121" s="965"/>
      <c r="I121" s="965"/>
      <c r="J121" s="965"/>
      <c r="K121" s="965"/>
      <c r="L121" s="965"/>
      <c r="M121" s="965"/>
      <c r="N121" s="965"/>
      <c r="O121" s="965"/>
      <c r="P121" s="965"/>
      <c r="Q121" s="928"/>
      <c r="R121" s="928"/>
      <c r="S121" s="965"/>
      <c r="T121" s="819" cm="1" t="str">
        <f t="array" ref="T121:T121">T120</f>
        <v>true</v>
      </c>
      <c r="U121" s="1443"/>
      <c r="V121" s="1443"/>
      <c r="W121" s="1443"/>
      <c r="X121" s="1443"/>
      <c r="Y121" s="1443"/>
      <c r="Z121" s="1443"/>
      <c r="AA121" s="937"/>
      <c r="AB121" s="314" t="s">
        <v>435</v>
      </c>
      <c r="AC121" s="627" t="s">
        <v>1539</v>
      </c>
      <c r="AD121" s="629" t="s">
        <v>810</v>
      </c>
      <c r="AE121" s="422" cm="1" t="str">
        <f t="array" ref="AE121:AE121">AE120</f>
        <v>0</v>
      </c>
      <c r="AF121" s="422" cm="1" t="str">
        <f t="array" ref="AF121:AF121">AF120</f>
        <v>0</v>
      </c>
      <c r="AG121" s="422">
        <f>AG119+AG120</f>
        <v>33939.28</v>
      </c>
      <c r="AH121" s="422">
        <f>AH119+AH120</f>
        <v>0</v>
      </c>
      <c r="AI121" s="422">
        <f>AI119+AI120</f>
        <v>0</v>
      </c>
      <c r="AJ121" s="422">
        <f>AJ119+AJ120</f>
        <v>0</v>
      </c>
      <c r="AK121" s="422">
        <f>AK119+AK120</f>
        <v>0</v>
      </c>
      <c r="AL121" s="422">
        <f>AL119+AL120</f>
        <v>0</v>
      </c>
      <c r="AM121" s="422">
        <f>AM119+AM120</f>
        <v>28735.8657142857</v>
      </c>
      <c r="AN121" s="422">
        <f>AN119+AN120</f>
        <v>2072.55</v>
      </c>
      <c r="AO121" s="422">
        <f>AO119+AO120</f>
        <v>0</v>
      </c>
      <c r="AP121" s="422">
        <f>AP119+AP120</f>
        <v>0</v>
      </c>
      <c r="AQ121" s="422">
        <f>AQ119+AQ120</f>
        <v>0</v>
      </c>
      <c r="AR121" s="422">
        <f>AR119+AR120</f>
        <v>0</v>
      </c>
      <c r="AS121" s="539"/>
      <c r="AT121" s="539"/>
      <c r="AU121" s="129"/>
      <c r="AV121" s="539"/>
      <c r="AW121" s="539"/>
      <c r="AX121" s="539"/>
      <c r="AY121" s="539"/>
      <c r="AZ121" s="1184" t="s">
        <v>1540</v>
      </c>
    </row>
    <row customHeight="1" ht="11.115">
      <c r="E122" s="797">
        <v>11.4</v>
      </c>
      <c r="U122" s="179" t="s">
        <v>236</v>
      </c>
      <c r="V122" s="171" t="s">
        <v>1552</v>
      </c>
      <c r="AB122" s="541"/>
      <c r="AC122" s="541"/>
      <c r="AD122" s="541"/>
      <c r="AE122" s="541"/>
      <c r="AF122" s="541"/>
      <c r="AG122" s="541"/>
      <c r="AH122" s="544"/>
      <c r="AI122" s="544"/>
      <c r="AJ122" s="544"/>
      <c r="AK122" s="539"/>
      <c r="AL122" s="539"/>
      <c r="AN122" s="539"/>
      <c r="AO122" s="539"/>
      <c r="AP122" s="539"/>
      <c r="AQ122" s="539"/>
      <c r="AR122" s="539"/>
      <c r="AV122" s="538"/>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367B8-13A8-9A28-8608-02C39E5C122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2" width="3.57421875" hidden="1" customWidth="1"/>
    <col min="2" max="2" style="794" width="8.57421875" hidden="1" customWidth="1"/>
    <col min="3" max="4" style="1252" width="3.57421875" hidden="1" customWidth="1"/>
    <col min="5" max="5" style="925" width="8.421875" hidden="1" customWidth="1"/>
    <col min="6" max="26" style="1252" width="3.57421875" hidden="1" customWidth="1"/>
    <col min="27" max="27" style="539" width="3.00390625" customWidth="1"/>
    <col min="28" max="28" style="972" width="8.00390625" customWidth="1"/>
    <col min="29" max="29" style="972" width="65.25390625" customWidth="1"/>
    <col min="30" max="30" style="972" width="20.6328125" customWidth="1"/>
    <col min="31" max="31" style="972" width="21.00390625" customWidth="1"/>
    <col min="32" max="32" style="972" width="21.1328125" customWidth="1"/>
    <col min="33" max="33" style="972" width="21.00390625" customWidth="1"/>
    <col min="34" max="34" style="972" width="21.1328125" customWidth="1"/>
    <col min="35" max="35" style="972" width="21.00390625" customWidth="1"/>
    <col min="36" max="36" style="972" width="21.1328125" customWidth="1"/>
    <col min="37" max="37" style="972" width="21.00390625" customWidth="1"/>
    <col min="38" max="38" style="972" width="21.1328125" customWidth="1"/>
  </cols>
  <sheetData>
    <row s="1252" customFormat="1" customHeight="1" ht="12" hidden="1">
      <c r="B1" s="789"/>
      <c r="E1" s="788"/>
    </row>
    <row s="794" customFormat="1" customHeight="1" ht="12" hidden="1">
      <c r="B2" s="793" t="s">
        <v>15</v>
      </c>
      <c r="E2" s="788"/>
    </row>
    <row s="1252" customFormat="1" customHeight="1" ht="12" hidden="1">
      <c r="B3" s="789"/>
      <c r="E3" s="788"/>
    </row>
    <row s="1252" customFormat="1" customHeight="1" ht="12" hidden="1">
      <c r="B4" s="789"/>
      <c r="E4" s="788"/>
    </row>
    <row s="925" customFormat="1" customHeight="1" ht="12" hidden="1">
      <c r="A5" s="788"/>
      <c r="B5" s="788"/>
      <c r="C5" s="788"/>
      <c r="D5" s="788"/>
      <c r="E5" s="797" t="s">
        <v>16</v>
      </c>
      <c r="AA5" s="797">
        <v>3</v>
      </c>
      <c r="AB5" s="797">
        <v>8</v>
      </c>
      <c r="AC5" s="797">
        <v>65.25</v>
      </c>
      <c r="AD5" s="797">
        <v>20.63</v>
      </c>
      <c r="AE5" s="797">
        <v>21</v>
      </c>
      <c r="AF5" s="797">
        <v>21.13</v>
      </c>
      <c r="AG5" s="797">
        <v>21</v>
      </c>
      <c r="AH5" s="797">
        <v>21.13</v>
      </c>
      <c r="AI5" s="797">
        <v>21</v>
      </c>
      <c r="AJ5" s="797">
        <v>21.13</v>
      </c>
      <c r="AK5" s="797">
        <v>21</v>
      </c>
      <c r="AL5" s="797">
        <v>21.13</v>
      </c>
    </row>
    <row s="1252" customFormat="1" customHeight="1" ht="12" hidden="1">
      <c r="B6" s="789"/>
      <c r="E6" s="797"/>
    </row>
    <row s="972" customFormat="1" customHeight="1" ht="12" hidden="1">
      <c r="A7" s="950"/>
      <c r="B7" s="789"/>
      <c r="C7" s="950"/>
      <c r="D7" s="950"/>
      <c r="E7" s="797"/>
    </row>
    <row s="972" customFormat="1" customHeight="1" ht="12" hidden="1">
      <c r="A8" s="950"/>
      <c r="B8" s="789"/>
      <c r="C8" s="950"/>
      <c r="D8" s="950"/>
      <c r="E8" s="797"/>
    </row>
    <row s="1252" customFormat="1" customHeight="1" ht="12" hidden="1">
      <c r="B9" s="789"/>
      <c r="E9" s="797"/>
    </row>
    <row s="1252" customFormat="1" customHeight="1" ht="12" hidden="1">
      <c r="B10" s="789"/>
      <c r="E10" s="797"/>
    </row>
    <row s="1252" customFormat="1" customHeight="1" ht="12" hidden="1">
      <c r="B11" s="789"/>
      <c r="E11" s="797"/>
    </row>
    <row s="1252" customFormat="1" customHeight="1" ht="12" hidden="1">
      <c r="B12" s="789"/>
      <c r="E12" s="797"/>
    </row>
    <row s="1252" customFormat="1" customHeight="1" ht="12" hidden="1">
      <c r="B13" s="789"/>
      <c r="E13" s="797"/>
    </row>
    <row s="1252" customFormat="1" customHeight="1" ht="12" hidden="1">
      <c r="B14" s="789"/>
      <c r="E14" s="797"/>
    </row>
    <row s="1252" customFormat="1" customHeight="1" ht="12" hidden="1">
      <c r="B15" s="789"/>
      <c r="E15" s="797"/>
    </row>
    <row s="1252" customFormat="1" customHeight="1" ht="12" hidden="1">
      <c r="B16" s="789"/>
      <c r="E16" s="797"/>
    </row>
    <row s="1252" customFormat="1" customHeight="1" ht="12" hidden="1">
      <c r="B17" s="789"/>
      <c r="E17" s="797"/>
    </row>
    <row s="1252" customFormat="1" customHeight="1" ht="12" hidden="1">
      <c r="B18" s="789"/>
      <c r="E18" s="797"/>
    </row>
    <row s="1252" customFormat="1" customHeight="1" ht="12" hidden="1">
      <c r="B19" s="789"/>
      <c r="E19" s="797"/>
    </row>
    <row s="1252" customFormat="1" customHeight="1" ht="12" hidden="1">
      <c r="B20" s="789"/>
      <c r="E20" s="797"/>
    </row>
    <row customHeight="1" ht="11.115">
      <c r="E21" s="797">
        <v>11.4</v>
      </c>
      <c r="AA21" s="0"/>
      <c r="AB21" s="227"/>
      <c r="AC21" s="403" cm="1" t="str">
        <f t="array" ref="AC21:AC21">tpl_title</f>
        <v>Кемеровская область / 2026 / ООО "ВЕЛЕС" (ИНН:4212036655, КПП:421201001) / ДПР: 2016-2025</v>
      </c>
    </row>
    <row customHeight="1" ht="19.0125">
      <c r="E22" s="797">
        <v>19.5</v>
      </c>
      <c r="AB22" s="391" t="str">
        <f>"23. Корректировка НВВ по исполнению инвестиционной программы "</f>
        <v>23. Корректировка НВВ по исполнению инвестиционной программы </v>
      </c>
      <c r="AC22" s="275"/>
    </row>
    <row customHeight="1" ht="11.115">
      <c r="E23" s="797">
        <v>11.4</v>
      </c>
      <c r="AB23" s="541"/>
      <c r="AC23" s="542"/>
      <c r="AD23" s="542"/>
      <c r="AE23" s="543"/>
      <c r="AF23" s="543"/>
      <c r="AG23" s="543"/>
      <c r="AH23" s="543"/>
      <c r="AI23" s="543"/>
      <c r="AJ23" s="543"/>
      <c r="AK23" s="543"/>
      <c r="AL23" s="543"/>
    </row>
    <row customHeight="1" ht="11.115">
      <c r="E24" s="797">
        <v>11.4</v>
      </c>
      <c r="AB24" s="541"/>
      <c r="AC24" s="542"/>
      <c r="AD24" s="542"/>
      <c r="AE24" s="543"/>
      <c r="AF24" s="543"/>
      <c r="AG24" s="543"/>
      <c r="AH24" s="543"/>
      <c r="AI24" s="543"/>
      <c r="AJ24" s="543"/>
      <c r="AK24" s="543"/>
      <c r="AL24" s="543"/>
    </row>
    <row s="710" customFormat="1" customHeight="1" ht="16.672500000000003">
      <c r="A25" s="950"/>
      <c r="B25" s="789"/>
      <c r="C25" s="950"/>
      <c r="D25" s="950"/>
      <c r="E25" s="797">
        <v>17.1</v>
      </c>
      <c r="F25" s="950"/>
      <c r="G25" s="950"/>
      <c r="H25" s="950"/>
      <c r="I25" s="950"/>
      <c r="J25" s="950"/>
      <c r="K25" s="950"/>
      <c r="L25" s="950"/>
      <c r="M25" s="950"/>
      <c r="N25" s="950"/>
      <c r="O25" s="950"/>
      <c r="P25" s="950"/>
      <c r="Q25" s="950"/>
      <c r="R25" s="950"/>
      <c r="S25" s="950"/>
      <c r="T25" s="950"/>
      <c r="U25" s="950"/>
      <c r="V25" s="950"/>
      <c r="W25" s="950"/>
      <c r="X25" s="950"/>
      <c r="Y25" s="950"/>
      <c r="Z25" s="950"/>
      <c r="AB25" s="1467" t="s">
        <v>1398</v>
      </c>
      <c r="AC25" s="1467" t="s">
        <v>440</v>
      </c>
      <c r="AD25" s="1467" t="s">
        <v>1400</v>
      </c>
      <c r="AE25" s="1363">
        <f>god-4</f>
        <v>2022</v>
      </c>
      <c r="AF25" s="1363">
        <f>god-3</f>
        <v>2023</v>
      </c>
      <c r="AG25" s="1363">
        <f>god-2</f>
        <v>2024</v>
      </c>
      <c r="AH25" s="305" t="s">
        <v>877</v>
      </c>
      <c r="AI25" s="305">
        <f>god-4</f>
        <v>2022</v>
      </c>
      <c r="AJ25" s="305">
        <f>god-3</f>
        <v>2023</v>
      </c>
      <c r="AK25" s="305">
        <f>god-2</f>
        <v>2024</v>
      </c>
      <c r="AL25" s="305" t="s">
        <v>877</v>
      </c>
    </row>
    <row customHeight="1" ht="33.0525">
      <c r="E26" s="797">
        <v>33.9</v>
      </c>
      <c r="AB26" s="1467"/>
      <c r="AC26" s="1467"/>
      <c r="AD26" s="1467"/>
      <c r="AE26" s="1365" t="s">
        <v>1553</v>
      </c>
      <c r="AF26" s="1365" t="s">
        <v>1553</v>
      </c>
      <c r="AG26" s="1365" t="s">
        <v>1553</v>
      </c>
      <c r="AH26" s="561" t="s">
        <v>1553</v>
      </c>
      <c r="AI26" s="561" t="s">
        <v>1554</v>
      </c>
      <c r="AJ26" s="561" t="s">
        <v>1554</v>
      </c>
      <c r="AK26" s="561" t="s">
        <v>1554</v>
      </c>
      <c r="AL26" s="561" t="s">
        <v>1554</v>
      </c>
    </row>
    <row customHeight="1" ht="13.9425">
      <c r="E27" s="797">
        <v>14.3</v>
      </c>
      <c r="AB27" s="620"/>
      <c r="AC27" s="620"/>
      <c r="AD27" s="620"/>
      <c r="AE27" s="620"/>
      <c r="AF27" s="620"/>
      <c r="AG27" s="620"/>
      <c r="AH27" s="620"/>
      <c r="AI27" s="620"/>
      <c r="AJ27" s="620"/>
      <c r="AK27" s="620"/>
      <c r="AL27" s="620"/>
    </row>
    <row s="220" customFormat="1" customHeight="1" ht="11.115">
      <c r="A28" s="175"/>
      <c r="B28" s="788"/>
      <c r="C28" s="175"/>
      <c r="D28" s="175"/>
      <c r="E28" s="797">
        <v>11.4</v>
      </c>
      <c r="F28" s="951" cm="1" t="str">
        <f t="array" ref="F28:F28">'Общие сведения'!$Z$170</f>
        <v>0</v>
      </c>
      <c r="G28" s="175"/>
      <c r="H28" s="175"/>
      <c r="I28" s="175"/>
      <c r="J28" s="175"/>
      <c r="K28" s="175"/>
      <c r="L28" s="175"/>
      <c r="M28" s="175"/>
      <c r="N28" s="175"/>
      <c r="O28" s="175"/>
      <c r="P28" s="175"/>
      <c r="Q28" s="175"/>
      <c r="R28" s="175"/>
      <c r="S28" s="175"/>
      <c r="T28" s="175"/>
      <c r="U28" s="175"/>
      <c r="V28" s="175"/>
      <c r="W28" s="175"/>
      <c r="X28" s="175"/>
      <c r="Y28" s="175"/>
      <c r="Z28" s="175"/>
      <c r="AB28" s="320" cm="1" t="str">
        <f t="array" ref="AB28:AB28">INDEX('Общие сведения'!$AG$169:$AG$202,MATCH($F28,'Общие сведения'!$Z$169:$Z$202,0))</f>
        <v>Тариф 0 (Теплоснабжение) - </v>
      </c>
      <c r="AC28" s="321"/>
      <c r="AD28" s="321"/>
      <c r="AE28" s="321"/>
      <c r="AF28" s="321"/>
      <c r="AG28" s="321"/>
      <c r="AH28" s="321"/>
      <c r="AI28" s="321"/>
      <c r="AJ28" s="321"/>
      <c r="AK28" s="321"/>
      <c r="AL28" s="321"/>
    </row>
    <row customHeight="1" ht="33.0525">
      <c r="E29" s="797">
        <v>33.9</v>
      </c>
      <c r="F29" s="950" cm="1" t="str">
        <f t="array" ref="F29:F29">F28</f>
        <v>0</v>
      </c>
      <c r="AB29" s="695">
        <v>1</v>
      </c>
      <c r="AC29" s="696" t="s">
        <v>1555</v>
      </c>
      <c r="AD29" s="695" t="s">
        <v>810</v>
      </c>
      <c r="AE29" s="697">
        <f>SUM(AE30:AE34)</f>
        <v>0</v>
      </c>
      <c r="AF29" s="697">
        <f>SUM(AF30:AF34)</f>
        <v>0</v>
      </c>
      <c r="AG29" s="697">
        <f>SUM(AG30:AG34)</f>
        <v>0</v>
      </c>
      <c r="AH29" s="697">
        <f>SUM(AE29:AG29)</f>
        <v>0</v>
      </c>
      <c r="AI29" s="697">
        <f>SUM(AI30:AI34)</f>
        <v>0</v>
      </c>
      <c r="AJ29" s="697">
        <f>SUM(AJ30:AJ34)</f>
        <v>0</v>
      </c>
      <c r="AK29" s="697">
        <f>SUM(AK30:AK34)</f>
        <v>0</v>
      </c>
      <c r="AL29" s="697">
        <f>SUM(AI29:AK29)</f>
        <v>0</v>
      </c>
    </row>
    <row customHeight="1" ht="16.672500000000003">
      <c r="E30" s="797">
        <v>17.1</v>
      </c>
      <c r="F30" s="950" cm="1" t="str">
        <f t="array" ref="F30:F30">F29</f>
        <v>0</v>
      </c>
      <c r="AB30" s="698" t="s">
        <v>449</v>
      </c>
      <c r="AC30" s="699" t="s">
        <v>1556</v>
      </c>
      <c r="AD30" s="698" t="s">
        <v>810</v>
      </c>
      <c r="AE30" s="700"/>
      <c r="AF30" s="700"/>
      <c r="AG30" s="700"/>
      <c r="AH30" s="701">
        <f>SUM(AE30:AG30)</f>
        <v>0</v>
      </c>
      <c r="AI30" s="700" cm="1" t="str">
        <f t="array" ref="AI30:AI30">AE30</f>
        <v>0</v>
      </c>
      <c r="AJ30" s="700" cm="1" t="str">
        <f t="array" ref="AJ30:AJ30">AF30</f>
        <v>0</v>
      </c>
      <c r="AK30" s="700" cm="1" t="str">
        <f t="array" ref="AK30:AK30">AG30</f>
        <v>0</v>
      </c>
      <c r="AL30" s="701">
        <f>SUM(AI30:AK30)</f>
        <v>0</v>
      </c>
    </row>
    <row customHeight="1" ht="16.672500000000003">
      <c r="E31" s="797">
        <v>17.1</v>
      </c>
      <c r="F31" s="950" cm="1" t="str">
        <f t="array" ref="F31:F31">F30</f>
        <v>0</v>
      </c>
      <c r="AB31" s="698" t="s">
        <v>935</v>
      </c>
      <c r="AC31" s="699" t="s">
        <v>1557</v>
      </c>
      <c r="AD31" s="698" t="s">
        <v>810</v>
      </c>
      <c r="AE31" s="700"/>
      <c r="AF31" s="700"/>
      <c r="AG31" s="700"/>
      <c r="AH31" s="701">
        <f>SUM(AE31:AG31)</f>
        <v>0</v>
      </c>
      <c r="AI31" s="700" cm="1" t="str">
        <f t="array" ref="AI31:AI31">AE31</f>
        <v>0</v>
      </c>
      <c r="AJ31" s="700" cm="1" t="str">
        <f t="array" ref="AJ31:AJ31">AF31</f>
        <v>0</v>
      </c>
      <c r="AK31" s="700" cm="1" t="str">
        <f t="array" ref="AK31:AK31">AG31</f>
        <v>0</v>
      </c>
      <c r="AL31" s="701">
        <f>SUM(AI31:AK31)</f>
        <v>0</v>
      </c>
    </row>
    <row customHeight="1" ht="16.672500000000003">
      <c r="E32" s="797">
        <v>17.1</v>
      </c>
      <c r="F32" s="950" cm="1" t="str">
        <f t="array" ref="F32:F32">F31</f>
        <v>0</v>
      </c>
      <c r="AB32" s="698" t="s">
        <v>937</v>
      </c>
      <c r="AC32" s="699" t="s">
        <v>1558</v>
      </c>
      <c r="AD32" s="698" t="s">
        <v>810</v>
      </c>
      <c r="AE32" s="700"/>
      <c r="AF32" s="700"/>
      <c r="AG32" s="700"/>
      <c r="AH32" s="701">
        <f>SUM(AE32:AG32)</f>
        <v>0</v>
      </c>
      <c r="AI32" s="700" cm="1" t="str">
        <f t="array" ref="AI32:AI32">AE32</f>
        <v>0</v>
      </c>
      <c r="AJ32" s="700" cm="1" t="str">
        <f t="array" ref="AJ32:AJ32">AF32</f>
        <v>0</v>
      </c>
      <c r="AK32" s="700" cm="1" t="str">
        <f t="array" ref="AK32:AK32">AG32</f>
        <v>0</v>
      </c>
      <c r="AL32" s="701">
        <f>SUM(AI32:AK32)</f>
        <v>0</v>
      </c>
    </row>
    <row customHeight="1" ht="16.672500000000003">
      <c r="E33" s="797">
        <v>17.1</v>
      </c>
      <c r="F33" s="950" cm="1" t="str">
        <f t="array" ref="F33:F33">F32</f>
        <v>0</v>
      </c>
      <c r="AB33" s="698" t="s">
        <v>941</v>
      </c>
      <c r="AC33" s="699" t="s">
        <v>1559</v>
      </c>
      <c r="AD33" s="698" t="s">
        <v>810</v>
      </c>
      <c r="AE33" s="700"/>
      <c r="AF33" s="700"/>
      <c r="AG33" s="700"/>
      <c r="AH33" s="701">
        <f>SUM(AE33:AG33)</f>
        <v>0</v>
      </c>
      <c r="AI33" s="700" cm="1" t="str">
        <f t="array" ref="AI33:AI33">AE33</f>
        <v>0</v>
      </c>
      <c r="AJ33" s="700" cm="1" t="str">
        <f t="array" ref="AJ33:AJ33">AF33</f>
        <v>0</v>
      </c>
      <c r="AK33" s="700" cm="1" t="str">
        <f t="array" ref="AK33:AK33">AG33</f>
        <v>0</v>
      </c>
      <c r="AL33" s="701">
        <f>SUM(AI33:AK33)</f>
        <v>0</v>
      </c>
    </row>
    <row customHeight="1" ht="16.672500000000003">
      <c r="E34" s="797">
        <v>17.1</v>
      </c>
      <c r="F34" s="950" cm="1" t="str">
        <f t="array" ref="F34:F34">F33</f>
        <v>0</v>
      </c>
      <c r="AB34" s="698" t="s">
        <v>1046</v>
      </c>
      <c r="AC34" s="699" t="s">
        <v>1264</v>
      </c>
      <c r="AD34" s="698" t="s">
        <v>810</v>
      </c>
      <c r="AE34" s="700"/>
      <c r="AF34" s="700"/>
      <c r="AG34" s="700"/>
      <c r="AH34" s="701">
        <f>SUM(AE34:AG34)</f>
        <v>0</v>
      </c>
      <c r="AI34" s="700" cm="1" t="str">
        <f t="array" ref="AI34:AI34">AE34</f>
        <v>0</v>
      </c>
      <c r="AJ34" s="700" cm="1" t="str">
        <f t="array" ref="AJ34:AJ34">AF34</f>
        <v>0</v>
      </c>
      <c r="AK34" s="700" cm="1" t="str">
        <f t="array" ref="AK34:AK34">AG34</f>
        <v>0</v>
      </c>
      <c r="AL34" s="701">
        <f>SUM(AI34:AK34)</f>
        <v>0</v>
      </c>
    </row>
    <row customHeight="1" ht="33.0525">
      <c r="E35" s="797">
        <v>33.9</v>
      </c>
      <c r="F35" s="950" cm="1" t="str">
        <f t="array" ref="F35:F35">F34</f>
        <v>0</v>
      </c>
      <c r="AB35" s="698">
        <v>2</v>
      </c>
      <c r="AC35" s="702" t="s">
        <v>1560</v>
      </c>
      <c r="AD35" s="698" t="s">
        <v>810</v>
      </c>
      <c r="AE35" s="701">
        <f>SUM(AE36:AE40)</f>
        <v>0</v>
      </c>
      <c r="AF35" s="701">
        <f>SUM(AF36:AF40)</f>
        <v>0</v>
      </c>
      <c r="AG35" s="701">
        <f>SUM(AG36:AG40)</f>
        <v>0</v>
      </c>
      <c r="AH35" s="701">
        <f>SUM(AE35:AG35)</f>
        <v>0</v>
      </c>
      <c r="AI35" s="701">
        <f>SUM(AI36:AI40)</f>
        <v>0</v>
      </c>
      <c r="AJ35" s="701">
        <f>SUM(AJ36:AJ40)</f>
        <v>0</v>
      </c>
      <c r="AK35" s="701">
        <f>SUM(AK36:AK40)</f>
        <v>0</v>
      </c>
      <c r="AL35" s="701">
        <f>SUM(AI35:AK35)</f>
        <v>0</v>
      </c>
    </row>
    <row customHeight="1" ht="16.672500000000003">
      <c r="E36" s="797">
        <v>17.1</v>
      </c>
      <c r="F36" s="950" cm="1" t="str">
        <f t="array" ref="F36:F36">F35</f>
        <v>0</v>
      </c>
      <c r="AB36" s="698" t="s">
        <v>456</v>
      </c>
      <c r="AC36" s="699" t="s">
        <v>1556</v>
      </c>
      <c r="AD36" s="698" t="s">
        <v>810</v>
      </c>
      <c r="AE36" s="700"/>
      <c r="AF36" s="700"/>
      <c r="AG36" s="700"/>
      <c r="AH36" s="701">
        <f>SUM(AE36:AG36)</f>
        <v>0</v>
      </c>
      <c r="AI36" s="700" cm="1" t="str">
        <f t="array" ref="AI36:AI36">AE36</f>
        <v>0</v>
      </c>
      <c r="AJ36" s="700" cm="1" t="str">
        <f t="array" ref="AJ36:AJ36">AF36</f>
        <v>0</v>
      </c>
      <c r="AK36" s="700" cm="1" t="str">
        <f t="array" ref="AK36:AK36">AG36</f>
        <v>0</v>
      </c>
      <c r="AL36" s="701">
        <f>SUM(AI36:AK36)</f>
        <v>0</v>
      </c>
    </row>
    <row customHeight="1" ht="16.672500000000003">
      <c r="E37" s="797">
        <v>17.1</v>
      </c>
      <c r="F37" s="950" cm="1" t="str">
        <f t="array" ref="F37:F37">F36</f>
        <v>0</v>
      </c>
      <c r="AB37" s="698" t="s">
        <v>483</v>
      </c>
      <c r="AC37" s="699" t="s">
        <v>1557</v>
      </c>
      <c r="AD37" s="698" t="s">
        <v>810</v>
      </c>
      <c r="AE37" s="700"/>
      <c r="AF37" s="700"/>
      <c r="AG37" s="700"/>
      <c r="AH37" s="701">
        <f>SUM(AE37:AG37)</f>
        <v>0</v>
      </c>
      <c r="AI37" s="700" cm="1" t="str">
        <f t="array" ref="AI37:AI37">AE37</f>
        <v>0</v>
      </c>
      <c r="AJ37" s="700" cm="1" t="str">
        <f t="array" ref="AJ37:AJ37">AF37</f>
        <v>0</v>
      </c>
      <c r="AK37" s="700" cm="1" t="str">
        <f t="array" ref="AK37:AK37">AG37</f>
        <v>0</v>
      </c>
      <c r="AL37" s="701">
        <f>SUM(AI37:AK37)</f>
        <v>0</v>
      </c>
    </row>
    <row customHeight="1" ht="16.672500000000003">
      <c r="E38" s="797">
        <v>17.1</v>
      </c>
      <c r="F38" s="950" cm="1" t="str">
        <f t="array" ref="F38:F38">F37</f>
        <v>0</v>
      </c>
      <c r="AB38" s="698" t="s">
        <v>487</v>
      </c>
      <c r="AC38" s="699" t="s">
        <v>1558</v>
      </c>
      <c r="AD38" s="698" t="s">
        <v>810</v>
      </c>
      <c r="AE38" s="700"/>
      <c r="AF38" s="700"/>
      <c r="AG38" s="700"/>
      <c r="AH38" s="701">
        <f>SUM(AE38:AG38)</f>
        <v>0</v>
      </c>
      <c r="AI38" s="700" cm="1" t="str">
        <f t="array" ref="AI38:AI38">AE38</f>
        <v>0</v>
      </c>
      <c r="AJ38" s="700" cm="1" t="str">
        <f t="array" ref="AJ38:AJ38">AF38</f>
        <v>0</v>
      </c>
      <c r="AK38" s="700" cm="1" t="str">
        <f t="array" ref="AK38:AK38">AG38</f>
        <v>0</v>
      </c>
      <c r="AL38" s="701">
        <f>SUM(AI38:AK38)</f>
        <v>0</v>
      </c>
    </row>
    <row customHeight="1" ht="16.672500000000003">
      <c r="E39" s="797">
        <v>17.1</v>
      </c>
      <c r="F39" s="950" cm="1" t="str">
        <f t="array" ref="F39:F39">F38</f>
        <v>0</v>
      </c>
      <c r="AB39" s="698" t="s">
        <v>491</v>
      </c>
      <c r="AC39" s="699" t="s">
        <v>1559</v>
      </c>
      <c r="AD39" s="698" t="s">
        <v>810</v>
      </c>
      <c r="AE39" s="700"/>
      <c r="AF39" s="700"/>
      <c r="AG39" s="700"/>
      <c r="AH39" s="701">
        <f>SUM(AE39:AG39)</f>
        <v>0</v>
      </c>
      <c r="AI39" s="700" cm="1" t="str">
        <f t="array" ref="AI39:AI39">AE39</f>
        <v>0</v>
      </c>
      <c r="AJ39" s="700" cm="1" t="str">
        <f t="array" ref="AJ39:AJ39">AF39</f>
        <v>0</v>
      </c>
      <c r="AK39" s="700" cm="1" t="str">
        <f t="array" ref="AK39:AK39">AG39</f>
        <v>0</v>
      </c>
      <c r="AL39" s="701">
        <f>SUM(AI39:AK39)</f>
        <v>0</v>
      </c>
    </row>
    <row customHeight="1" ht="16.672500000000003">
      <c r="E40" s="797">
        <v>17.1</v>
      </c>
      <c r="F40" s="950" cm="1" t="str">
        <f t="array" ref="F40:F40">F39</f>
        <v>0</v>
      </c>
      <c r="AB40" s="698" t="s">
        <v>1561</v>
      </c>
      <c r="AC40" s="699" t="s">
        <v>1264</v>
      </c>
      <c r="AD40" s="698" t="s">
        <v>810</v>
      </c>
      <c r="AE40" s="700"/>
      <c r="AF40" s="700"/>
      <c r="AG40" s="700"/>
      <c r="AH40" s="701">
        <f>SUM(AE40:AG40)</f>
        <v>0</v>
      </c>
      <c r="AI40" s="700" cm="1" t="str">
        <f t="array" ref="AI40:AI40">AE40</f>
        <v>0</v>
      </c>
      <c r="AJ40" s="700" cm="1" t="str">
        <f t="array" ref="AJ40:AJ40">AF40</f>
        <v>0</v>
      </c>
      <c r="AK40" s="700" cm="1" t="str">
        <f t="array" ref="AK40:AK40">AG40</f>
        <v>0</v>
      </c>
      <c r="AL40" s="701">
        <f>SUM(AI40:AK40)</f>
        <v>0</v>
      </c>
    </row>
    <row customHeight="1" ht="16.672500000000003">
      <c r="E41" s="797">
        <v>17.1</v>
      </c>
      <c r="F41" s="950" cm="1" t="str">
        <f t="array" ref="F41:F41">F40</f>
        <v>0</v>
      </c>
      <c r="AB41" s="698" t="s">
        <v>429</v>
      </c>
      <c r="AC41" s="702" t="s">
        <v>1562</v>
      </c>
      <c r="AD41" s="698" t="s">
        <v>1563</v>
      </c>
      <c r="AE41" s="700"/>
      <c r="AF41" s="700"/>
      <c r="AG41" s="700"/>
      <c r="AH41" s="703"/>
      <c r="AI41" s="700" cm="1" t="str">
        <f t="array" ref="AI41:AI41">AE41</f>
        <v>0</v>
      </c>
      <c r="AJ41" s="700" cm="1" t="str">
        <f t="array" ref="AJ41:AJ41">AF41</f>
        <v>0</v>
      </c>
      <c r="AK41" s="700" cm="1" t="str">
        <f t="array" ref="AK41:AK41">AG41</f>
        <v>0</v>
      </c>
      <c r="AL41" s="703"/>
    </row>
    <row customHeight="1" ht="16.672500000000003">
      <c r="E42" s="797">
        <v>17.1</v>
      </c>
      <c r="F42" s="950" cm="1" t="str">
        <f t="array" ref="F42:F42">F41</f>
        <v>0</v>
      </c>
      <c r="AB42" s="698" t="s">
        <v>432</v>
      </c>
      <c r="AC42" s="702" t="s">
        <v>1564</v>
      </c>
      <c r="AD42" s="698" t="s">
        <v>1563</v>
      </c>
      <c r="AE42" s="704">
        <v>0</v>
      </c>
      <c r="AF42" s="704">
        <v>0</v>
      </c>
      <c r="AG42" s="704">
        <v>0</v>
      </c>
      <c r="AH42" s="703"/>
      <c r="AI42" s="700" cm="1" t="str">
        <f t="array" ref="AI42:AI42">AE42</f>
        <v>0</v>
      </c>
      <c r="AJ42" s="700" cm="1" t="str">
        <f t="array" ref="AJ42:AJ42">AF42</f>
        <v>0</v>
      </c>
      <c r="AK42" s="700" cm="1" t="str">
        <f t="array" ref="AK42:AK42">AG42</f>
        <v>0</v>
      </c>
      <c r="AL42" s="703"/>
    </row>
    <row customHeight="1" ht="33.0525">
      <c r="E43" s="797">
        <v>33.9</v>
      </c>
      <c r="F43" s="950" cm="1" t="str">
        <f t="array" ref="F43:F43">F42</f>
        <v>0</v>
      </c>
      <c r="AB43" s="698" t="s">
        <v>435</v>
      </c>
      <c r="AC43" s="702" t="s">
        <v>1565</v>
      </c>
      <c r="AD43" s="698" t="s">
        <v>810</v>
      </c>
      <c r="AE43" s="701">
        <f>SUM(AE44:AE48)</f>
        <v>0</v>
      </c>
      <c r="AF43" s="701">
        <f>SUM(AF44:AF48)</f>
        <v>0</v>
      </c>
      <c r="AG43" s="701">
        <f>SUM(AG44:AG48)</f>
        <v>0</v>
      </c>
      <c r="AH43" s="701">
        <f>SUM(AE43:AG43)</f>
        <v>0</v>
      </c>
      <c r="AI43" s="701">
        <f>SUM(AI44:AI48)</f>
        <v>0</v>
      </c>
      <c r="AJ43" s="701">
        <f>SUM(AJ44:AJ48)</f>
        <v>0</v>
      </c>
      <c r="AK43" s="701">
        <f>SUM(AK44:AK48)</f>
        <v>0</v>
      </c>
      <c r="AL43" s="701">
        <f>SUM(AI43:AK43)</f>
        <v>0</v>
      </c>
    </row>
    <row customHeight="1" ht="16.672500000000003">
      <c r="E44" s="797">
        <v>17.1</v>
      </c>
      <c r="F44" s="950" cm="1" t="str">
        <f t="array" ref="F44:F44">F43</f>
        <v>0</v>
      </c>
      <c r="AB44" s="698" t="s">
        <v>756</v>
      </c>
      <c r="AC44" s="699" t="s">
        <v>1556</v>
      </c>
      <c r="AD44" s="698" t="s">
        <v>810</v>
      </c>
      <c r="AE44" s="700"/>
      <c r="AF44" s="700"/>
      <c r="AG44" s="700"/>
      <c r="AH44" s="701">
        <f>SUM(AE44:AG44)</f>
        <v>0</v>
      </c>
      <c r="AI44" s="700" cm="1" t="str">
        <f t="array" ref="AI44:AI44">AE44</f>
        <v>0</v>
      </c>
      <c r="AJ44" s="700" cm="1" t="str">
        <f t="array" ref="AJ44:AJ44">AF44</f>
        <v>0</v>
      </c>
      <c r="AK44" s="700" cm="1" t="str">
        <f t="array" ref="AK44:AK44">AG44</f>
        <v>0</v>
      </c>
      <c r="AL44" s="701">
        <f>SUM(AI44:AK44)</f>
        <v>0</v>
      </c>
    </row>
    <row customHeight="1" ht="16.672500000000003">
      <c r="E45" s="797">
        <v>17.1</v>
      </c>
      <c r="F45" s="950" cm="1" t="str">
        <f t="array" ref="F45:F45">F44</f>
        <v>0</v>
      </c>
      <c r="AB45" s="698" t="s">
        <v>1308</v>
      </c>
      <c r="AC45" s="699" t="s">
        <v>1557</v>
      </c>
      <c r="AD45" s="698" t="s">
        <v>810</v>
      </c>
      <c r="AE45" s="700"/>
      <c r="AF45" s="700"/>
      <c r="AG45" s="700"/>
      <c r="AH45" s="701">
        <f>SUM(AE45:AG45)</f>
        <v>0</v>
      </c>
      <c r="AI45" s="700" cm="1" t="str">
        <f t="array" ref="AI45:AI45">AE45</f>
        <v>0</v>
      </c>
      <c r="AJ45" s="700" cm="1" t="str">
        <f t="array" ref="AJ45:AJ45">AF45</f>
        <v>0</v>
      </c>
      <c r="AK45" s="700" cm="1" t="str">
        <f t="array" ref="AK45:AK45">AG45</f>
        <v>0</v>
      </c>
      <c r="AL45" s="701">
        <f>SUM(AI45:AK45)</f>
        <v>0</v>
      </c>
    </row>
    <row customHeight="1" ht="16.672500000000003">
      <c r="E46" s="797">
        <v>17.1</v>
      </c>
      <c r="F46" s="950" cm="1" t="str">
        <f t="array" ref="F46:F46">F45</f>
        <v>0</v>
      </c>
      <c r="AB46" s="698" t="s">
        <v>1311</v>
      </c>
      <c r="AC46" s="699" t="s">
        <v>1558</v>
      </c>
      <c r="AD46" s="698" t="s">
        <v>810</v>
      </c>
      <c r="AE46" s="700"/>
      <c r="AF46" s="700"/>
      <c r="AG46" s="700"/>
      <c r="AH46" s="701">
        <f>SUM(AE46:AG46)</f>
        <v>0</v>
      </c>
      <c r="AI46" s="700" cm="1" t="str">
        <f t="array" ref="AI46:AI46">AE46</f>
        <v>0</v>
      </c>
      <c r="AJ46" s="700" cm="1" t="str">
        <f t="array" ref="AJ46:AJ46">AF46</f>
        <v>0</v>
      </c>
      <c r="AK46" s="700" cm="1" t="str">
        <f t="array" ref="AK46:AK46">AG46</f>
        <v>0</v>
      </c>
      <c r="AL46" s="701">
        <f>SUM(AI46:AK46)</f>
        <v>0</v>
      </c>
    </row>
    <row customHeight="1" ht="16.672500000000003">
      <c r="E47" s="797">
        <v>17.1</v>
      </c>
      <c r="F47" s="950" cm="1" t="str">
        <f t="array" ref="F47:F47">F46</f>
        <v>0</v>
      </c>
      <c r="AB47" s="698" t="s">
        <v>1314</v>
      </c>
      <c r="AC47" s="699" t="s">
        <v>1559</v>
      </c>
      <c r="AD47" s="698" t="s">
        <v>810</v>
      </c>
      <c r="AE47" s="700"/>
      <c r="AF47" s="700"/>
      <c r="AG47" s="700"/>
      <c r="AH47" s="701">
        <f>SUM(AE47:AG47)</f>
        <v>0</v>
      </c>
      <c r="AI47" s="700" cm="1" t="str">
        <f t="array" ref="AI47:AI47">AE47</f>
        <v>0</v>
      </c>
      <c r="AJ47" s="700" cm="1" t="str">
        <f t="array" ref="AJ47:AJ47">AF47</f>
        <v>0</v>
      </c>
      <c r="AK47" s="700" cm="1" t="str">
        <f t="array" ref="AK47:AK47">AG47</f>
        <v>0</v>
      </c>
      <c r="AL47" s="701">
        <f>SUM(AI47:AK47)</f>
        <v>0</v>
      </c>
    </row>
    <row customHeight="1" ht="16.672500000000003">
      <c r="E48" s="797">
        <v>17.1</v>
      </c>
      <c r="F48" s="950" cm="1" t="str">
        <f t="array" ref="F48:F48">F47</f>
        <v>0</v>
      </c>
      <c r="AB48" s="705" t="s">
        <v>1317</v>
      </c>
      <c r="AC48" s="707" t="s">
        <v>1264</v>
      </c>
      <c r="AD48" s="705" t="s">
        <v>810</v>
      </c>
      <c r="AE48" s="708"/>
      <c r="AF48" s="708"/>
      <c r="AG48" s="708"/>
      <c r="AH48" s="706">
        <f>SUM(AE48:AG48)</f>
        <v>0</v>
      </c>
      <c r="AI48" s="708" cm="1" t="str">
        <f t="array" ref="AI48:AI48">AE48</f>
        <v>0</v>
      </c>
      <c r="AJ48" s="708" cm="1" t="str">
        <f t="array" ref="AJ48:AJ48">AF48</f>
        <v>0</v>
      </c>
      <c r="AK48" s="708" cm="1" t="str">
        <f t="array" ref="AK48:AK48">AG48</f>
        <v>0</v>
      </c>
      <c r="AL48" s="706">
        <f>SUM(AI48:AK48)</f>
        <v>0</v>
      </c>
    </row>
    <row customHeight="1" ht="16.672500000000003">
      <c r="E49" s="797">
        <v>17.1</v>
      </c>
      <c r="F49" s="950" cm="1" t="str">
        <f t="array" ref="F49:F49">F48</f>
        <v>0</v>
      </c>
      <c r="AB49" s="314">
        <v>6</v>
      </c>
      <c r="AC49" s="408" t="s">
        <v>1566</v>
      </c>
      <c r="AD49" s="314" t="s">
        <v>810</v>
      </c>
      <c r="AE49" s="709">
        <f>IF(AE41=0,0,AE42/AE41*AE35)</f>
        <v>0</v>
      </c>
      <c r="AF49" s="709">
        <f>IF(AF41=0,0,AF42/AF41*AF35)</f>
        <v>0</v>
      </c>
      <c r="AG49" s="709">
        <f>IF(AG41=0,0,AG42/AG41*AG35)</f>
        <v>0</v>
      </c>
      <c r="AH49" s="709">
        <f>SUM(AE49:AG49)</f>
        <v>0</v>
      </c>
      <c r="AI49" s="709">
        <f>IF(AI41=0,0,AI42/AI41*AI35)</f>
        <v>0</v>
      </c>
      <c r="AJ49" s="709">
        <f>IF(AJ41=0,0,AJ42/AJ41*AJ35)</f>
        <v>0</v>
      </c>
      <c r="AK49" s="709">
        <f>IF(AK41=0,0,AK42/AK41*AK35)</f>
        <v>0</v>
      </c>
      <c r="AL49" s="709">
        <f>SUM(AI49:AK49)</f>
        <v>0</v>
      </c>
    </row>
    <row customHeight="1" ht="16.672500000000003">
      <c r="E50" s="797">
        <v>17.1</v>
      </c>
      <c r="F50" s="950" cm="1" t="str">
        <f t="array" ref="F50:F50">F49</f>
        <v>0</v>
      </c>
      <c r="AB50" s="314">
        <v>7</v>
      </c>
      <c r="AC50" s="408" t="s">
        <v>1567</v>
      </c>
      <c r="AD50" s="314" t="s">
        <v>810</v>
      </c>
      <c r="AE50" s="709">
        <f>IF(AE49=0,0,AE29*(AE43/AE49-1))</f>
        <v>0</v>
      </c>
      <c r="AF50" s="709">
        <f>IF(AF49=0,0,AF29*(AF43/AF49-1))</f>
        <v>0</v>
      </c>
      <c r="AG50" s="709">
        <f>IF(AG49=0,0,AG29*(AG43/AG49-1))</f>
        <v>0</v>
      </c>
      <c r="AH50" s="709">
        <f>SUM(AE50:AG50)</f>
        <v>0</v>
      </c>
      <c r="AI50" s="709">
        <f>IF(AI49=0,0,AI29*(AI43/AI49-1))</f>
        <v>0</v>
      </c>
      <c r="AJ50" s="709">
        <f>IF(AJ49=0,0,AJ29*(AJ43/AJ49-1))</f>
        <v>0</v>
      </c>
      <c r="AK50" s="709">
        <f>IF(AK49=0,0,AK29*(AK43/AK49-1))</f>
        <v>0</v>
      </c>
      <c r="AL50" s="709">
        <f>SUM(AI50:AK50)</f>
        <v>0</v>
      </c>
    </row>
    <row s="539" customFormat="1" customHeight="1" ht="11.115">
      <c r="A51" s="952"/>
      <c r="B51" s="794"/>
      <c r="C51" s="952"/>
      <c r="D51" s="952"/>
      <c r="E51" s="798">
        <v>11.4</v>
      </c>
      <c r="F51" s="952"/>
      <c r="G51" s="952"/>
      <c r="H51" s="952"/>
      <c r="I51" s="952"/>
      <c r="J51" s="952"/>
      <c r="K51" s="952"/>
      <c r="L51" s="952"/>
      <c r="M51" s="952"/>
      <c r="N51" s="952"/>
      <c r="O51" s="952"/>
      <c r="P51" s="952"/>
      <c r="Q51" s="952"/>
      <c r="R51" s="952"/>
      <c r="S51" s="952"/>
      <c r="T51" s="952"/>
      <c r="U51" s="952"/>
      <c r="V51" s="952"/>
      <c r="W51" s="952"/>
      <c r="X51" s="952"/>
      <c r="Y51" s="952"/>
      <c r="Z51" s="952"/>
      <c r="AB51" s="540"/>
      <c r="AC51" s="540"/>
      <c r="AD51" s="540"/>
      <c r="AE51" s="540"/>
      <c r="AF51" s="540"/>
      <c r="AG51" s="540"/>
      <c r="AH51" s="540"/>
      <c r="AI51" s="540"/>
      <c r="AJ51" s="540"/>
      <c r="AK51" s="540"/>
      <c r="AL51" s="540"/>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444E6C-4938-2B89-EE05-CB52ACBECFAB}" mc:Ignorable="x14ac xr xr2 xr3">
  <sheetPr>
    <tabColor rgb="FF92D050"/>
    <outlinePr summaryRight="0" summaryBelow="0"/>
    <pageSetUpPr fitToPage="1"/>
  </sheetPr>
  <dimension ref="A1:BX143"/>
  <sheetViews>
    <sheetView showGridLines="0" workbookViewId="0">
      <pane xSplit="30" ySplit="25" topLeftCell="AE109" activePane="bottomRight" state="frozen"/>
      <selection pane="bottomLeft" activeCell="A26" sqref="A26"/>
      <selection pane="topRight" activeCell="AE1" sqref="AE1"/>
      <selection pane="bottomRight" activeCell="AT119" sqref="AT119"/>
    </sheetView>
  </sheetViews>
  <sheetFormatPr defaultColWidth="9.140625" customHeight="1" defaultRowHeight="11.25"/>
  <cols>
    <col min="1" max="1" style="228" width="3.57421875" hidden="1" customWidth="1"/>
    <col min="2" max="2" style="927" width="8.57421875" hidden="1" customWidth="1"/>
    <col min="3" max="3" style="1302" width="25.8515625" hidden="1" customWidth="1"/>
    <col min="4" max="4" style="1266" width="12.7109375" hidden="1" customWidth="1"/>
    <col min="5" max="5" style="925" width="8.421875" hidden="1" customWidth="1"/>
    <col min="6" max="6" style="228" width="6.421875" hidden="1" customWidth="1"/>
    <col min="7" max="11" style="230" width="3.57421875" hidden="1" customWidth="1"/>
    <col min="12" max="12" style="193" width="19.8515625" hidden="1" customWidth="1"/>
    <col min="13" max="14" style="1270" width="12.7109375" hidden="1" customWidth="1"/>
    <col min="15" max="18" style="1278" width="9.140625" hidden="1"/>
    <col min="19" max="19" style="1594" width="15.0039062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3" style="1235" width="9.140625" hidden="1"/>
    <col min="74" max="75" style="1236" width="9.140625" hidden="1"/>
    <col min="76" max="76" style="1333" width="15.00390625" hidden="1" customWidth="1"/>
  </cols>
  <sheetData>
    <row s="228" customFormat="1" customHeight="1" ht="12" hidden="1">
      <c r="B1" s="788"/>
      <c r="C1" s="1302" t="s">
        <v>84</v>
      </c>
      <c r="D1" s="1266" t="s">
        <v>85</v>
      </c>
      <c r="E1" s="788"/>
      <c r="F1" s="819" t="s">
        <v>83</v>
      </c>
      <c r="G1" s="230"/>
      <c r="H1" s="230"/>
      <c r="I1" s="230"/>
      <c r="J1" s="230"/>
      <c r="K1" s="230"/>
      <c r="M1" s="1270" t="s">
        <v>94</v>
      </c>
      <c r="N1" s="1270" t="s">
        <v>1568</v>
      </c>
      <c r="O1" s="1269" t="s">
        <v>1569</v>
      </c>
      <c r="P1" s="1269" t="s">
        <v>1570</v>
      </c>
      <c r="Q1" s="1269" t="s">
        <v>1571</v>
      </c>
      <c r="R1" s="1269"/>
      <c r="S1" s="0"/>
      <c r="T1" s="808" t="s">
        <v>86</v>
      </c>
      <c r="U1" s="808" t="s">
        <v>91</v>
      </c>
      <c r="V1" s="808" t="s">
        <v>87</v>
      </c>
      <c r="W1" s="808" t="s">
        <v>88</v>
      </c>
      <c r="X1" s="808" t="s">
        <v>89</v>
      </c>
      <c r="Y1" s="819" t="s">
        <v>372</v>
      </c>
      <c r="Z1" s="808" t="s">
        <v>93</v>
      </c>
      <c r="AA1" s="819" t="s">
        <v>90</v>
      </c>
      <c r="AB1" s="819" t="s">
        <v>92</v>
      </c>
      <c r="AC1" s="819" t="s">
        <v>92</v>
      </c>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235" t="s">
        <v>373</v>
      </c>
      <c r="BT1" s="1235" t="s">
        <v>374</v>
      </c>
      <c r="BU1" s="1235" t="s">
        <v>375</v>
      </c>
      <c r="BV1" s="1236" t="s">
        <v>378</v>
      </c>
      <c r="BW1" s="1236" t="s">
        <v>379</v>
      </c>
      <c r="BX1" s="1331" t="s">
        <v>1572</v>
      </c>
    </row>
    <row s="927" customFormat="1" customHeight="1" ht="12" hidden="1">
      <c r="B2" s="910" t="s">
        <v>15</v>
      </c>
      <c r="C2" s="1322"/>
      <c r="D2" s="1265"/>
      <c r="G2" s="930"/>
      <c r="H2" s="930"/>
      <c r="I2" s="930"/>
      <c r="J2" s="930"/>
      <c r="K2" s="930"/>
      <c r="L2" s="930"/>
      <c r="M2" s="1277"/>
      <c r="N2" s="1277"/>
      <c r="O2" s="1258"/>
      <c r="P2" s="1258"/>
      <c r="Q2" s="1258"/>
      <c r="R2" s="1258"/>
      <c r="S2" s="0"/>
      <c r="AC2" s="792"/>
      <c r="AJ2" s="809">
        <f>AJ6&lt;=last_year_vis</f>
        <v>1</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1</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1</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S2" s="1176"/>
      <c r="BT2" s="1176"/>
      <c r="BU2" s="1176"/>
      <c r="BV2" s="1188"/>
      <c r="BW2" s="1188"/>
      <c r="BX2" s="1332"/>
    </row>
    <row s="228" customFormat="1" customHeight="1" ht="12" hidden="1">
      <c r="B3" s="788"/>
      <c r="C3" s="1302"/>
      <c r="D3" s="1266"/>
      <c r="E3" s="788"/>
      <c r="G3" s="230"/>
      <c r="H3" s="230"/>
      <c r="I3" s="230"/>
      <c r="J3" s="230"/>
      <c r="K3" s="230"/>
      <c r="L3" s="193"/>
      <c r="M3" s="1270"/>
      <c r="N3" s="1270"/>
      <c r="O3" s="1269"/>
      <c r="P3" s="1269"/>
      <c r="Q3" s="1269"/>
      <c r="R3" s="1269"/>
      <c r="S3" s="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235"/>
      <c r="BT3" s="1235"/>
      <c r="BU3" s="1235"/>
      <c r="BV3" s="1236"/>
      <c r="BW3" s="1236"/>
      <c r="BX3" s="1333"/>
    </row>
    <row s="228" customFormat="1" customHeight="1" ht="12" hidden="1">
      <c r="B4" s="788"/>
      <c r="C4" s="1302"/>
      <c r="D4" s="1266"/>
      <c r="E4" s="788"/>
      <c r="G4" s="230"/>
      <c r="H4" s="230"/>
      <c r="I4" s="230"/>
      <c r="J4" s="230"/>
      <c r="K4" s="230"/>
      <c r="L4" s="193"/>
      <c r="M4" s="1270"/>
      <c r="N4" s="1270"/>
      <c r="O4" s="1269"/>
      <c r="P4" s="1269"/>
      <c r="Q4" s="1269"/>
      <c r="R4" s="1269"/>
      <c r="S4" s="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235"/>
      <c r="BT4" s="1235"/>
      <c r="BU4" s="1235"/>
      <c r="BV4" s="1236"/>
      <c r="BW4" s="1236"/>
      <c r="BX4" s="1333"/>
    </row>
    <row s="925" customFormat="1" customHeight="1" ht="12" hidden="1">
      <c r="A5" s="788"/>
      <c r="B5" s="788"/>
      <c r="C5" s="1322"/>
      <c r="D5" s="1265"/>
      <c r="E5" s="797" t="s">
        <v>16</v>
      </c>
      <c r="G5" s="931"/>
      <c r="H5" s="931"/>
      <c r="I5" s="931"/>
      <c r="J5" s="931"/>
      <c r="K5" s="931"/>
      <c r="L5" s="931"/>
      <c r="M5" s="1277"/>
      <c r="N5" s="1277"/>
      <c r="O5" s="1258"/>
      <c r="P5" s="1258"/>
      <c r="Q5" s="1258"/>
      <c r="R5" s="1258"/>
      <c r="AA5" s="797">
        <v>3</v>
      </c>
      <c r="AB5" s="797">
        <v>8.13</v>
      </c>
      <c r="AC5" s="803">
        <v>70.13</v>
      </c>
      <c r="AD5" s="797">
        <v>14.38</v>
      </c>
      <c r="AE5" s="797">
        <v>12.63</v>
      </c>
      <c r="AF5" s="797">
        <v>12.63</v>
      </c>
      <c r="AG5" s="797">
        <v>12.63</v>
      </c>
      <c r="AH5" s="797">
        <v>19.13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12.63</v>
      </c>
      <c r="BD5" s="797">
        <v>12.63</v>
      </c>
      <c r="BE5" s="797">
        <v>12.63</v>
      </c>
      <c r="BF5" s="797">
        <v>12.63</v>
      </c>
      <c r="BG5" s="797">
        <v>12.63</v>
      </c>
      <c r="BH5" s="797">
        <v>12.63</v>
      </c>
      <c r="BI5" s="797">
        <v>12.63</v>
      </c>
      <c r="BJ5" s="797">
        <v>12.63</v>
      </c>
      <c r="BK5" s="797">
        <v>12.63</v>
      </c>
      <c r="BL5" s="797">
        <v>12.63</v>
      </c>
      <c r="BM5" s="797">
        <v>12.63</v>
      </c>
      <c r="BN5" s="797">
        <v>19</v>
      </c>
      <c r="BO5" s="797">
        <v>17.25</v>
      </c>
      <c r="BP5" s="797">
        <v>31.25</v>
      </c>
      <c r="BQ5" s="797">
        <v>3</v>
      </c>
      <c r="BS5" s="1176"/>
      <c r="BT5" s="1176"/>
      <c r="BU5" s="1176"/>
      <c r="BV5" s="1188"/>
      <c r="BW5" s="1188"/>
      <c r="BX5" s="1332"/>
    </row>
    <row s="228" customFormat="1" customHeight="1" ht="12" hidden="1">
      <c r="B6" s="788"/>
      <c r="C6" s="1302"/>
      <c r="D6" s="1266"/>
      <c r="E6" s="797"/>
      <c r="G6" s="230"/>
      <c r="H6" s="230"/>
      <c r="I6" s="230"/>
      <c r="J6" s="230"/>
      <c r="K6" s="230"/>
      <c r="L6" s="193"/>
      <c r="M6" s="1270"/>
      <c r="N6" s="1270"/>
      <c r="O6" s="1269"/>
      <c r="P6" s="1269"/>
      <c r="Q6" s="1269"/>
      <c r="R6" s="1269"/>
      <c r="S6" s="1971"/>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f>god+1</f>
        <v>2027</v>
      </c>
      <c r="AL6" s="175">
        <f>god+2</f>
        <v>2028</v>
      </c>
      <c r="AM6" s="175">
        <f>god+3</f>
        <v>2029</v>
      </c>
      <c r="AN6" s="175">
        <f>god+4</f>
        <v>2030</v>
      </c>
      <c r="AO6" s="175">
        <f>god+5</f>
        <v>2031</v>
      </c>
      <c r="AP6" s="175">
        <f>god+6</f>
        <v>2032</v>
      </c>
      <c r="AQ6" s="175">
        <f>god+7</f>
        <v>2033</v>
      </c>
      <c r="AR6" s="175">
        <f>god+8</f>
        <v>2034</v>
      </c>
      <c r="AS6" s="175">
        <f>god+9</f>
        <v>2035</v>
      </c>
      <c r="AT6" s="175" cm="1" t="str">
        <f t="array" ref="AT6:AT6">god</f>
        <v>2026</v>
      </c>
      <c r="AU6" s="175">
        <f>god+1</f>
        <v>2027</v>
      </c>
      <c r="AV6" s="175">
        <f>god+2</f>
        <v>2028</v>
      </c>
      <c r="AW6" s="175">
        <f>god+3</f>
        <v>2029</v>
      </c>
      <c r="AX6" s="175">
        <f>god+4</f>
        <v>2030</v>
      </c>
      <c r="AY6" s="175">
        <f>god+5</f>
        <v>2031</v>
      </c>
      <c r="AZ6" s="175">
        <f>god+6</f>
        <v>2032</v>
      </c>
      <c r="BA6" s="175">
        <f>god+7</f>
        <v>2033</v>
      </c>
      <c r="BB6" s="175">
        <f>god+8</f>
        <v>2034</v>
      </c>
      <c r="BC6" s="175">
        <f>god+9</f>
        <v>2035</v>
      </c>
      <c r="BD6" s="175" cm="1" t="str">
        <f t="array" ref="BD6:BD6">god</f>
        <v>2026</v>
      </c>
      <c r="BE6" s="175">
        <f>god+1</f>
        <v>2027</v>
      </c>
      <c r="BF6" s="175">
        <f>god+2</f>
        <v>2028</v>
      </c>
      <c r="BG6" s="175">
        <f>god+3</f>
        <v>2029</v>
      </c>
      <c r="BH6" s="175">
        <f>god+4</f>
        <v>2030</v>
      </c>
      <c r="BI6" s="175">
        <f>god+5</f>
        <v>2031</v>
      </c>
      <c r="BJ6" s="175">
        <f>god+6</f>
        <v>2032</v>
      </c>
      <c r="BK6" s="175">
        <f>god+7</f>
        <v>2033</v>
      </c>
      <c r="BL6" s="175">
        <f>god+8</f>
        <v>2034</v>
      </c>
      <c r="BM6" s="175">
        <f>god+9</f>
        <v>2035</v>
      </c>
      <c r="BS6" s="1235"/>
      <c r="BT6" s="1235"/>
      <c r="BU6" s="1235"/>
      <c r="BV6" s="1236"/>
      <c r="BW6" s="1236"/>
      <c r="BX6" s="1333"/>
    </row>
    <row customHeight="1" ht="12" hidden="1">
      <c r="F7" s="230"/>
      <c r="S7" s="1972"/>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$AJ$25</f>
        <v>Предложение организации</v>
      </c>
      <c r="AL7" s="213" cm="1" t="str">
        <f t="array" ref="AL7:AL7">$AJ$25</f>
        <v>Предложение организации</v>
      </c>
      <c r="AM7" s="213" cm="1" t="str">
        <f t="array" ref="AM7:AM7">$AJ$25</f>
        <v>Предложение организации</v>
      </c>
      <c r="AN7" s="213" cm="1" t="str">
        <f t="array" ref="AN7:AN7">$AJ$25</f>
        <v>Предложение организации</v>
      </c>
      <c r="AO7" s="213" cm="1" t="str">
        <f t="array" ref="AO7:AO7">$AJ$25</f>
        <v>Предложение организации</v>
      </c>
      <c r="AP7" s="213" cm="1" t="str">
        <f t="array" ref="AP7:AP7">$AJ$25</f>
        <v>Предложение организации</v>
      </c>
      <c r="AQ7" s="213" cm="1" t="str">
        <f t="array" ref="AQ7:AQ7">$AJ$25</f>
        <v>Предложение организации</v>
      </c>
      <c r="AR7" s="213" cm="1" t="str">
        <f t="array" ref="AR7:AR7">$AJ$25</f>
        <v>Предложение организации</v>
      </c>
      <c r="AS7" s="213" cm="1" t="str">
        <f t="array" ref="AS7:AS7">$AJ$25</f>
        <v>Предложение организации</v>
      </c>
      <c r="AT7" s="213" cm="1" t="str">
        <f t="array" ref="AT7:AT7">$AT$25</f>
        <v>Принято органом регулирования</v>
      </c>
      <c r="AU7" s="213" cm="1" t="str">
        <f t="array" ref="AU7:AU7">$AT$25</f>
        <v>Принято органом регулирования</v>
      </c>
      <c r="AV7" s="213" cm="1" t="str">
        <f t="array" ref="AV7:AV7">$AT$25</f>
        <v>Принято органом регулирования</v>
      </c>
      <c r="AW7" s="213" cm="1" t="str">
        <f t="array" ref="AW7:AW7">$AT$25</f>
        <v>Принято органом регулирования</v>
      </c>
      <c r="AX7" s="213" cm="1" t="str">
        <f t="array" ref="AX7:AX7">$AT$25</f>
        <v>Принято органом регулирования</v>
      </c>
      <c r="AY7" s="213" cm="1" t="str">
        <f t="array" ref="AY7:AY7">$AT$25</f>
        <v>Принято органом регулирования</v>
      </c>
      <c r="AZ7" s="213" cm="1" t="str">
        <f t="array" ref="AZ7:AZ7">$AT$25</f>
        <v>Принято органом регулирования</v>
      </c>
      <c r="BA7" s="213" cm="1" t="str">
        <f t="array" ref="BA7:BA7">$AT$25</f>
        <v>Принято органом регулирования</v>
      </c>
      <c r="BB7" s="213" cm="1" t="str">
        <f t="array" ref="BB7:BB7">$AT$25</f>
        <v>Принято органом регулирования</v>
      </c>
      <c r="BC7" s="213" cm="1" t="str">
        <f t="array" ref="BC7:BC7">$AT$25</f>
        <v>Принято органом регулирования</v>
      </c>
      <c r="BD7" s="213"/>
      <c r="BE7" s="213"/>
      <c r="BF7" s="213"/>
      <c r="BG7" s="213"/>
      <c r="BH7" s="213"/>
      <c r="BI7" s="230"/>
      <c r="BJ7" s="230"/>
      <c r="BK7" s="230"/>
      <c r="BL7" s="230"/>
      <c r="BM7" s="230"/>
    </row>
    <row customHeight="1" ht="12" hidden="1">
      <c r="F8" s="230"/>
      <c r="S8" s="1972"/>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234" customFormat="1" customHeight="1" ht="12" hidden="1">
      <c r="A9" s="1161" t="s">
        <v>437</v>
      </c>
      <c r="B9" s="1154"/>
      <c r="C9" s="1302"/>
      <c r="D9" s="1266"/>
      <c r="E9" s="1154"/>
      <c r="L9" s="1212"/>
      <c r="M9" s="1270"/>
      <c r="N9" s="1270"/>
      <c r="O9" s="1269"/>
      <c r="P9" s="1269"/>
      <c r="Q9" s="1269"/>
      <c r="R9" s="1269"/>
      <c r="S9" s="1973"/>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f>god+1</f>
        <v>2027</v>
      </c>
      <c r="AL9" s="1234">
        <f>god+2</f>
        <v>2028</v>
      </c>
      <c r="AM9" s="1234">
        <f>god+3</f>
        <v>2029</v>
      </c>
      <c r="AN9" s="1234">
        <f>god+4</f>
        <v>2030</v>
      </c>
      <c r="AO9" s="1234">
        <f>god+5</f>
        <v>2031</v>
      </c>
      <c r="AP9" s="1234">
        <f>god+6</f>
        <v>2032</v>
      </c>
      <c r="AQ9" s="1234">
        <f>god+7</f>
        <v>2033</v>
      </c>
      <c r="AR9" s="1234">
        <f>god+8</f>
        <v>2034</v>
      </c>
      <c r="AS9" s="1234">
        <f>god+9</f>
        <v>2035</v>
      </c>
      <c r="AT9" s="1234" cm="1" t="str">
        <f t="array" ref="AT9:AT9">god</f>
        <v>2026</v>
      </c>
      <c r="AU9" s="1234">
        <f>god+1</f>
        <v>2027</v>
      </c>
      <c r="AV9" s="1234">
        <f>god+2</f>
        <v>2028</v>
      </c>
      <c r="AW9" s="1234">
        <f>god+3</f>
        <v>2029</v>
      </c>
      <c r="AX9" s="1234">
        <f>god+4</f>
        <v>2030</v>
      </c>
      <c r="AY9" s="1234">
        <f>god+5</f>
        <v>2031</v>
      </c>
      <c r="AZ9" s="1234">
        <f>god+6</f>
        <v>2032</v>
      </c>
      <c r="BA9" s="1234">
        <f>god+7</f>
        <v>2033</v>
      </c>
      <c r="BB9" s="1234">
        <f>god+8</f>
        <v>2034</v>
      </c>
      <c r="BC9" s="1234">
        <f>god+9</f>
        <v>2035</v>
      </c>
      <c r="BD9" s="1234" cm="1" t="str">
        <f t="array" ref="BD9:BD9">god</f>
        <v>2026</v>
      </c>
      <c r="BE9" s="1234">
        <f>god+1</f>
        <v>2027</v>
      </c>
      <c r="BF9" s="1234">
        <f>god+2</f>
        <v>2028</v>
      </c>
      <c r="BG9" s="1234">
        <f>god+3</f>
        <v>2029</v>
      </c>
      <c r="BH9" s="1234">
        <f>god+4</f>
        <v>2030</v>
      </c>
      <c r="BI9" s="1234">
        <f>god+5</f>
        <v>2031</v>
      </c>
      <c r="BJ9" s="1234">
        <f>god+6</f>
        <v>2032</v>
      </c>
      <c r="BK9" s="1234">
        <f>god+7</f>
        <v>2033</v>
      </c>
      <c r="BL9" s="1234">
        <f>god+8</f>
        <v>2034</v>
      </c>
      <c r="BM9" s="1234">
        <f>god+9</f>
        <v>2035</v>
      </c>
      <c r="BS9" s="1235"/>
      <c r="BT9" s="1235"/>
      <c r="BU9" s="1235"/>
      <c r="BV9" s="1236"/>
      <c r="BW9" s="1236"/>
      <c r="BX9" s="1270"/>
    </row>
    <row s="1234" customFormat="1" customHeight="1" ht="12" hidden="1">
      <c r="A10" s="1161" t="s">
        <v>438</v>
      </c>
      <c r="B10" s="1154"/>
      <c r="C10" s="1302"/>
      <c r="D10" s="1266"/>
      <c r="E10" s="1154"/>
      <c r="L10" s="1212"/>
      <c r="M10" s="1270"/>
      <c r="N10" s="1270"/>
      <c r="O10" s="1269"/>
      <c r="P10" s="1269"/>
      <c r="Q10" s="1269"/>
      <c r="R10" s="1269"/>
      <c r="S10" s="1973"/>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Предложение организации</v>
      </c>
      <c r="AP10" s="1234" cm="1" t="str">
        <f t="array" ref="AP10:AP10">AP25</f>
        <v>Предложение организации</v>
      </c>
      <c r="AQ10" s="1234" cm="1" t="str">
        <f t="array" ref="AQ10:AQ10">AQ25</f>
        <v>Предложение организации</v>
      </c>
      <c r="AR10" s="1234" cm="1" t="str">
        <f t="array" ref="AR10:AR10">AR25</f>
        <v>Предложение организации</v>
      </c>
      <c r="AS10" s="1234" cm="1" t="str">
        <f t="array" ref="AS10:AS10">AS25</f>
        <v>Предложение организации</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AY10" s="1234" cm="1" t="str">
        <f t="array" ref="AY10:AY10">AY25</f>
        <v>Принято органом регулирования</v>
      </c>
      <c r="AZ10" s="1234" cm="1" t="str">
        <f t="array" ref="AZ10:AZ10">AZ25</f>
        <v>Принято органом регулирования</v>
      </c>
      <c r="BA10" s="1234" cm="1" t="str">
        <f t="array" ref="BA10:BA10">BA25</f>
        <v>Принято органом регулирования</v>
      </c>
      <c r="BB10" s="1234" cm="1" t="str">
        <f t="array" ref="BB10:BB10">BB25</f>
        <v>Принято органом регулирования</v>
      </c>
      <c r="BC10" s="1234" cm="1" t="str">
        <f t="array" ref="BC10:BC10">BC25</f>
        <v>Принято органом регулирования</v>
      </c>
      <c r="BD10" s="1234"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4"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4"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4"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4"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4"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4"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4"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4"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4"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c r="BT10" s="1235"/>
      <c r="BU10" s="1235"/>
      <c r="BV10" s="1236"/>
      <c r="BW10" s="1236"/>
      <c r="BX10" s="1270"/>
    </row>
    <row s="1234" customFormat="1" customHeight="1" ht="12" hidden="1">
      <c r="A11" s="1161" t="s">
        <v>439</v>
      </c>
      <c r="B11" s="1154"/>
      <c r="C11" s="1302"/>
      <c r="D11" s="1266"/>
      <c r="E11" s="1154"/>
      <c r="G11" s="1237"/>
      <c r="H11" s="1237"/>
      <c r="I11" s="1237"/>
      <c r="J11" s="1237"/>
      <c r="K11" s="1237"/>
      <c r="L11" s="1214"/>
      <c r="M11" s="1270"/>
      <c r="N11" s="1270"/>
      <c r="O11" s="1269"/>
      <c r="P11" s="1269"/>
      <c r="Q11" s="1269"/>
      <c r="R11" s="1269"/>
      <c r="S11" s="1973"/>
      <c r="T11" s="1162"/>
      <c r="U11" s="1162"/>
      <c r="V11" s="1162"/>
      <c r="W11" s="1162"/>
      <c r="X11" s="1162"/>
      <c r="Y11" s="1162"/>
      <c r="Z11" s="1162"/>
      <c r="AC11" s="1238"/>
      <c r="AJ11" s="1234"/>
      <c r="AK11" s="1234"/>
      <c r="AL11" s="1234"/>
      <c r="AM11" s="1234"/>
      <c r="AN11" s="1234"/>
      <c r="AO11" s="1234"/>
      <c r="AP11" s="1234"/>
      <c r="AQ11" s="1234"/>
      <c r="AR11" s="1234"/>
      <c r="AS11" s="1234"/>
      <c r="AT11" s="1234"/>
      <c r="AU11" s="1234"/>
      <c r="AV11" s="1234"/>
      <c r="AW11" s="1234"/>
      <c r="AX11" s="1234"/>
      <c r="AY11" s="1234"/>
      <c r="AZ11" s="1234"/>
      <c r="BA11" s="1234"/>
      <c r="BB11" s="1234"/>
      <c r="BC11" s="1234"/>
      <c r="BD11" s="1234"/>
      <c r="BE11" s="1234"/>
      <c r="BF11" s="1234"/>
      <c r="BG11" s="1234"/>
      <c r="BH11" s="1234"/>
      <c r="BI11" s="1162"/>
      <c r="BJ11" s="1162"/>
      <c r="BK11" s="1162"/>
      <c r="BL11" s="1162"/>
      <c r="BM11" s="1162"/>
      <c r="BN11" s="1234" cm="1" t="str">
        <f t="array" ref="BN11:BN11">BN24</f>
        <v>Указание на подтверждающие документы / URL-ссылка на копии подтверждающих документов</v>
      </c>
      <c r="BO11" s="1234" cm="1" t="str">
        <f t="array" ref="BO11:BO11">BO24</f>
        <v>Ссылка на правовую норму (основание для принятия показателя в расчет тарифа)</v>
      </c>
      <c r="BP11" s="1234"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c r="BT11" s="1235"/>
      <c r="BU11" s="1235"/>
      <c r="BV11" s="1236"/>
      <c r="BW11" s="1236"/>
      <c r="BX11" s="1333"/>
    </row>
    <row s="1234" customFormat="1" customHeight="1" ht="12" hidden="1">
      <c r="A12" s="1161" t="s">
        <v>384</v>
      </c>
      <c r="B12" s="1154"/>
      <c r="C12" s="1302"/>
      <c r="D12" s="1266"/>
      <c r="E12" s="1154"/>
      <c r="G12" s="1237"/>
      <c r="H12" s="1237"/>
      <c r="I12" s="1237"/>
      <c r="J12" s="1237"/>
      <c r="K12" s="1237"/>
      <c r="L12" s="1214"/>
      <c r="M12" s="1270"/>
      <c r="N12" s="1270"/>
      <c r="O12" s="1269"/>
      <c r="P12" s="1269"/>
      <c r="Q12" s="1269"/>
      <c r="R12" s="1269"/>
      <c r="S12" s="1973"/>
      <c r="T12" s="1162"/>
      <c r="U12" s="1162"/>
      <c r="V12" s="1162"/>
      <c r="W12" s="1162"/>
      <c r="X12" s="1162"/>
      <c r="Y12" s="1162"/>
      <c r="Z12" s="1162"/>
      <c r="AC12" s="1238" t="s">
        <v>375</v>
      </c>
      <c r="AJ12" s="1234"/>
      <c r="AK12" s="1234"/>
      <c r="AL12" s="1234"/>
      <c r="AM12" s="1234"/>
      <c r="AN12" s="1234"/>
      <c r="AO12" s="1234"/>
      <c r="AP12" s="1234"/>
      <c r="AQ12" s="1234"/>
      <c r="AR12" s="1234"/>
      <c r="AS12" s="1234"/>
      <c r="AT12" s="1234"/>
      <c r="AU12" s="1234"/>
      <c r="AV12" s="1234"/>
      <c r="AW12" s="1234"/>
      <c r="AX12" s="1234"/>
      <c r="AY12" s="1234"/>
      <c r="AZ12" s="1234"/>
      <c r="BA12" s="1234"/>
      <c r="BB12" s="1234"/>
      <c r="BC12" s="1234"/>
      <c r="BD12" s="1234"/>
      <c r="BE12" s="1234"/>
      <c r="BF12" s="1234"/>
      <c r="BG12" s="1234"/>
      <c r="BH12" s="1234"/>
      <c r="BI12" s="1162"/>
      <c r="BJ12" s="1162"/>
      <c r="BK12" s="1162"/>
      <c r="BL12" s="1162"/>
      <c r="BM12" s="1162"/>
      <c r="BS12" s="1235"/>
      <c r="BT12" s="1235"/>
      <c r="BU12" s="1235"/>
      <c r="BV12" s="1236"/>
      <c r="BW12" s="1236"/>
      <c r="BX12" s="1333"/>
    </row>
    <row s="1270" customFormat="1" customHeight="1" ht="12" hidden="1">
      <c r="A13" s="1276" t="s">
        <v>103</v>
      </c>
      <c r="B13" s="1258"/>
      <c r="C13" s="1310"/>
      <c r="D13" s="1267"/>
      <c r="E13" s="1258"/>
      <c r="G13" s="1271"/>
      <c r="H13" s="1271"/>
      <c r="I13" s="1271"/>
      <c r="J13" s="1271"/>
      <c r="K13" s="1271"/>
      <c r="L13" s="1272"/>
      <c r="S13" s="1974"/>
      <c r="T13" s="1273"/>
      <c r="U13" s="1273"/>
      <c r="V13" s="1273"/>
      <c r="W13" s="1273"/>
      <c r="X13" s="1273"/>
      <c r="Y13" s="1273"/>
      <c r="Z13" s="1273"/>
      <c r="AC13" s="1274"/>
      <c r="AE13" s="1269" t="s">
        <v>1573</v>
      </c>
      <c r="AF13" s="1269" t="s">
        <v>1573</v>
      </c>
      <c r="AG13" s="1269" t="s">
        <v>1573</v>
      </c>
      <c r="AH13" s="1269" t="s">
        <v>1573</v>
      </c>
      <c r="AI13" s="1269" t="s">
        <v>1573</v>
      </c>
      <c r="AJ13" s="1269" t="s">
        <v>1573</v>
      </c>
      <c r="AK13" s="1269" t="s">
        <v>1573</v>
      </c>
      <c r="AL13" s="1269" t="s">
        <v>1573</v>
      </c>
      <c r="AM13" s="1269" t="s">
        <v>1573</v>
      </c>
      <c r="AN13" s="1269" t="s">
        <v>1573</v>
      </c>
      <c r="AO13" s="1269" t="s">
        <v>1573</v>
      </c>
      <c r="AP13" s="1269" t="s">
        <v>1573</v>
      </c>
      <c r="AQ13" s="1269" t="s">
        <v>1573</v>
      </c>
      <c r="AR13" s="1269" t="s">
        <v>1573</v>
      </c>
      <c r="AS13" s="1269" t="s">
        <v>1573</v>
      </c>
      <c r="AT13" s="1269" t="s">
        <v>1573</v>
      </c>
      <c r="AU13" s="1269" t="s">
        <v>1573</v>
      </c>
      <c r="AV13" s="1269" t="s">
        <v>1573</v>
      </c>
      <c r="AW13" s="1269" t="s">
        <v>1573</v>
      </c>
      <c r="AX13" s="1269" t="s">
        <v>1573</v>
      </c>
      <c r="AY13" s="1269" t="s">
        <v>1573</v>
      </c>
      <c r="AZ13" s="1269" t="s">
        <v>1573</v>
      </c>
      <c r="BA13" s="1269" t="s">
        <v>1573</v>
      </c>
      <c r="BB13" s="1269" t="s">
        <v>1573</v>
      </c>
      <c r="BC13" s="1269" t="s">
        <v>1573</v>
      </c>
      <c r="BD13" s="1269" t="s">
        <v>1573</v>
      </c>
      <c r="BE13" s="1269" t="s">
        <v>1573</v>
      </c>
      <c r="BF13" s="1269" t="s">
        <v>1573</v>
      </c>
      <c r="BG13" s="1269" t="s">
        <v>1573</v>
      </c>
      <c r="BH13" s="1269" t="s">
        <v>1573</v>
      </c>
      <c r="BI13" s="1269" t="s">
        <v>1573</v>
      </c>
      <c r="BJ13" s="1269" t="s">
        <v>1573</v>
      </c>
      <c r="BK13" s="1269" t="s">
        <v>1573</v>
      </c>
      <c r="BL13" s="1269" t="s">
        <v>1573</v>
      </c>
      <c r="BM13" s="1269" t="s">
        <v>1573</v>
      </c>
      <c r="BS13" s="1275"/>
      <c r="BT13" s="1275"/>
      <c r="BU13" s="1275"/>
      <c r="BV13" s="1275"/>
      <c r="BW13" s="1275"/>
      <c r="BX13" s="1333"/>
    </row>
    <row s="1270" customFormat="1" customHeight="1" ht="12" hidden="1">
      <c r="A14" s="1276" t="s">
        <v>1574</v>
      </c>
      <c r="B14" s="1258"/>
      <c r="C14" s="1310"/>
      <c r="D14" s="1267"/>
      <c r="E14" s="1258"/>
      <c r="G14" s="1271"/>
      <c r="H14" s="1271"/>
      <c r="I14" s="1271"/>
      <c r="J14" s="1271"/>
      <c r="K14" s="1271"/>
      <c r="L14" s="1272"/>
      <c r="S14" s="1974"/>
      <c r="T14" s="1273"/>
      <c r="U14" s="1273"/>
      <c r="V14" s="1273"/>
      <c r="W14" s="1273"/>
      <c r="X14" s="1273"/>
      <c r="Y14" s="1273"/>
      <c r="Z14" s="1273"/>
      <c r="AC14" s="1274"/>
      <c r="AE14" s="1269" cm="1" t="str">
        <f t="array" ref="AE14:AE14">AE6</f>
        <v>2024</v>
      </c>
      <c r="AF14" s="1269" cm="1" t="str">
        <f t="array" ref="AF14:AF14">AF6</f>
        <v>2024</v>
      </c>
      <c r="AG14" s="1269" cm="1" t="str">
        <f t="array" ref="AG14:AG14">AG6</f>
        <v>2024</v>
      </c>
      <c r="AH14" s="1269" cm="1" t="str">
        <f t="array" ref="AH14:AH14">AH6</f>
        <v>2024</v>
      </c>
      <c r="AI14" s="1269" cm="1" t="str">
        <f t="array" ref="AI14:AI14">AI6</f>
        <v>2025</v>
      </c>
      <c r="AJ14" s="1269" cm="1" t="str">
        <f t="array" ref="AJ14:AJ14">AJ6</f>
        <v>2026</v>
      </c>
      <c r="AK14" s="1269" cm="1" t="str">
        <f t="array" ref="AK14:AK14">AK6</f>
        <v>2027</v>
      </c>
      <c r="AL14" s="1269" cm="1" t="str">
        <f t="array" ref="AL14:AL14">AL6</f>
        <v>2028</v>
      </c>
      <c r="AM14" s="1269" cm="1" t="str">
        <f t="array" ref="AM14:AM14">AM6</f>
        <v>2029</v>
      </c>
      <c r="AN14" s="1269" cm="1" t="str">
        <f t="array" ref="AN14:AN14">AN6</f>
        <v>2030</v>
      </c>
      <c r="AO14" s="1269" cm="1" t="str">
        <f t="array" ref="AO14:AO14">AO6</f>
        <v>2031</v>
      </c>
      <c r="AP14" s="1269" cm="1" t="str">
        <f t="array" ref="AP14:AP14">AP6</f>
        <v>2032</v>
      </c>
      <c r="AQ14" s="1269" cm="1" t="str">
        <f t="array" ref="AQ14:AQ14">AQ6</f>
        <v>2033</v>
      </c>
      <c r="AR14" s="1269" cm="1" t="str">
        <f t="array" ref="AR14:AR14">AR6</f>
        <v>2034</v>
      </c>
      <c r="AS14" s="1269" cm="1" t="str">
        <f t="array" ref="AS14:AS14">AS6</f>
        <v>2035</v>
      </c>
      <c r="AT14" s="1269" cm="1" t="str">
        <f t="array" ref="AT14:AT14">AT6</f>
        <v>2026</v>
      </c>
      <c r="AU14" s="1269" cm="1" t="str">
        <f t="array" ref="AU14:AU14">AU6</f>
        <v>2027</v>
      </c>
      <c r="AV14" s="1269" cm="1" t="str">
        <f t="array" ref="AV14:AV14">AV6</f>
        <v>2028</v>
      </c>
      <c r="AW14" s="1269" cm="1" t="str">
        <f t="array" ref="AW14:AW14">AW6</f>
        <v>2029</v>
      </c>
      <c r="AX14" s="1269" cm="1" t="str">
        <f t="array" ref="AX14:AX14">AX6</f>
        <v>2030</v>
      </c>
      <c r="AY14" s="1269" cm="1" t="str">
        <f t="array" ref="AY14:AY14">AY6</f>
        <v>2031</v>
      </c>
      <c r="AZ14" s="1269" cm="1" t="str">
        <f t="array" ref="AZ14:AZ14">AZ6</f>
        <v>2032</v>
      </c>
      <c r="BA14" s="1269" cm="1" t="str">
        <f t="array" ref="BA14:BA14">BA6</f>
        <v>2033</v>
      </c>
      <c r="BB14" s="1269" cm="1" t="str">
        <f t="array" ref="BB14:BB14">BB6</f>
        <v>2034</v>
      </c>
      <c r="BC14" s="1269" cm="1" t="str">
        <f t="array" ref="BC14:BC14">BC6</f>
        <v>2035</v>
      </c>
      <c r="BD14" s="1269" cm="1" t="str">
        <f t="array" ref="BD14:BD14">BD6</f>
        <v>2026</v>
      </c>
      <c r="BE14" s="1269" cm="1" t="str">
        <f t="array" ref="BE14:BE14">BE6</f>
        <v>2027</v>
      </c>
      <c r="BF14" s="1269" cm="1" t="str">
        <f t="array" ref="BF14:BF14">BF6</f>
        <v>2028</v>
      </c>
      <c r="BG14" s="1269" cm="1" t="str">
        <f t="array" ref="BG14:BG14">BG6</f>
        <v>2029</v>
      </c>
      <c r="BH14" s="1269" cm="1" t="str">
        <f t="array" ref="BH14:BH14">BH6</f>
        <v>2030</v>
      </c>
      <c r="BI14" s="1269" cm="1" t="str">
        <f t="array" ref="BI14:BI14">BI6</f>
        <v>2031</v>
      </c>
      <c r="BJ14" s="1269" cm="1" t="str">
        <f t="array" ref="BJ14:BJ14">BJ6</f>
        <v>2032</v>
      </c>
      <c r="BK14" s="1269" cm="1" t="str">
        <f t="array" ref="BK14:BK14">BK6</f>
        <v>2033</v>
      </c>
      <c r="BL14" s="1269" cm="1" t="str">
        <f t="array" ref="BL14:BL14">BL6</f>
        <v>2034</v>
      </c>
      <c r="BM14" s="1269" cm="1" t="str">
        <f t="array" ref="BM14:BM14">BM6</f>
        <v>2035</v>
      </c>
      <c r="BS14" s="1275"/>
      <c r="BT14" s="1275"/>
      <c r="BU14" s="1275"/>
      <c r="BV14" s="1275"/>
      <c r="BW14" s="1275"/>
      <c r="BX14" s="1333"/>
    </row>
    <row s="1270" customFormat="1" customHeight="1" ht="12" hidden="1">
      <c r="A15" s="1276" t="s">
        <v>1575</v>
      </c>
      <c r="B15" s="1258"/>
      <c r="C15" s="1310"/>
      <c r="D15" s="1267"/>
      <c r="E15" s="1258"/>
      <c r="G15" s="1271"/>
      <c r="H15" s="1271"/>
      <c r="I15" s="1271"/>
      <c r="J15" s="1271"/>
      <c r="K15" s="1271"/>
      <c r="L15" s="1272"/>
      <c r="S15" s="1974"/>
      <c r="T15" s="1273"/>
      <c r="U15" s="1273"/>
      <c r="V15" s="1273"/>
      <c r="W15" s="1273"/>
      <c r="X15" s="1273"/>
      <c r="Y15" s="1273"/>
      <c r="Z15" s="1273"/>
      <c r="AC15" s="1274"/>
      <c r="AE15" s="1269" t="s">
        <v>1576</v>
      </c>
      <c r="AF15" s="1269" t="s">
        <v>1577</v>
      </c>
      <c r="AG15" s="1269" t="s">
        <v>1576</v>
      </c>
      <c r="AH15" s="1269" t="s">
        <v>1578</v>
      </c>
      <c r="AI15" s="1269" t="s">
        <v>1576</v>
      </c>
      <c r="AJ15" s="1269" t="s">
        <v>1577</v>
      </c>
      <c r="AK15" s="1269" t="s">
        <v>1577</v>
      </c>
      <c r="AL15" s="1269" t="s">
        <v>1577</v>
      </c>
      <c r="AM15" s="1269" t="s">
        <v>1577</v>
      </c>
      <c r="AN15" s="1269" t="s">
        <v>1577</v>
      </c>
      <c r="AO15" s="1269" t="s">
        <v>1577</v>
      </c>
      <c r="AP15" s="1269" t="s">
        <v>1577</v>
      </c>
      <c r="AQ15" s="1269" t="s">
        <v>1577</v>
      </c>
      <c r="AR15" s="1269" t="s">
        <v>1577</v>
      </c>
      <c r="AS15" s="1269" t="s">
        <v>1577</v>
      </c>
      <c r="AT15" s="1269" t="s">
        <v>1576</v>
      </c>
      <c r="AU15" s="1269" t="s">
        <v>1576</v>
      </c>
      <c r="AV15" s="1269" t="s">
        <v>1576</v>
      </c>
      <c r="AW15" s="1269" t="s">
        <v>1576</v>
      </c>
      <c r="AX15" s="1269" t="s">
        <v>1576</v>
      </c>
      <c r="AY15" s="1269" t="s">
        <v>1576</v>
      </c>
      <c r="AZ15" s="1269" t="s">
        <v>1576</v>
      </c>
      <c r="BA15" s="1269" t="s">
        <v>1576</v>
      </c>
      <c r="BB15" s="1269" t="s">
        <v>1576</v>
      </c>
      <c r="BC15" s="1269" t="s">
        <v>1576</v>
      </c>
      <c r="BD15" s="1273"/>
      <c r="BE15" s="1273"/>
      <c r="BF15" s="1273"/>
      <c r="BG15" s="1273"/>
      <c r="BH15" s="1273"/>
      <c r="BI15" s="1273"/>
      <c r="BJ15" s="1273"/>
      <c r="BK15" s="1273"/>
      <c r="BL15" s="1273"/>
      <c r="BM15" s="1273"/>
      <c r="BS15" s="1275"/>
      <c r="BT15" s="1275"/>
      <c r="BU15" s="1275"/>
      <c r="BV15" s="1275"/>
      <c r="BW15" s="1275"/>
      <c r="BX15" s="1333"/>
    </row>
    <row s="1270" customFormat="1" customHeight="1" ht="12" hidden="1">
      <c r="A16" s="1276" t="s">
        <v>1579</v>
      </c>
      <c r="B16" s="1258"/>
      <c r="C16" s="1310"/>
      <c r="D16" s="1267"/>
      <c r="E16" s="1258"/>
      <c r="G16" s="1271"/>
      <c r="H16" s="1271"/>
      <c r="I16" s="1271"/>
      <c r="J16" s="1271"/>
      <c r="K16" s="1271"/>
      <c r="L16" s="1272"/>
      <c r="S16" s="1974"/>
      <c r="T16" s="1273"/>
      <c r="U16" s="1273"/>
      <c r="V16" s="1273"/>
      <c r="W16" s="1273"/>
      <c r="X16" s="1273"/>
      <c r="Y16" s="1273"/>
      <c r="Z16" s="1273"/>
      <c r="AC16" s="1274"/>
      <c r="AE16" s="1269" t="s">
        <v>1580</v>
      </c>
      <c r="AF16" s="1269" t="s">
        <v>1581</v>
      </c>
      <c r="AG16" s="1269" t="s">
        <v>1581</v>
      </c>
      <c r="AH16" s="1269" t="s">
        <v>1582</v>
      </c>
      <c r="AJ16" s="1273"/>
      <c r="AK16" s="1273"/>
      <c r="AL16" s="1273"/>
      <c r="AM16" s="1273"/>
      <c r="AN16" s="1273"/>
      <c r="AO16" s="1273"/>
      <c r="AP16" s="1273"/>
      <c r="AQ16" s="1273"/>
      <c r="AR16" s="1273"/>
      <c r="AS16" s="1273"/>
      <c r="AT16" s="1273"/>
      <c r="AU16" s="1273"/>
      <c r="AV16" s="1273"/>
      <c r="AW16" s="1273"/>
      <c r="AX16" s="1273"/>
      <c r="AY16" s="1273"/>
      <c r="AZ16" s="1273"/>
      <c r="BA16" s="1273"/>
      <c r="BB16" s="1273"/>
      <c r="BC16" s="1273"/>
      <c r="BD16" s="1273"/>
      <c r="BE16" s="1273"/>
      <c r="BF16" s="1273"/>
      <c r="BG16" s="1273"/>
      <c r="BH16" s="1273"/>
      <c r="BI16" s="1273"/>
      <c r="BJ16" s="1273"/>
      <c r="BK16" s="1273"/>
      <c r="BL16" s="1273"/>
      <c r="BM16" s="1273"/>
      <c r="BS16" s="1275"/>
      <c r="BT16" s="1275"/>
      <c r="BU16" s="1275"/>
      <c r="BV16" s="1275"/>
      <c r="BW16" s="1275"/>
      <c r="BX16" s="1333"/>
    </row>
    <row s="1270" customFormat="1" customHeight="1" ht="12" hidden="1">
      <c r="A17" s="1308" t="s">
        <v>1583</v>
      </c>
      <c r="B17" s="1258"/>
      <c r="C17" s="1310"/>
      <c r="D17" s="1267"/>
      <c r="E17" s="1258"/>
      <c r="G17" s="1271"/>
      <c r="H17" s="1271"/>
      <c r="I17" s="1271"/>
      <c r="J17" s="1271"/>
      <c r="K17" s="1271"/>
      <c r="L17" s="1272"/>
      <c r="S17" s="1974"/>
      <c r="T17" s="1273"/>
      <c r="U17" s="1273"/>
      <c r="V17" s="1273"/>
      <c r="W17" s="1273"/>
      <c r="X17" s="1273"/>
      <c r="Y17" s="1273"/>
      <c r="Z17" s="1273"/>
      <c r="AC17" s="1274"/>
      <c r="AJ17" s="1270"/>
      <c r="AK17" s="1270"/>
      <c r="AL17" s="1270"/>
      <c r="AM17" s="1270"/>
      <c r="AN17" s="1270"/>
      <c r="AO17" s="1270"/>
      <c r="AP17" s="1270"/>
      <c r="AQ17" s="1270"/>
      <c r="AR17" s="1270"/>
      <c r="AS17" s="1270"/>
      <c r="AT17" s="1270"/>
      <c r="AU17" s="1270"/>
      <c r="AV17" s="1270"/>
      <c r="AW17" s="1270"/>
      <c r="AX17" s="1270"/>
      <c r="AY17" s="1270"/>
      <c r="AZ17" s="1270"/>
      <c r="BA17" s="1270"/>
      <c r="BB17" s="1270"/>
      <c r="BC17" s="1270"/>
      <c r="BD17" s="1270"/>
      <c r="BE17" s="1270"/>
      <c r="BF17" s="1270"/>
      <c r="BG17" s="1270"/>
      <c r="BH17" s="1270"/>
      <c r="BI17" s="1273"/>
      <c r="BJ17" s="1273"/>
      <c r="BK17" s="1273"/>
      <c r="BL17" s="1273"/>
      <c r="BM17" s="1273"/>
      <c r="BN17" s="1269" t="s">
        <v>1584</v>
      </c>
      <c r="BO17" s="1269" t="s">
        <v>1585</v>
      </c>
      <c r="BP17" s="1269" t="s">
        <v>1586</v>
      </c>
      <c r="BS17" s="1275"/>
      <c r="BT17" s="1275"/>
      <c r="BU17" s="1275"/>
      <c r="BV17" s="1275"/>
      <c r="BW17" s="1275"/>
      <c r="BX17" s="1333"/>
    </row>
    <row s="228" customFormat="1" customHeight="1" ht="12" hidden="1">
      <c r="B18" s="788"/>
      <c r="C18" s="1302"/>
      <c r="D18" s="1266"/>
      <c r="E18" s="797"/>
      <c r="G18" s="230"/>
      <c r="H18" s="230"/>
      <c r="I18" s="230"/>
      <c r="J18" s="230"/>
      <c r="K18" s="230"/>
      <c r="L18" s="193"/>
      <c r="M18" s="1270"/>
      <c r="N18" s="1270"/>
      <c r="O18" s="1269"/>
      <c r="P18" s="1269"/>
      <c r="Q18" s="1269"/>
      <c r="R18" s="1269"/>
      <c r="S18" s="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235"/>
      <c r="BT18" s="1235"/>
      <c r="BU18" s="1235"/>
      <c r="BV18" s="1236"/>
      <c r="BW18" s="1236"/>
      <c r="BX18" s="1333"/>
    </row>
    <row s="228" customFormat="1" customHeight="1" ht="12" hidden="1">
      <c r="B19" s="788"/>
      <c r="C19" s="1302"/>
      <c r="D19" s="1266"/>
      <c r="E19" s="797"/>
      <c r="G19" s="230"/>
      <c r="H19" s="230"/>
      <c r="I19" s="230"/>
      <c r="J19" s="230"/>
      <c r="K19" s="230"/>
      <c r="L19" s="193"/>
      <c r="M19" s="1270"/>
      <c r="N19" s="1270"/>
      <c r="O19" s="1269"/>
      <c r="P19" s="1269"/>
      <c r="Q19" s="1269"/>
      <c r="R19" s="1269"/>
      <c r="S19" s="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235"/>
      <c r="BT19" s="1235"/>
      <c r="BU19" s="1235"/>
      <c r="BV19" s="1236"/>
      <c r="BW19" s="1236"/>
      <c r="BX19" s="1333"/>
    </row>
    <row s="228" customFormat="1" customHeight="1" ht="12" hidden="1">
      <c r="B20" s="788"/>
      <c r="C20" s="1302"/>
      <c r="D20" s="1266"/>
      <c r="E20" s="797"/>
      <c r="G20" s="230"/>
      <c r="H20" s="230"/>
      <c r="I20" s="230"/>
      <c r="J20" s="230"/>
      <c r="K20" s="230"/>
      <c r="L20" s="193"/>
      <c r="M20" s="1270"/>
      <c r="N20" s="1270"/>
      <c r="O20" s="1269"/>
      <c r="P20" s="1269"/>
      <c r="Q20" s="1269"/>
      <c r="R20" s="1269"/>
      <c r="S20" s="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235"/>
      <c r="BT20" s="1235"/>
      <c r="BU20" s="1235"/>
      <c r="BV20" s="1236"/>
      <c r="BW20" s="1236"/>
      <c r="BX20" s="1333"/>
    </row>
    <row customHeight="1" ht="14.625">
      <c r="E21" s="797">
        <v>15</v>
      </c>
      <c r="AA21" s="820"/>
      <c r="AB21" s="230"/>
      <c r="AC21" s="403" cm="1" t="str">
        <f t="array" ref="AC21:AC21">tpl_title</f>
        <v>Кемеровская область / 2026 / ООО "ВЕЛЕС" (ИНН:4212036655, КПП:421201001) / ДПР: 2016-2025</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535" customFormat="1" customHeight="1" ht="19.5975">
      <c r="A22" s="183"/>
      <c r="B22" s="788"/>
      <c r="C22" s="1323"/>
      <c r="D22" s="1266"/>
      <c r="E22" s="797">
        <v>20.1</v>
      </c>
      <c r="F22" s="183"/>
      <c r="L22" s="193"/>
      <c r="M22" s="1267"/>
      <c r="N22" s="1267"/>
      <c r="O22" s="1279"/>
      <c r="P22" s="1279"/>
      <c r="Q22" s="1279"/>
      <c r="R22" s="1279"/>
      <c r="S22" s="0"/>
      <c r="T22" s="179"/>
      <c r="U22" s="179"/>
      <c r="V22" s="179"/>
      <c r="W22" s="179"/>
      <c r="X22" s="179"/>
      <c r="Y22" s="179"/>
      <c r="Z22" s="179"/>
      <c r="AB22" s="392" t="s">
        <v>1587</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S22" s="1192"/>
      <c r="BT22" s="1192"/>
      <c r="BU22" s="1192"/>
      <c r="BV22" s="1193"/>
      <c r="BW22" s="1193"/>
      <c r="BX22" s="1331"/>
    </row>
    <row s="1535" customFormat="1" customHeight="1" ht="9.945">
      <c r="A23" s="183"/>
      <c r="B23" s="788"/>
      <c r="C23" s="1323"/>
      <c r="D23" s="1266"/>
      <c r="E23" s="797">
        <v>10.2</v>
      </c>
      <c r="F23" s="183"/>
      <c r="L23" s="193"/>
      <c r="M23" s="1267"/>
      <c r="N23" s="1267"/>
      <c r="O23" s="1279"/>
      <c r="P23" s="1279"/>
      <c r="Q23" s="1279"/>
      <c r="R23" s="1279"/>
      <c r="S23" s="0"/>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92"/>
      <c r="BT23" s="1192"/>
      <c r="BU23" s="1192"/>
      <c r="BV23" s="1193"/>
      <c r="BW23" s="1193"/>
      <c r="BX23" s="1331"/>
    </row>
    <row s="229" customFormat="1" customHeight="1" ht="24.180000000000003">
      <c r="A24" s="232"/>
      <c r="B24" s="792"/>
      <c r="C24" s="1306"/>
      <c r="D24" s="1329"/>
      <c r="E24" s="803">
        <v>24.8</v>
      </c>
      <c r="F24" s="232"/>
      <c r="L24" s="932"/>
      <c r="M24" s="1280"/>
      <c r="N24" s="1280"/>
      <c r="O24" s="1281"/>
      <c r="P24" s="1281"/>
      <c r="Q24" s="1281"/>
      <c r="R24" s="1281"/>
      <c r="S24" s="0"/>
      <c r="T24" s="171"/>
      <c r="U24" s="171"/>
      <c r="V24" s="171"/>
      <c r="W24" s="171"/>
      <c r="X24" s="171"/>
      <c r="Y24" s="171"/>
      <c r="Z24" s="171"/>
      <c r="AB24" s="1547" t="s">
        <v>386</v>
      </c>
      <c r="AC24" s="1547" t="s">
        <v>440</v>
      </c>
      <c r="AD24" s="1547" t="s">
        <v>441</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356" t="str">
        <f>god+1&amp;" год"</f>
        <v>2027 год</v>
      </c>
      <c r="AL24" s="1356" t="str">
        <f>god+2&amp;" год"</f>
        <v>2028 год</v>
      </c>
      <c r="AM24" s="1356" t="str">
        <f>god+3&amp;" год"</f>
        <v>2029 год</v>
      </c>
      <c r="AN24" s="1356" t="str">
        <f>god+4&amp;" год"</f>
        <v>2030 год</v>
      </c>
      <c r="AO24" s="1356" t="str">
        <f>god+5&amp;" год"</f>
        <v>2031 год</v>
      </c>
      <c r="AP24" s="1356" t="str">
        <f>god+6&amp;" год"</f>
        <v>2032 год</v>
      </c>
      <c r="AQ24" s="1356" t="str">
        <f>god+7&amp;" год"</f>
        <v>2033 год</v>
      </c>
      <c r="AR24" s="1356" t="str">
        <f>god+8&amp;" год"</f>
        <v>2034 год</v>
      </c>
      <c r="AS24" s="1356"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546" t="s">
        <v>1290</v>
      </c>
      <c r="BO24" s="1546" t="s">
        <v>595</v>
      </c>
      <c r="BP24" s="1546" t="s">
        <v>1291</v>
      </c>
      <c r="BS24" s="1235"/>
      <c r="BT24" s="1239"/>
      <c r="BU24" s="1239"/>
      <c r="BV24" s="1240"/>
      <c r="BW24" s="1240"/>
      <c r="BX24" s="1334"/>
    </row>
    <row s="229" customFormat="1" customHeight="1" ht="44.655">
      <c r="A25" s="232"/>
      <c r="B25" s="792"/>
      <c r="C25" s="1306"/>
      <c r="D25" s="1329"/>
      <c r="E25" s="803">
        <v>45.8</v>
      </c>
      <c r="F25" s="232"/>
      <c r="L25" s="932"/>
      <c r="M25" s="1280"/>
      <c r="N25" s="1280"/>
      <c r="O25" s="1281"/>
      <c r="P25" s="1281"/>
      <c r="Q25" s="1281"/>
      <c r="R25" s="1281"/>
      <c r="S25" s="0"/>
      <c r="T25" s="171"/>
      <c r="U25" s="171"/>
      <c r="V25" s="171"/>
      <c r="W25" s="171"/>
      <c r="X25" s="171"/>
      <c r="Y25" s="171"/>
      <c r="Z25" s="171"/>
      <c r="AB25" s="1547"/>
      <c r="AC25" s="1547"/>
      <c r="AD25" s="1547"/>
      <c r="AE25" s="169" t="s">
        <v>402</v>
      </c>
      <c r="AF25" s="1358" t="s">
        <v>596</v>
      </c>
      <c r="AG25" s="169" t="s">
        <v>597</v>
      </c>
      <c r="AH25" s="261" t="s">
        <v>1292</v>
      </c>
      <c r="AI25" s="169" t="s">
        <v>402</v>
      </c>
      <c r="AJ25" s="1357" t="s">
        <v>403</v>
      </c>
      <c r="AK25" s="1357" t="s">
        <v>403</v>
      </c>
      <c r="AL25" s="1357" t="s">
        <v>403</v>
      </c>
      <c r="AM25" s="1357" t="s">
        <v>403</v>
      </c>
      <c r="AN25" s="1357" t="s">
        <v>403</v>
      </c>
      <c r="AO25" s="1357" t="s">
        <v>403</v>
      </c>
      <c r="AP25" s="1357" t="s">
        <v>403</v>
      </c>
      <c r="AQ25" s="1357" t="s">
        <v>403</v>
      </c>
      <c r="AR25" s="1357" t="s">
        <v>403</v>
      </c>
      <c r="AS25" s="1357" t="s">
        <v>403</v>
      </c>
      <c r="AT25" s="413" t="s">
        <v>402</v>
      </c>
      <c r="AU25" s="413" t="s">
        <v>402</v>
      </c>
      <c r="AV25" s="413" t="s">
        <v>402</v>
      </c>
      <c r="AW25" s="413" t="s">
        <v>402</v>
      </c>
      <c r="AX25" s="413" t="s">
        <v>402</v>
      </c>
      <c r="AY25" s="413" t="s">
        <v>402</v>
      </c>
      <c r="AZ25" s="413" t="s">
        <v>402</v>
      </c>
      <c r="BA25" s="413" t="s">
        <v>402</v>
      </c>
      <c r="BB25" s="413" t="s">
        <v>402</v>
      </c>
      <c r="BC25" s="413" t="s">
        <v>402</v>
      </c>
      <c r="BD25" s="1546" t="s">
        <v>1293</v>
      </c>
      <c r="BE25" s="1546"/>
      <c r="BF25" s="1546"/>
      <c r="BG25" s="1546"/>
      <c r="BH25" s="1546"/>
      <c r="BI25" s="1546"/>
      <c r="BJ25" s="1546"/>
      <c r="BK25" s="1546"/>
      <c r="BL25" s="1546"/>
      <c r="BM25" s="1546"/>
      <c r="BN25" s="1546"/>
      <c r="BO25" s="1546"/>
      <c r="BP25" s="1546"/>
      <c r="BS25" s="1235"/>
      <c r="BT25" s="1239"/>
      <c r="BU25" s="1239"/>
      <c r="BV25" s="1240"/>
      <c r="BW25" s="1240"/>
      <c r="BX25" s="1334"/>
    </row>
    <row s="229" customFormat="1" customHeight="1" ht="14.25" hidden="1">
      <c r="A26" s="232"/>
      <c r="B26" s="792"/>
      <c r="C26" s="1306"/>
      <c r="D26" s="1329"/>
      <c r="E26" s="803">
        <v>0</v>
      </c>
      <c r="F26" s="232"/>
      <c r="L26" s="932"/>
      <c r="M26" s="1280"/>
      <c r="N26" s="1280"/>
      <c r="O26" s="1281"/>
      <c r="P26" s="1281"/>
      <c r="Q26" s="1281"/>
      <c r="R26" s="1281"/>
      <c r="S26" s="0"/>
      <c r="T26" s="171"/>
      <c r="U26" s="171"/>
      <c r="V26" s="171"/>
      <c r="W26" s="171"/>
      <c r="X26" s="171"/>
      <c r="Y26" s="171"/>
      <c r="Z26" s="171"/>
      <c r="AB26" s="712"/>
      <c r="AC26" s="712"/>
      <c r="AD26" s="712"/>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235"/>
      <c r="BT26" s="1239"/>
      <c r="BU26" s="1239"/>
      <c r="BV26" s="1240"/>
      <c r="BW26" s="1240"/>
      <c r="BX26" s="1334"/>
    </row>
    <row s="220" customFormat="1" customHeight="1" ht="16.672500000000003" hidden="1">
      <c r="C27" s="1324"/>
      <c r="D27" s="1255"/>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M27" s="1273"/>
      <c r="N27" s="1273"/>
      <c r="O27" s="1283"/>
      <c r="P27" s="1283"/>
      <c r="Q27" s="1283"/>
      <c r="R27" s="1283"/>
      <c r="T27" s="808">
        <f>X27&gt;0</f>
        <v>0</v>
      </c>
      <c r="V27" s="175" t="s">
        <v>310</v>
      </c>
      <c r="X27" s="175">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S27" s="1184"/>
      <c r="BT27" s="1184"/>
      <c r="BU27" s="1184"/>
      <c r="BV27" s="1187"/>
      <c r="BW27" s="1187"/>
      <c r="BX27" s="1299"/>
    </row>
    <row customHeight="1" ht="16.672500000000003" hidden="1">
      <c r="C28" s="1301" t="s">
        <v>1588</v>
      </c>
      <c r="D28" s="1260" t="s">
        <v>1589</v>
      </c>
      <c r="E28" s="797">
        <v>17.1</v>
      </c>
      <c r="F28" s="922" cm="1" t="str">
        <f t="array" ref="F28:F28">OFFSET(G28,-1,-1)</f>
        <v>0</v>
      </c>
      <c r="G28" s="193" t="s">
        <v>1294</v>
      </c>
      <c r="M28" s="1284"/>
      <c r="N28" s="1284" cm="1" t="str">
        <f t="array" ref="N28:N28">INDEX('Общие сведения'!$N$169:$N$202,MATCH($F28,'Общие сведения'!$Z$169:$Z$202,0)+1)</f>
        <v>0</v>
      </c>
      <c r="O28" s="1285"/>
      <c r="P28" s="1285"/>
      <c r="Q28" s="1285"/>
      <c r="R28" s="1285"/>
      <c r="T28" s="808" cm="1" t="str">
        <f t="array" ref="T28:T28">T27</f>
        <v>false</v>
      </c>
      <c r="AB28" s="160" t="s">
        <v>336</v>
      </c>
      <c r="AC28" s="741" t="s">
        <v>1346</v>
      </c>
      <c r="AD28" s="488" t="s">
        <v>1023</v>
      </c>
      <c r="AE28" s="615">
        <f>_xlfn.SUMIFS('Операционные (5.1)'!AE$26:AE$75,'Операционные (5.1)'!$F$26:$F$75,$F28,'Операционные (5.1)'!$G$26:$G$75,$G28)</f>
        <v>0</v>
      </c>
      <c r="AF28" s="615">
        <f>_xlfn.SUMIFS('Операционные (5.1)'!AF$26:AF$75,'Операционные (5.1)'!$F$26:$F$75,$F28,'Операционные (5.1)'!$G$26:$G$75,$G28)</f>
        <v>0</v>
      </c>
      <c r="AG28" s="615">
        <f>_xlfn.SUMIFS('Операционные (5.1)'!AG$26:AG$75,'Операционные (5.1)'!$F$26:$F$75,$F28,'Операционные (5.1)'!$G$26:$G$75,$G28)</f>
        <v>0</v>
      </c>
      <c r="AH28" s="310">
        <f>AG28-AF28</f>
        <v>0</v>
      </c>
      <c r="AI28" s="615">
        <f>_xlfn.SUMIFS('Операционные (5.1)'!AI$26:AI$75,'Операционные (5.1)'!$F$26:$F$75,$F28,'Операционные (5.1)'!$G$26:$G$75,$G28)</f>
        <v>0</v>
      </c>
      <c r="AJ28" s="740">
        <f>_xlfn.SUMIFS(INDEX('Операционные (5.2)'!$AJ$26:$BC$45,,MATCH(AJ$8,'Операционные (5.2)'!$AJ$8:$BC$8,0)),'Операционные (5.2)'!$F$26:$F$45,$F28,'Операционные (5.2)'!$G$26:$G$45,$G28)</f>
        <v>0</v>
      </c>
      <c r="AK28" s="740">
        <f>_xlfn.SUMIFS(INDEX('Операционные (5.2)'!$AJ$26:$BC$45,,MATCH(AK$8,'Операционные (5.2)'!$AJ$8:$BC$8,0)),'Операционные (5.2)'!$F$26:$F$45,$F28,'Операционные (5.2)'!$G$26:$G$45,$G28)</f>
        <v>0</v>
      </c>
      <c r="AL28" s="740">
        <f>_xlfn.SUMIFS(INDEX('Операционные (5.2)'!$AJ$26:$BC$45,,MATCH(AL$8,'Операционные (5.2)'!$AJ$8:$BC$8,0)),'Операционные (5.2)'!$F$26:$F$45,$F28,'Операционные (5.2)'!$G$26:$G$45,$G28)</f>
        <v>0</v>
      </c>
      <c r="AM28" s="740">
        <f>_xlfn.SUMIFS(INDEX('Операционные (5.2)'!$AJ$26:$BC$45,,MATCH(AM$8,'Операционные (5.2)'!$AJ$8:$BC$8,0)),'Операционные (5.2)'!$F$26:$F$45,$F28,'Операционные (5.2)'!$G$26:$G$45,$G28)</f>
        <v>0</v>
      </c>
      <c r="AN28" s="740">
        <f>_xlfn.SUMIFS(INDEX('Операционные (5.2)'!$AJ$26:$BC$45,,MATCH(AN$8,'Операционные (5.2)'!$AJ$8:$BC$8,0)),'Операционные (5.2)'!$F$26:$F$45,$F28,'Операционные (5.2)'!$G$26:$G$45,$G28)</f>
        <v>0</v>
      </c>
      <c r="AO28" s="740">
        <f>_xlfn.SUMIFS(INDEX('Операционные (5.2)'!$AJ$26:$BC$45,,MATCH(AO$8,'Операционные (5.2)'!$AJ$8:$BC$8,0)),'Операционные (5.2)'!$F$26:$F$45,$F28,'Операционные (5.2)'!$G$26:$G$45,$G28)</f>
        <v>0</v>
      </c>
      <c r="AP28" s="740">
        <f>_xlfn.SUMIFS(INDEX('Операционные (5.2)'!$AJ$26:$BC$45,,MATCH(AP$8,'Операционные (5.2)'!$AJ$8:$BC$8,0)),'Операционные (5.2)'!$F$26:$F$45,$F28,'Операционные (5.2)'!$G$26:$G$45,$G28)</f>
        <v>0</v>
      </c>
      <c r="AQ28" s="740">
        <f>_xlfn.SUMIFS(INDEX('Операционные (5.2)'!$AJ$26:$BC$45,,MATCH(AQ$8,'Операционные (5.2)'!$AJ$8:$BC$8,0)),'Операционные (5.2)'!$F$26:$F$45,$F28,'Операционные (5.2)'!$G$26:$G$45,$G28)</f>
        <v>0</v>
      </c>
      <c r="AR28" s="740">
        <f>_xlfn.SUMIFS(INDEX('Операционные (5.2)'!$AJ$26:$BC$45,,MATCH(AR$8,'Операционные (5.2)'!$AJ$8:$BC$8,0)),'Операционные (5.2)'!$F$26:$F$45,$F28,'Операционные (5.2)'!$G$26:$G$45,$G28)</f>
        <v>0</v>
      </c>
      <c r="AS28" s="740">
        <f>_xlfn.SUMIFS(INDEX('Операционные (5.2)'!$AJ$26:$BC$45,,MATCH(AS$8,'Операционные (5.2)'!$AJ$8:$BC$8,0)),'Операционные (5.2)'!$F$26:$F$45,$F28,'Операционные (5.2)'!$G$26:$G$45,$G28)</f>
        <v>0</v>
      </c>
      <c r="AT28" s="740">
        <f>_xlfn.SUMIFS(INDEX('Операционные (5.2)'!$AJ$26:$BC$45,,MATCH(AT$8,'Операционные (5.2)'!$AJ$8:$BC$8,0)),'Операционные (5.2)'!$F$26:$F$45,$F28,'Операционные (5.2)'!$G$26:$G$45,$G28)</f>
        <v>0</v>
      </c>
      <c r="AU28" s="740">
        <f>_xlfn.SUMIFS(INDEX('Операционные (5.2)'!$AJ$26:$BC$45,,MATCH(AU$8,'Операционные (5.2)'!$AJ$8:$BC$8,0)),'Операционные (5.2)'!$F$26:$F$45,$F28,'Операционные (5.2)'!$G$26:$G$45,$G28)</f>
        <v>0</v>
      </c>
      <c r="AV28" s="740">
        <f>_xlfn.SUMIFS(INDEX('Операционные (5.2)'!$AJ$26:$BC$45,,MATCH(AV$8,'Операционные (5.2)'!$AJ$8:$BC$8,0)),'Операционные (5.2)'!$F$26:$F$45,$F28,'Операционные (5.2)'!$G$26:$G$45,$G28)</f>
        <v>0</v>
      </c>
      <c r="AW28" s="740">
        <f>_xlfn.SUMIFS(INDEX('Операционные (5.2)'!$AJ$26:$BC$45,,MATCH(AW$8,'Операционные (5.2)'!$AJ$8:$BC$8,0)),'Операционные (5.2)'!$F$26:$F$45,$F28,'Операционные (5.2)'!$G$26:$G$45,$G28)</f>
        <v>0</v>
      </c>
      <c r="AX28" s="740">
        <f>_xlfn.SUMIFS(INDEX('Операционные (5.2)'!$AJ$26:$BC$45,,MATCH(AX$8,'Операционные (5.2)'!$AJ$8:$BC$8,0)),'Операционные (5.2)'!$F$26:$F$45,$F28,'Операционные (5.2)'!$G$26:$G$45,$G28)</f>
        <v>0</v>
      </c>
      <c r="AY28" s="740">
        <f>_xlfn.SUMIFS(INDEX('Операционные (5.2)'!$AJ$26:$BC$45,,MATCH(AY$8,'Операционные (5.2)'!$AJ$8:$BC$8,0)),'Операционные (5.2)'!$F$26:$F$45,$F28,'Операционные (5.2)'!$G$26:$G$45,$G28)</f>
        <v>0</v>
      </c>
      <c r="AZ28" s="740">
        <f>_xlfn.SUMIFS(INDEX('Операционные (5.2)'!$AJ$26:$BC$45,,MATCH(AZ$8,'Операционные (5.2)'!$AJ$8:$BC$8,0)),'Операционные (5.2)'!$F$26:$F$45,$F28,'Операционные (5.2)'!$G$26:$G$45,$G28)</f>
        <v>0</v>
      </c>
      <c r="BA28" s="740">
        <f>_xlfn.SUMIFS(INDEX('Операционные (5.2)'!$AJ$26:$BC$45,,MATCH(BA$8,'Операционные (5.2)'!$AJ$8:$BC$8,0)),'Операционные (5.2)'!$F$26:$F$45,$F28,'Операционные (5.2)'!$G$26:$G$45,$G28)</f>
        <v>0</v>
      </c>
      <c r="BB28" s="740">
        <f>_xlfn.SUMIFS(INDEX('Операционные (5.2)'!$AJ$26:$BC$45,,MATCH(BB$8,'Операционные (5.2)'!$AJ$8:$BC$8,0)),'Операционные (5.2)'!$F$26:$F$45,$F28,'Операционные (5.2)'!$G$26:$G$45,$G28)</f>
        <v>0</v>
      </c>
      <c r="BC28" s="740">
        <f>_xlfn.SUMIFS(INDEX('Операционные (5.2)'!$AJ$26:$BC$45,,MATCH(BC$8,'Операционные (5.2)'!$AJ$8:$BC$8,0)),'Операционные (5.2)'!$F$26:$F$45,$F28,'Операционные (5.2)'!$G$26:$G$45,$G28)</f>
        <v>0</v>
      </c>
      <c r="BD28" s="310">
        <f>IF(AI28=0,0,(AT28-AI28)/AI28*100)</f>
        <v>0</v>
      </c>
      <c r="BE28" s="310">
        <f>IF(AT28=0,0,(AU28-AT28)/AT28*100)</f>
        <v>0</v>
      </c>
      <c r="BF28" s="310">
        <f>IF(AU28=0,0,(AV28-AU28)/AU28*100)</f>
        <v>0</v>
      </c>
      <c r="BG28" s="310">
        <f>IF(AV28=0,0,(AW28-AV28)/AV28*100)</f>
        <v>0</v>
      </c>
      <c r="BH28" s="310">
        <f>IF(AW28=0,0,(AX28-AW28)/AW28*100)</f>
        <v>0</v>
      </c>
      <c r="BI28" s="310">
        <f>IF(AX28=0,0,(AY28-AX28)/AX28*100)</f>
        <v>0</v>
      </c>
      <c r="BJ28" s="310">
        <f>IF(AY28=0,0,(AZ28-AY28)/AY28*100)</f>
        <v>0</v>
      </c>
      <c r="BK28" s="310">
        <f>IF(AZ28=0,0,(BA28-AZ28)/AZ28*100)</f>
        <v>0</v>
      </c>
      <c r="BL28" s="310">
        <f>IF(BA28=0,0,(BB28-BA28)/BA28*100)</f>
        <v>0</v>
      </c>
      <c r="BM28" s="310">
        <f>IF(BB28=0,0,(BC28-BB28)/BB28*100)</f>
        <v>0</v>
      </c>
      <c r="BN28" s="73"/>
      <c r="BO28" s="73"/>
      <c r="BP28" s="73"/>
      <c r="BS28" s="1235" t="s">
        <v>1590</v>
      </c>
      <c r="BX28" s="1271"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1" t="s">
        <v>1591</v>
      </c>
      <c r="D29" s="1260" t="s">
        <v>1592</v>
      </c>
      <c r="E29" s="797">
        <v>17.1</v>
      </c>
      <c r="F29" s="922" cm="1" t="str">
        <f t="array" ref="F29:F29">OFFSET(G29,-1,-1)</f>
        <v>0</v>
      </c>
      <c r="G29" s="193" t="s">
        <v>1352</v>
      </c>
      <c r="M29" s="1284"/>
      <c r="N29" s="1284" cm="1" t="str">
        <f t="array" ref="N29:N29">OFFSET(M29,-1,1)</f>
        <v>0</v>
      </c>
      <c r="O29" s="1285"/>
      <c r="P29" s="1285"/>
      <c r="Q29" s="1285"/>
      <c r="R29" s="1285"/>
      <c r="T29" s="808" cm="1" t="str">
        <f t="array" ref="T29:T29">T28</f>
        <v>false</v>
      </c>
      <c r="AB29" s="160" t="s">
        <v>426</v>
      </c>
      <c r="AC29" s="652" t="s">
        <v>1593</v>
      </c>
      <c r="AD29" s="488" t="s">
        <v>1023</v>
      </c>
      <c r="AE29" s="615">
        <f>_xlfn.SUMIFS('Неподконтрольные (5.3)'!AE$26:AE$67,'Неподконтрольные (5.3)'!$F$26:$F$67,$F29,'Неподконтрольные (5.3)'!$G$26:$G$67,$G29)</f>
        <v>0</v>
      </c>
      <c r="AF29" s="615">
        <f>_xlfn.SUMIFS('Неподконтрольные (5.3)'!AF$26:AF$67,'Неподконтрольные (5.3)'!$F$26:$F$67,$F29,'Неподконтрольные (5.3)'!$G$26:$G$67,$G29)</f>
        <v>0</v>
      </c>
      <c r="AG29" s="615">
        <f>_xlfn.SUMIFS('Неподконтрольные (5.3)'!AG$26:AG$67,'Неподконтрольные (5.3)'!$F$26:$F$67,$F29,'Неподконтрольные (5.3)'!$G$26:$G$67,$G29)</f>
        <v>0</v>
      </c>
      <c r="AH29" s="310">
        <f>AG29-AF29</f>
        <v>0</v>
      </c>
      <c r="AI29" s="615">
        <f>_xlfn.SUMIFS('Неподконтрольные (5.3)'!AI$26:AI$67,'Неподконтрольные (5.3)'!$F$26:$F$67,$F29,'Неподконтрольные (5.3)'!$G$26:$G$67,$G29)</f>
        <v>0</v>
      </c>
      <c r="AJ29" s="615">
        <f>_xlfn.SUMIFS('Неподконтрольные (5.3)'!AJ$26:AJ$67,'Неподконтрольные (5.3)'!$F$26:$F$67,$F29,'Неподконтрольные (5.3)'!$G$26:$G$67,$G29)</f>
        <v>0</v>
      </c>
      <c r="AK29" s="615">
        <f>_xlfn.SUMIFS('Неподконтрольные (5.3)'!AK$26:AK$67,'Неподконтрольные (5.3)'!$F$26:$F$67,$F29,'Неподконтрольные (5.3)'!$G$26:$G$67,$G29)</f>
        <v>0</v>
      </c>
      <c r="AL29" s="615">
        <f>_xlfn.SUMIFS('Неподконтрольные (5.3)'!AL$26:AL$67,'Неподконтрольные (5.3)'!$F$26:$F$67,$F29,'Неподконтрольные (5.3)'!$G$26:$G$67,$G29)</f>
        <v>0</v>
      </c>
      <c r="AM29" s="615">
        <f>_xlfn.SUMIFS('Неподконтрольные (5.3)'!AM$26:AM$67,'Неподконтрольные (5.3)'!$F$26:$F$67,$F29,'Неподконтрольные (5.3)'!$G$26:$G$67,$G29)</f>
        <v>0</v>
      </c>
      <c r="AN29" s="615">
        <f>_xlfn.SUMIFS('Неподконтрольные (5.3)'!AN$26:AN$67,'Неподконтрольные (5.3)'!$F$26:$F$67,$F29,'Неподконтрольные (5.3)'!$G$26:$G$67,$G29)</f>
        <v>0</v>
      </c>
      <c r="AO29" s="615">
        <f>_xlfn.SUMIFS('Неподконтрольные (5.3)'!AO$26:AO$67,'Неподконтрольные (5.3)'!$F$26:$F$67,$F29,'Неподконтрольные (5.3)'!$G$26:$G$67,$G29)</f>
        <v>0</v>
      </c>
      <c r="AP29" s="615">
        <f>_xlfn.SUMIFS('Неподконтрольные (5.3)'!AP$26:AP$67,'Неподконтрольные (5.3)'!$F$26:$F$67,$F29,'Неподконтрольные (5.3)'!$G$26:$G$67,$G29)</f>
        <v>0</v>
      </c>
      <c r="AQ29" s="615">
        <f>_xlfn.SUMIFS('Неподконтрольные (5.3)'!AQ$26:AQ$67,'Неподконтрольные (5.3)'!$F$26:$F$67,$F29,'Неподконтрольные (5.3)'!$G$26:$G$67,$G29)</f>
        <v>0</v>
      </c>
      <c r="AR29" s="615">
        <f>_xlfn.SUMIFS('Неподконтрольные (5.3)'!AR$26:AR$67,'Неподконтрольные (5.3)'!$F$26:$F$67,$F29,'Неподконтрольные (5.3)'!$G$26:$G$67,$G29)</f>
        <v>0</v>
      </c>
      <c r="AS29" s="615">
        <f>_xlfn.SUMIFS('Неподконтрольные (5.3)'!AS$26:AS$67,'Неподконтрольные (5.3)'!$F$26:$F$67,$F29,'Неподконтрольные (5.3)'!$G$26:$G$67,$G29)</f>
        <v>0</v>
      </c>
      <c r="AT29" s="615">
        <f>_xlfn.SUMIFS('Неподконтрольные (5.3)'!AT$26:AT$67,'Неподконтрольные (5.3)'!$F$26:$F$67,$F29,'Неподконтрольные (5.3)'!$G$26:$G$67,$G29)</f>
        <v>0</v>
      </c>
      <c r="AU29" s="615">
        <f>_xlfn.SUMIFS('Неподконтрольные (5.3)'!AU$26:AU$67,'Неподконтрольные (5.3)'!$F$26:$F$67,$F29,'Неподконтрольные (5.3)'!$G$26:$G$67,$G29)</f>
        <v>0</v>
      </c>
      <c r="AV29" s="615">
        <f>_xlfn.SUMIFS('Неподконтрольные (5.3)'!AV$26:AV$67,'Неподконтрольные (5.3)'!$F$26:$F$67,$F29,'Неподконтрольные (5.3)'!$G$26:$G$67,$G29)</f>
        <v>0</v>
      </c>
      <c r="AW29" s="615">
        <f>_xlfn.SUMIFS('Неподконтрольные (5.3)'!AW$26:AW$67,'Неподконтрольные (5.3)'!$F$26:$F$67,$F29,'Неподконтрольные (5.3)'!$G$26:$G$67,$G29)</f>
        <v>0</v>
      </c>
      <c r="AX29" s="615">
        <f>_xlfn.SUMIFS('Неподконтрольные (5.3)'!AX$26:AX$67,'Неподконтрольные (5.3)'!$F$26:$F$67,$F29,'Неподконтрольные (5.3)'!$G$26:$G$67,$G29)</f>
        <v>0</v>
      </c>
      <c r="AY29" s="615">
        <f>_xlfn.SUMIFS('Неподконтрольные (5.3)'!AY$26:AY$67,'Неподконтрольные (5.3)'!$F$26:$F$67,$F29,'Неподконтрольные (5.3)'!$G$26:$G$67,$G29)</f>
        <v>0</v>
      </c>
      <c r="AZ29" s="615">
        <f>_xlfn.SUMIFS('Неподконтрольные (5.3)'!AZ$26:AZ$67,'Неподконтрольные (5.3)'!$F$26:$F$67,$F29,'Неподконтрольные (5.3)'!$G$26:$G$67,$G29)</f>
        <v>0</v>
      </c>
      <c r="BA29" s="615">
        <f>_xlfn.SUMIFS('Неподконтрольные (5.3)'!BA$26:BA$67,'Неподконтрольные (5.3)'!$F$26:$F$67,$F29,'Неподконтрольные (5.3)'!$G$26:$G$67,$G29)</f>
        <v>0</v>
      </c>
      <c r="BB29" s="615">
        <f>_xlfn.SUMIFS('Неподконтрольные (5.3)'!BB$26:BB$67,'Неподконтрольные (5.3)'!$F$26:$F$67,$F29,'Неподконтрольные (5.3)'!$G$26:$G$67,$G29)</f>
        <v>0</v>
      </c>
      <c r="BC29" s="615">
        <f>_xlfn.SUMIFS('Неподконтрольные (5.3)'!BC$26:BC$67,'Неподконтрольные (5.3)'!$F$26:$F$67,$F29,'Неподконтрольные (5.3)'!$G$26:$G$67,$G29)</f>
        <v>0</v>
      </c>
      <c r="BD29" s="310">
        <f>IF(AI29=0,0,(AT29-AI29)/AI29*100)</f>
        <v>0</v>
      </c>
      <c r="BE29" s="310">
        <f>IF(AT29=0,0,(AU29-AT29)/AT29*100)</f>
        <v>0</v>
      </c>
      <c r="BF29" s="310">
        <f>IF(AU29=0,0,(AV29-AU29)/AU29*100)</f>
        <v>0</v>
      </c>
      <c r="BG29" s="310">
        <f>IF(AV29=0,0,(AW29-AV29)/AV29*100)</f>
        <v>0</v>
      </c>
      <c r="BH29" s="310">
        <f>IF(AW29=0,0,(AX29-AW29)/AW29*100)</f>
        <v>0</v>
      </c>
      <c r="BI29" s="310">
        <f>IF(AX29=0,0,(AY29-AX29)/AX29*100)</f>
        <v>0</v>
      </c>
      <c r="BJ29" s="310">
        <f>IF(AY29=0,0,(AZ29-AY29)/AY29*100)</f>
        <v>0</v>
      </c>
      <c r="BK29" s="310">
        <f>IF(AZ29=0,0,(BA29-AZ29)/AZ29*100)</f>
        <v>0</v>
      </c>
      <c r="BL29" s="310">
        <f>IF(BA29=0,0,(BB29-BA29)/BA29*100)</f>
        <v>0</v>
      </c>
      <c r="BM29" s="310">
        <f>IF(BB29=0,0,(BC29-BB29)/BB29*100)</f>
        <v>0</v>
      </c>
      <c r="BN29" s="73"/>
      <c r="BO29" s="73"/>
      <c r="BP29" s="73"/>
      <c r="BS29" s="1235" t="s">
        <v>1594</v>
      </c>
      <c r="BX29" s="1271"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1" t="s">
        <v>1595</v>
      </c>
      <c r="D30" s="1260" t="s">
        <v>1596</v>
      </c>
      <c r="E30" s="797">
        <v>26.3</v>
      </c>
      <c r="F30" s="922" cm="1" t="str">
        <f t="array" ref="F30:F30">OFFSET(G30,-1,-1)</f>
        <v>0</v>
      </c>
      <c r="G30" s="193" t="s">
        <v>1394</v>
      </c>
      <c r="M30" s="1284"/>
      <c r="N30" s="1284" cm="1" t="str">
        <f t="array" ref="N30:N30">OFFSET(M30,-1,1)</f>
        <v>0</v>
      </c>
      <c r="O30" s="1285"/>
      <c r="P30" s="1285"/>
      <c r="Q30" s="1285"/>
      <c r="R30" s="1285"/>
      <c r="T30" s="808" cm="1" t="str">
        <f t="array" ref="T30:T30">T29</f>
        <v>false</v>
      </c>
      <c r="AB30" s="160" t="s">
        <v>429</v>
      </c>
      <c r="AC30" s="652" t="s">
        <v>1597</v>
      </c>
      <c r="AD30" s="488" t="s">
        <v>1023</v>
      </c>
      <c r="AE30" s="615">
        <f>_xlfn.SUMIFS('Ресурсы (5.4)'!AE$26:AE$47,'Ресурсы (5.4)'!$F$26:$F$47,$F30,'Ресурсы (5.4)'!$G$26:$G$47,$G30)</f>
        <v>0</v>
      </c>
      <c r="AF30" s="615">
        <f>_xlfn.SUMIFS('Ресурсы (5.4)'!AF$26:AF$47,'Ресурсы (5.4)'!$F$26:$F$47,$F30,'Ресурсы (5.4)'!$G$26:$G$47,$G30)</f>
        <v>0</v>
      </c>
      <c r="AG30" s="615">
        <f>_xlfn.SUMIFS('Ресурсы (5.4)'!AG$26:AG$47,'Ресурсы (5.4)'!$F$26:$F$47,$F30,'Ресурсы (5.4)'!$G$26:$G$47,$G30)</f>
        <v>0</v>
      </c>
      <c r="AH30" s="310">
        <f>AG30-AF30</f>
        <v>0</v>
      </c>
      <c r="AI30" s="615">
        <f>_xlfn.SUMIFS('Ресурсы (5.4)'!AI$26:AI$47,'Ресурсы (5.4)'!$F$26:$F$47,$F30,'Ресурсы (5.4)'!$G$26:$G$47,$G30)</f>
        <v>0</v>
      </c>
      <c r="AJ30" s="615">
        <f>_xlfn.SUMIFS('Ресурсы (5.4)'!AJ$26:AJ$47,'Ресурсы (5.4)'!$F$26:$F$47,$F30,'Ресурсы (5.4)'!$G$26:$G$47,$G30)</f>
        <v>0</v>
      </c>
      <c r="AK30" s="615">
        <f>_xlfn.SUMIFS('Ресурсы (5.4)'!AK$26:AK$47,'Ресурсы (5.4)'!$F$26:$F$47,$F30,'Ресурсы (5.4)'!$G$26:$G$47,$G30)</f>
        <v>0</v>
      </c>
      <c r="AL30" s="615">
        <f>_xlfn.SUMIFS('Ресурсы (5.4)'!AL$26:AL$47,'Ресурсы (5.4)'!$F$26:$F$47,$F30,'Ресурсы (5.4)'!$G$26:$G$47,$G30)</f>
        <v>0</v>
      </c>
      <c r="AM30" s="615">
        <f>_xlfn.SUMIFS('Ресурсы (5.4)'!AM$26:AM$47,'Ресурсы (5.4)'!$F$26:$F$47,$F30,'Ресурсы (5.4)'!$G$26:$G$47,$G30)</f>
        <v>0</v>
      </c>
      <c r="AN30" s="615">
        <f>_xlfn.SUMIFS('Ресурсы (5.4)'!AN$26:AN$47,'Ресурсы (5.4)'!$F$26:$F$47,$F30,'Ресурсы (5.4)'!$G$26:$G$47,$G30)</f>
        <v>0</v>
      </c>
      <c r="AO30" s="615">
        <f>_xlfn.SUMIFS('Ресурсы (5.4)'!AO$26:AO$47,'Ресурсы (5.4)'!$F$26:$F$47,$F30,'Ресурсы (5.4)'!$G$26:$G$47,$G30)</f>
        <v>0</v>
      </c>
      <c r="AP30" s="615">
        <f>_xlfn.SUMIFS('Ресурсы (5.4)'!AP$26:AP$47,'Ресурсы (5.4)'!$F$26:$F$47,$F30,'Ресурсы (5.4)'!$G$26:$G$47,$G30)</f>
        <v>0</v>
      </c>
      <c r="AQ30" s="615">
        <f>_xlfn.SUMIFS('Ресурсы (5.4)'!AQ$26:AQ$47,'Ресурсы (5.4)'!$F$26:$F$47,$F30,'Ресурсы (5.4)'!$G$26:$G$47,$G30)</f>
        <v>0</v>
      </c>
      <c r="AR30" s="615">
        <f>_xlfn.SUMIFS('Ресурсы (5.4)'!AR$26:AR$47,'Ресурсы (5.4)'!$F$26:$F$47,$F30,'Ресурсы (5.4)'!$G$26:$G$47,$G30)</f>
        <v>0</v>
      </c>
      <c r="AS30" s="615">
        <f>_xlfn.SUMIFS('Ресурсы (5.4)'!AS$26:AS$47,'Ресурсы (5.4)'!$F$26:$F$47,$F30,'Ресурсы (5.4)'!$G$26:$G$47,$G30)</f>
        <v>0</v>
      </c>
      <c r="AT30" s="615">
        <f>_xlfn.SUMIFS('Ресурсы (5.4)'!AT$26:AT$47,'Ресурсы (5.4)'!$F$26:$F$47,$F30,'Ресурсы (5.4)'!$G$26:$G$47,$G30)</f>
        <v>0</v>
      </c>
      <c r="AU30" s="615">
        <f>_xlfn.SUMIFS('Ресурсы (5.4)'!AU$26:AU$47,'Ресурсы (5.4)'!$F$26:$F$47,$F30,'Ресурсы (5.4)'!$G$26:$G$47,$G30)</f>
        <v>0</v>
      </c>
      <c r="AV30" s="615">
        <f>_xlfn.SUMIFS('Ресурсы (5.4)'!AV$26:AV$47,'Ресурсы (5.4)'!$F$26:$F$47,$F30,'Ресурсы (5.4)'!$G$26:$G$47,$G30)</f>
        <v>0</v>
      </c>
      <c r="AW30" s="615">
        <f>_xlfn.SUMIFS('Ресурсы (5.4)'!AW$26:AW$47,'Ресурсы (5.4)'!$F$26:$F$47,$F30,'Ресурсы (5.4)'!$G$26:$G$47,$G30)</f>
        <v>0</v>
      </c>
      <c r="AX30" s="615">
        <f>_xlfn.SUMIFS('Ресурсы (5.4)'!AX$26:AX$47,'Ресурсы (5.4)'!$F$26:$F$47,$F30,'Ресурсы (5.4)'!$G$26:$G$47,$G30)</f>
        <v>0</v>
      </c>
      <c r="AY30" s="615">
        <f>_xlfn.SUMIFS('Ресурсы (5.4)'!AY$26:AY$47,'Ресурсы (5.4)'!$F$26:$F$47,$F30,'Ресурсы (5.4)'!$G$26:$G$47,$G30)</f>
        <v>0</v>
      </c>
      <c r="AZ30" s="615">
        <f>_xlfn.SUMIFS('Ресурсы (5.4)'!AZ$26:AZ$47,'Ресурсы (5.4)'!$F$26:$F$47,$F30,'Ресурсы (5.4)'!$G$26:$G$47,$G30)</f>
        <v>0</v>
      </c>
      <c r="BA30" s="615">
        <f>_xlfn.SUMIFS('Ресурсы (5.4)'!BA$26:BA$47,'Ресурсы (5.4)'!$F$26:$F$47,$F30,'Ресурсы (5.4)'!$G$26:$G$47,$G30)</f>
        <v>0</v>
      </c>
      <c r="BB30" s="615">
        <f>_xlfn.SUMIFS('Ресурсы (5.4)'!BB$26:BB$47,'Ресурсы (5.4)'!$F$26:$F$47,$F30,'Ресурсы (5.4)'!$G$26:$G$47,$G30)</f>
        <v>0</v>
      </c>
      <c r="BC30" s="615">
        <f>_xlfn.SUMIFS('Ресурсы (5.4)'!BC$26:BC$47,'Ресурсы (5.4)'!$F$26:$F$47,$F30,'Ресурсы (5.4)'!$G$26:$G$47,$G30)</f>
        <v>0</v>
      </c>
      <c r="BD30" s="310">
        <f>IF(AI30=0,0,(AT30-AI30)/AI30*100)</f>
        <v>0</v>
      </c>
      <c r="BE30" s="310">
        <f>IF(AT30=0,0,(AU30-AT30)/AT30*100)</f>
        <v>0</v>
      </c>
      <c r="BF30" s="310">
        <f>IF(AU30=0,0,(AV30-AU30)/AU30*100)</f>
        <v>0</v>
      </c>
      <c r="BG30" s="310">
        <f>IF(AV30=0,0,(AW30-AV30)/AV30*100)</f>
        <v>0</v>
      </c>
      <c r="BH30" s="310">
        <f>IF(AW30=0,0,(AX30-AW30)/AW30*100)</f>
        <v>0</v>
      </c>
      <c r="BI30" s="310">
        <f>IF(AX30=0,0,(AY30-AX30)/AX30*100)</f>
        <v>0</v>
      </c>
      <c r="BJ30" s="310">
        <f>IF(AY30=0,0,(AZ30-AY30)/AY30*100)</f>
        <v>0</v>
      </c>
      <c r="BK30" s="310">
        <f>IF(AZ30=0,0,(BA30-AZ30)/AZ30*100)</f>
        <v>0</v>
      </c>
      <c r="BL30" s="310">
        <f>IF(BA30=0,0,(BB30-BA30)/BA30*100)</f>
        <v>0</v>
      </c>
      <c r="BM30" s="310">
        <f>IF(BB30=0,0,(BC30-BB30)/BB30*100)</f>
        <v>0</v>
      </c>
      <c r="BN30" s="73"/>
      <c r="BO30" s="73"/>
      <c r="BP30" s="73"/>
      <c r="BS30" s="1235" t="s">
        <v>1598</v>
      </c>
      <c r="BX30" s="1271"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1" t="s">
        <v>1599</v>
      </c>
      <c r="D31" s="1260" t="s">
        <v>1600</v>
      </c>
      <c r="E31" s="797">
        <v>17.1</v>
      </c>
      <c r="F31" s="922" cm="1" t="str">
        <f t="array" ref="F31:F31">OFFSET(G31,-1,-1)</f>
        <v>0</v>
      </c>
      <c r="M31" s="1284"/>
      <c r="N31" s="1284" cm="1" t="str">
        <f t="array" ref="N31:N31">OFFSET(M31,-1,1)</f>
        <v>0</v>
      </c>
      <c r="O31" s="1285"/>
      <c r="P31" s="1285"/>
      <c r="Q31" s="1285"/>
      <c r="R31" s="1285"/>
      <c r="T31" s="808">
        <f>AND(F31&gt;0,method_reg="Метод обеспечения доходности инвестированного капитала")</f>
        <v>0</v>
      </c>
      <c r="AB31" s="314" t="s">
        <v>432</v>
      </c>
      <c r="AC31" s="842" t="s">
        <v>1601</v>
      </c>
      <c r="AD31" s="312" t="s">
        <v>810</v>
      </c>
      <c r="AE31" s="124"/>
      <c r="AF31" s="124"/>
      <c r="AG31" s="124"/>
      <c r="AH31" s="310">
        <f>AG31-AF31</f>
        <v>0</v>
      </c>
      <c r="AI31" s="124"/>
      <c r="AJ31" s="1956"/>
      <c r="AK31" s="124"/>
      <c r="AL31" s="124"/>
      <c r="AM31" s="124"/>
      <c r="AN31" s="124"/>
      <c r="AO31" s="124"/>
      <c r="AP31" s="124"/>
      <c r="AQ31" s="124"/>
      <c r="AR31" s="124"/>
      <c r="AS31" s="124"/>
      <c r="AT31" s="1956"/>
      <c r="AU31" s="124"/>
      <c r="AV31" s="124"/>
      <c r="AW31" s="124"/>
      <c r="AX31" s="124"/>
      <c r="AY31" s="124"/>
      <c r="AZ31" s="124"/>
      <c r="BA31" s="124"/>
      <c r="BB31" s="124"/>
      <c r="BC31" s="124"/>
      <c r="BD31" s="310">
        <f>IF(AI31=0,0,(AT31-AI31)/AI31*100)</f>
        <v>0</v>
      </c>
      <c r="BE31" s="310">
        <f>IF(AT31=0,0,(AU31-AT31)/AT31*100)</f>
        <v>0</v>
      </c>
      <c r="BF31" s="310">
        <f>IF(AU31=0,0,(AV31-AU31)/AU31*100)</f>
        <v>0</v>
      </c>
      <c r="BG31" s="310">
        <f>IF(AV31=0,0,(AW31-AV31)/AV31*100)</f>
        <v>0</v>
      </c>
      <c r="BH31" s="310">
        <f>IF(AW31=0,0,(AX31-AW31)/AW31*100)</f>
        <v>0</v>
      </c>
      <c r="BI31" s="310">
        <f>IF(AX31=0,0,(AY31-AX31)/AX31*100)</f>
        <v>0</v>
      </c>
      <c r="BJ31" s="310">
        <f>IF(AY31=0,0,(AZ31-AY31)/AY31*100)</f>
        <v>0</v>
      </c>
      <c r="BK31" s="310">
        <f>IF(AZ31=0,0,(BA31-AZ31)/AZ31*100)</f>
        <v>0</v>
      </c>
      <c r="BL31" s="310">
        <f>IF(BA31=0,0,(BB31-BA31)/BA31*100)</f>
        <v>0</v>
      </c>
      <c r="BM31" s="310">
        <f>IF(BB31=0,0,(BC31-BB31)/BB31*100)</f>
        <v>0</v>
      </c>
      <c r="BN31" s="73"/>
      <c r="BO31" s="73"/>
      <c r="BP31" s="73"/>
      <c r="BS31" s="1235" t="s">
        <v>1602</v>
      </c>
      <c r="BX31" s="1271"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1" t="s">
        <v>1603</v>
      </c>
      <c r="D32" s="1260" t="s">
        <v>1604</v>
      </c>
      <c r="E32" s="797">
        <v>17.1</v>
      </c>
      <c r="F32" s="922" cm="1" t="str">
        <f t="array" ref="F32:F32">OFFSET(G32,-1,-1)</f>
        <v>0</v>
      </c>
      <c r="M32" s="1284"/>
      <c r="N32" s="1284" cm="1" t="str">
        <f t="array" ref="N32:N32">OFFSET(M32,-1,1)</f>
        <v>0</v>
      </c>
      <c r="O32" s="1285"/>
      <c r="P32" s="1285"/>
      <c r="Q32" s="1285"/>
      <c r="R32" s="1285"/>
      <c r="T32" s="808">
        <f>AND(F32&gt;0,method_reg="Метод обеспечения доходности инвестированного капитала")</f>
        <v>0</v>
      </c>
      <c r="AB32" s="314" t="s">
        <v>751</v>
      </c>
      <c r="AC32" s="315" t="s">
        <v>1605</v>
      </c>
      <c r="AD32" s="312" t="s">
        <v>810</v>
      </c>
      <c r="AE32" s="124"/>
      <c r="AF32" s="124"/>
      <c r="AG32" s="124"/>
      <c r="AH32" s="310">
        <f>AG32-AF32</f>
        <v>0</v>
      </c>
      <c r="AI32" s="124"/>
      <c r="AJ32" s="1956"/>
      <c r="AK32" s="124"/>
      <c r="AL32" s="124"/>
      <c r="AM32" s="124"/>
      <c r="AN32" s="124"/>
      <c r="AO32" s="124"/>
      <c r="AP32" s="124"/>
      <c r="AQ32" s="124"/>
      <c r="AR32" s="124"/>
      <c r="AS32" s="124"/>
      <c r="AT32" s="1956"/>
      <c r="AU32" s="124"/>
      <c r="AV32" s="124"/>
      <c r="AW32" s="124"/>
      <c r="AX32" s="124"/>
      <c r="AY32" s="124"/>
      <c r="AZ32" s="124"/>
      <c r="BA32" s="124"/>
      <c r="BB32" s="124"/>
      <c r="BC32" s="124"/>
      <c r="BD32" s="310">
        <f>IF(AI32=0,0,(AT32-AI32)/AI32*100)</f>
        <v>0</v>
      </c>
      <c r="BE32" s="310">
        <f>IF(AT32=0,0,(AU32-AT32)/AT32*100)</f>
        <v>0</v>
      </c>
      <c r="BF32" s="310">
        <f>IF(AU32=0,0,(AV32-AU32)/AU32*100)</f>
        <v>0</v>
      </c>
      <c r="BG32" s="310">
        <f>IF(AV32=0,0,(AW32-AV32)/AV32*100)</f>
        <v>0</v>
      </c>
      <c r="BH32" s="310">
        <f>IF(AW32=0,0,(AX32-AW32)/AW32*100)</f>
        <v>0</v>
      </c>
      <c r="BI32" s="310">
        <f>IF(AX32=0,0,(AY32-AX32)/AX32*100)</f>
        <v>0</v>
      </c>
      <c r="BJ32" s="310">
        <f>IF(AY32=0,0,(AZ32-AY32)/AY32*100)</f>
        <v>0</v>
      </c>
      <c r="BK32" s="310">
        <f>IF(AZ32=0,0,(BA32-AZ32)/AZ32*100)</f>
        <v>0</v>
      </c>
      <c r="BL32" s="310">
        <f>IF(BA32=0,0,(BB32-BA32)/BA32*100)</f>
        <v>0</v>
      </c>
      <c r="BM32" s="310">
        <f>IF(BB32=0,0,(BC32-BB32)/BB32*100)</f>
        <v>0</v>
      </c>
      <c r="BN32" s="73"/>
      <c r="BO32" s="73"/>
      <c r="BP32" s="73"/>
      <c r="BS32" s="1235" t="s">
        <v>1606</v>
      </c>
      <c r="BX32" s="1271"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1" t="s">
        <v>1607</v>
      </c>
      <c r="D33" s="1260" t="s">
        <v>1608</v>
      </c>
      <c r="E33" s="797">
        <v>17.1</v>
      </c>
      <c r="F33" s="922" cm="1" t="str">
        <f t="array" ref="F33:F33">OFFSET(G33,-1,-1)</f>
        <v>0</v>
      </c>
      <c r="M33" s="1284"/>
      <c r="N33" s="1284" cm="1" t="str">
        <f t="array" ref="N33:N33">OFFSET(M33,-1,1)</f>
        <v>0</v>
      </c>
      <c r="O33" s="1285"/>
      <c r="P33" s="1285"/>
      <c r="Q33" s="1285"/>
      <c r="R33" s="1285"/>
      <c r="T33" s="808">
        <f>AND(F33&gt;0,method_reg="Метод обеспечения доходности инвестированного капитала")</f>
        <v>0</v>
      </c>
      <c r="AB33" s="314" t="s">
        <v>1609</v>
      </c>
      <c r="AC33" s="315" t="s">
        <v>1610</v>
      </c>
      <c r="AD33" s="312" t="s">
        <v>1611</v>
      </c>
      <c r="AE33" s="124"/>
      <c r="AF33" s="124"/>
      <c r="AG33" s="124"/>
      <c r="AH33" s="310">
        <f>AG33-AF33</f>
        <v>0</v>
      </c>
      <c r="AI33" s="124"/>
      <c r="AJ33" s="1956"/>
      <c r="AK33" s="124"/>
      <c r="AL33" s="124"/>
      <c r="AM33" s="124"/>
      <c r="AN33" s="124"/>
      <c r="AO33" s="124"/>
      <c r="AP33" s="124"/>
      <c r="AQ33" s="124"/>
      <c r="AR33" s="124"/>
      <c r="AS33" s="124"/>
      <c r="AT33" s="1956"/>
      <c r="AU33" s="124"/>
      <c r="AV33" s="124"/>
      <c r="AW33" s="124"/>
      <c r="AX33" s="124"/>
      <c r="AY33" s="124"/>
      <c r="AZ33" s="124"/>
      <c r="BA33" s="124"/>
      <c r="BB33" s="124"/>
      <c r="BC33" s="124"/>
      <c r="BD33" s="310">
        <f>IF(AI33=0,0,(AT33-AI33)/AI33*100)</f>
        <v>0</v>
      </c>
      <c r="BE33" s="310">
        <f>IF(AT33=0,0,(AU33-AT33)/AT33*100)</f>
        <v>0</v>
      </c>
      <c r="BF33" s="310">
        <f>IF(AU33=0,0,(AV33-AU33)/AU33*100)</f>
        <v>0</v>
      </c>
      <c r="BG33" s="310">
        <f>IF(AV33=0,0,(AW33-AV33)/AV33*100)</f>
        <v>0</v>
      </c>
      <c r="BH33" s="310">
        <f>IF(AW33=0,0,(AX33-AW33)/AW33*100)</f>
        <v>0</v>
      </c>
      <c r="BI33" s="310">
        <f>IF(AX33=0,0,(AY33-AX33)/AX33*100)</f>
        <v>0</v>
      </c>
      <c r="BJ33" s="310">
        <f>IF(AY33=0,0,(AZ33-AY33)/AY33*100)</f>
        <v>0</v>
      </c>
      <c r="BK33" s="310">
        <f>IF(AZ33=0,0,(BA33-AZ33)/AZ33*100)</f>
        <v>0</v>
      </c>
      <c r="BL33" s="310">
        <f>IF(BA33=0,0,(BB33-BA33)/BA33*100)</f>
        <v>0</v>
      </c>
      <c r="BM33" s="310">
        <f>IF(BB33=0,0,(BC33-BB33)/BB33*100)</f>
        <v>0</v>
      </c>
      <c r="BN33" s="73"/>
      <c r="BO33" s="73"/>
      <c r="BP33" s="73"/>
      <c r="BS33" s="1235" t="s">
        <v>1612</v>
      </c>
      <c r="BX33" s="1271"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1" t="s">
        <v>1613</v>
      </c>
      <c r="D34" s="1260" t="s">
        <v>1614</v>
      </c>
      <c r="E34" s="797">
        <v>17.1</v>
      </c>
      <c r="F34" s="922" cm="1" t="str">
        <f t="array" ref="F34:F34">OFFSET(G34,-1,-1)</f>
        <v>0</v>
      </c>
      <c r="M34" s="1284"/>
      <c r="N34" s="1284" cm="1" t="str">
        <f t="array" ref="N34:N34">OFFSET(M34,-1,1)</f>
        <v>0</v>
      </c>
      <c r="O34" s="1285"/>
      <c r="P34" s="1285"/>
      <c r="Q34" s="1285"/>
      <c r="R34" s="1285"/>
      <c r="T34" s="808">
        <f>AND(F34&gt;0,method_reg="Метод обеспечения доходности инвестированного капитала")</f>
        <v>0</v>
      </c>
      <c r="AB34" s="314" t="s">
        <v>435</v>
      </c>
      <c r="AC34" s="842" t="s">
        <v>1615</v>
      </c>
      <c r="AD34" s="312" t="s">
        <v>810</v>
      </c>
      <c r="AE34" s="124"/>
      <c r="AF34" s="124"/>
      <c r="AG34" s="124"/>
      <c r="AH34" s="310">
        <f>AG34-AF34</f>
        <v>0</v>
      </c>
      <c r="AI34" s="124"/>
      <c r="AJ34" s="1956"/>
      <c r="AK34" s="124"/>
      <c r="AL34" s="124"/>
      <c r="AM34" s="124"/>
      <c r="AN34" s="124"/>
      <c r="AO34" s="124"/>
      <c r="AP34" s="124"/>
      <c r="AQ34" s="124"/>
      <c r="AR34" s="124"/>
      <c r="AS34" s="124"/>
      <c r="AT34" s="1956"/>
      <c r="AU34" s="124"/>
      <c r="AV34" s="124"/>
      <c r="AW34" s="124"/>
      <c r="AX34" s="124"/>
      <c r="AY34" s="124"/>
      <c r="AZ34" s="124"/>
      <c r="BA34" s="124"/>
      <c r="BB34" s="124"/>
      <c r="BC34" s="124"/>
      <c r="BD34" s="310">
        <f>IF(AI34=0,0,(AT34-AI34)/AI34*100)</f>
        <v>0</v>
      </c>
      <c r="BE34" s="310">
        <f>IF(AT34=0,0,(AU34-AT34)/AT34*100)</f>
        <v>0</v>
      </c>
      <c r="BF34" s="310">
        <f>IF(AU34=0,0,(AV34-AU34)/AU34*100)</f>
        <v>0</v>
      </c>
      <c r="BG34" s="310">
        <f>IF(AV34=0,0,(AW34-AV34)/AV34*100)</f>
        <v>0</v>
      </c>
      <c r="BH34" s="310">
        <f>IF(AW34=0,0,(AX34-AW34)/AW34*100)</f>
        <v>0</v>
      </c>
      <c r="BI34" s="310">
        <f>IF(AX34=0,0,(AY34-AX34)/AX34*100)</f>
        <v>0</v>
      </c>
      <c r="BJ34" s="310">
        <f>IF(AY34=0,0,(AZ34-AY34)/AY34*100)</f>
        <v>0</v>
      </c>
      <c r="BK34" s="310">
        <f>IF(AZ34=0,0,(BA34-AZ34)/AZ34*100)</f>
        <v>0</v>
      </c>
      <c r="BL34" s="310">
        <f>IF(BA34=0,0,(BB34-BA34)/BA34*100)</f>
        <v>0</v>
      </c>
      <c r="BM34" s="310">
        <f>IF(BB34=0,0,(BC34-BB34)/BB34*100)</f>
        <v>0</v>
      </c>
      <c r="BN34" s="73"/>
      <c r="BO34" s="73"/>
      <c r="BP34" s="73"/>
      <c r="BS34" s="1235" t="s">
        <v>1616</v>
      </c>
      <c r="BX34" s="1271"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1" t="s">
        <v>1617</v>
      </c>
      <c r="D35" s="1260" t="s">
        <v>1618</v>
      </c>
      <c r="E35" s="797">
        <v>17.1</v>
      </c>
      <c r="F35" s="922" cm="1" t="str">
        <f t="array" ref="F35:F35">OFFSET(G35,-1,-1)</f>
        <v>0</v>
      </c>
      <c r="M35" s="1284"/>
      <c r="N35" s="1284" cm="1" t="str">
        <f t="array" ref="N35:N35">OFFSET(M35,-1,1)</f>
        <v>0</v>
      </c>
      <c r="O35" s="1285"/>
      <c r="P35" s="1285"/>
      <c r="Q35" s="1285"/>
      <c r="R35" s="1285"/>
      <c r="T35" s="808">
        <f>AND(F35&gt;0,method_reg="Метод обеспечения доходности инвестированного капитала")</f>
        <v>0</v>
      </c>
      <c r="AB35" s="314" t="s">
        <v>756</v>
      </c>
      <c r="AC35" s="315" t="s">
        <v>1619</v>
      </c>
      <c r="AD35" s="312" t="s">
        <v>810</v>
      </c>
      <c r="AE35" s="124"/>
      <c r="AF35" s="124"/>
      <c r="AG35" s="124"/>
      <c r="AH35" s="310">
        <f>AG35-AF35</f>
        <v>0</v>
      </c>
      <c r="AI35" s="124"/>
      <c r="AJ35" s="1956"/>
      <c r="AK35" s="124"/>
      <c r="AL35" s="124"/>
      <c r="AM35" s="124"/>
      <c r="AN35" s="124"/>
      <c r="AO35" s="124"/>
      <c r="AP35" s="124"/>
      <c r="AQ35" s="124"/>
      <c r="AR35" s="124"/>
      <c r="AS35" s="124"/>
      <c r="AT35" s="1956"/>
      <c r="AU35" s="124"/>
      <c r="AV35" s="124"/>
      <c r="AW35" s="124"/>
      <c r="AX35" s="124"/>
      <c r="AY35" s="124"/>
      <c r="AZ35" s="124"/>
      <c r="BA35" s="124"/>
      <c r="BB35" s="124"/>
      <c r="BC35" s="124"/>
      <c r="BD35" s="310">
        <f>IF(AI35=0,0,(AT35-AI35)/AI35*100)</f>
        <v>0</v>
      </c>
      <c r="BE35" s="310">
        <f>IF(AT35=0,0,(AU35-AT35)/AT35*100)</f>
        <v>0</v>
      </c>
      <c r="BF35" s="310">
        <f>IF(AU35=0,0,(AV35-AU35)/AU35*100)</f>
        <v>0</v>
      </c>
      <c r="BG35" s="310">
        <f>IF(AV35=0,0,(AW35-AV35)/AV35*100)</f>
        <v>0</v>
      </c>
      <c r="BH35" s="310">
        <f>IF(AW35=0,0,(AX35-AW35)/AW35*100)</f>
        <v>0</v>
      </c>
      <c r="BI35" s="310">
        <f>IF(AX35=0,0,(AY35-AX35)/AX35*100)</f>
        <v>0</v>
      </c>
      <c r="BJ35" s="310">
        <f>IF(AY35=0,0,(AZ35-AY35)/AY35*100)</f>
        <v>0</v>
      </c>
      <c r="BK35" s="310">
        <f>IF(AZ35=0,0,(BA35-AZ35)/AZ35*100)</f>
        <v>0</v>
      </c>
      <c r="BL35" s="310">
        <f>IF(BA35=0,0,(BB35-BA35)/BA35*100)</f>
        <v>0</v>
      </c>
      <c r="BM35" s="310">
        <f>IF(BB35=0,0,(BC35-BB35)/BB35*100)</f>
        <v>0</v>
      </c>
      <c r="BN35" s="73"/>
      <c r="BO35" s="73"/>
      <c r="BP35" s="73"/>
      <c r="BS35" s="1235" t="s">
        <v>1620</v>
      </c>
      <c r="BX35" s="1271"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1" t="s">
        <v>1621</v>
      </c>
      <c r="D36" s="1260" t="s">
        <v>1622</v>
      </c>
      <c r="E36" s="797">
        <v>17.1</v>
      </c>
      <c r="F36" s="922" cm="1" t="str">
        <f t="array" ref="F36:F36">OFFSET(G36,-1,-1)</f>
        <v>0</v>
      </c>
      <c r="M36" s="1284"/>
      <c r="N36" s="1284" cm="1" t="str">
        <f t="array" ref="N36:N36">OFFSET(M36,-1,1)</f>
        <v>0</v>
      </c>
      <c r="O36" s="1285"/>
      <c r="P36" s="1285"/>
      <c r="Q36" s="1285"/>
      <c r="R36" s="1285"/>
      <c r="T36" s="808">
        <f>AND(F36&gt;0,method_reg="Метод обеспечения доходности инвестированного капитала")</f>
        <v>0</v>
      </c>
      <c r="AB36" s="314" t="s">
        <v>1308</v>
      </c>
      <c r="AC36" s="315" t="s">
        <v>1623</v>
      </c>
      <c r="AD36" s="312" t="s">
        <v>498</v>
      </c>
      <c r="AE36" s="124"/>
      <c r="AF36" s="124"/>
      <c r="AG36" s="124"/>
      <c r="AH36" s="310">
        <f>AG36-AF36</f>
        <v>0</v>
      </c>
      <c r="AI36" s="124"/>
      <c r="AJ36" s="1956"/>
      <c r="AK36" s="124"/>
      <c r="AL36" s="124"/>
      <c r="AM36" s="124"/>
      <c r="AN36" s="124"/>
      <c r="AO36" s="124"/>
      <c r="AP36" s="124"/>
      <c r="AQ36" s="124"/>
      <c r="AR36" s="124"/>
      <c r="AS36" s="124"/>
      <c r="AT36" s="1956"/>
      <c r="AU36" s="124"/>
      <c r="AV36" s="124"/>
      <c r="AW36" s="124"/>
      <c r="AX36" s="124"/>
      <c r="AY36" s="124"/>
      <c r="AZ36" s="124"/>
      <c r="BA36" s="124"/>
      <c r="BB36" s="124"/>
      <c r="BC36" s="124"/>
      <c r="BD36" s="310">
        <f>IF(AI36=0,0,(AT36-AI36)/AI36*100)</f>
        <v>0</v>
      </c>
      <c r="BE36" s="310">
        <f>IF(AT36=0,0,(AU36-AT36)/AT36*100)</f>
        <v>0</v>
      </c>
      <c r="BF36" s="310">
        <f>IF(AU36=0,0,(AV36-AU36)/AU36*100)</f>
        <v>0</v>
      </c>
      <c r="BG36" s="310">
        <f>IF(AV36=0,0,(AW36-AV36)/AV36*100)</f>
        <v>0</v>
      </c>
      <c r="BH36" s="310">
        <f>IF(AW36=0,0,(AX36-AW36)/AW36*100)</f>
        <v>0</v>
      </c>
      <c r="BI36" s="310">
        <f>IF(AX36=0,0,(AY36-AX36)/AX36*100)</f>
        <v>0</v>
      </c>
      <c r="BJ36" s="310">
        <f>IF(AY36=0,0,(AZ36-AY36)/AY36*100)</f>
        <v>0</v>
      </c>
      <c r="BK36" s="310">
        <f>IF(AZ36=0,0,(BA36-AZ36)/AZ36*100)</f>
        <v>0</v>
      </c>
      <c r="BL36" s="310">
        <f>IF(BA36=0,0,(BB36-BA36)/BA36*100)</f>
        <v>0</v>
      </c>
      <c r="BM36" s="310">
        <f>IF(BB36=0,0,(BC36-BB36)/BB36*100)</f>
        <v>0</v>
      </c>
      <c r="BN36" s="73"/>
      <c r="BO36" s="73"/>
      <c r="BP36" s="73"/>
      <c r="BS36" s="1235" t="s">
        <v>1624</v>
      </c>
      <c r="BX36" s="1271"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1" t="s">
        <v>1625</v>
      </c>
      <c r="D37" s="1260" t="s">
        <v>1626</v>
      </c>
      <c r="E37" s="797">
        <v>17.1</v>
      </c>
      <c r="F37" s="922" cm="1" t="str">
        <f t="array" ref="F37:F37">OFFSET(G37,-1,-1)</f>
        <v>0</v>
      </c>
      <c r="M37" s="1284"/>
      <c r="N37" s="1284" cm="1" t="str">
        <f t="array" ref="N37:N37">OFFSET(M37,-1,1)</f>
        <v>0</v>
      </c>
      <c r="O37" s="1285"/>
      <c r="P37" s="1285"/>
      <c r="Q37" s="1285"/>
      <c r="R37" s="1285"/>
      <c r="T37" s="808">
        <f>AND(F37&gt;0,method_reg="Метод обеспечения доходности инвестированного капитала")</f>
        <v>0</v>
      </c>
      <c r="AB37" s="314" t="s">
        <v>1311</v>
      </c>
      <c r="AC37" s="130" t="s">
        <v>1627</v>
      </c>
      <c r="AD37" s="312" t="s">
        <v>810</v>
      </c>
      <c r="AE37" s="124"/>
      <c r="AF37" s="124"/>
      <c r="AG37" s="124"/>
      <c r="AH37" s="310">
        <f>AG37-AF37</f>
        <v>0</v>
      </c>
      <c r="AI37" s="124"/>
      <c r="AJ37" s="1956"/>
      <c r="AK37" s="124"/>
      <c r="AL37" s="124"/>
      <c r="AM37" s="124"/>
      <c r="AN37" s="124"/>
      <c r="AO37" s="124"/>
      <c r="AP37" s="124"/>
      <c r="AQ37" s="124"/>
      <c r="AR37" s="124"/>
      <c r="AS37" s="124"/>
      <c r="AT37" s="1956"/>
      <c r="AU37" s="124"/>
      <c r="AV37" s="124"/>
      <c r="AW37" s="124"/>
      <c r="AX37" s="124"/>
      <c r="AY37" s="124"/>
      <c r="AZ37" s="124"/>
      <c r="BA37" s="124"/>
      <c r="BB37" s="124"/>
      <c r="BC37" s="124"/>
      <c r="BD37" s="310">
        <f>IF(AI37=0,0,(AT37-AI37)/AI37*100)</f>
        <v>0</v>
      </c>
      <c r="BE37" s="310">
        <f>IF(AT37=0,0,(AU37-AT37)/AT37*100)</f>
        <v>0</v>
      </c>
      <c r="BF37" s="310">
        <f>IF(AU37=0,0,(AV37-AU37)/AU37*100)</f>
        <v>0</v>
      </c>
      <c r="BG37" s="310">
        <f>IF(AV37=0,0,(AW37-AV37)/AV37*100)</f>
        <v>0</v>
      </c>
      <c r="BH37" s="310">
        <f>IF(AW37=0,0,(AX37-AW37)/AW37*100)</f>
        <v>0</v>
      </c>
      <c r="BI37" s="310">
        <f>IF(AX37=0,0,(AY37-AX37)/AX37*100)</f>
        <v>0</v>
      </c>
      <c r="BJ37" s="310">
        <f>IF(AY37=0,0,(AZ37-AY37)/AY37*100)</f>
        <v>0</v>
      </c>
      <c r="BK37" s="310">
        <f>IF(AZ37=0,0,(BA37-AZ37)/AZ37*100)</f>
        <v>0</v>
      </c>
      <c r="BL37" s="310">
        <f>IF(BA37=0,0,(BB37-BA37)/BA37*100)</f>
        <v>0</v>
      </c>
      <c r="BM37" s="310">
        <f>IF(BB37=0,0,(BC37-BB37)/BB37*100)</f>
        <v>0</v>
      </c>
      <c r="BN37" s="73"/>
      <c r="BO37" s="73"/>
      <c r="BP37" s="73"/>
      <c r="BS37" s="1235" t="s">
        <v>1628</v>
      </c>
      <c r="BX37" s="1271"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1" t="s">
        <v>1629</v>
      </c>
      <c r="D38" s="1260" t="s">
        <v>1630</v>
      </c>
      <c r="E38" s="797">
        <v>17.1</v>
      </c>
      <c r="F38" s="922" cm="1" t="str">
        <f t="array" ref="F38:F38">OFFSET(G38,-1,-1)</f>
        <v>0</v>
      </c>
      <c r="M38" s="1284"/>
      <c r="N38" s="1284" cm="1" t="str">
        <f t="array" ref="N38:N38">OFFSET(M38,-1,1)</f>
        <v>0</v>
      </c>
      <c r="O38" s="1285"/>
      <c r="P38" s="1285"/>
      <c r="Q38" s="1285"/>
      <c r="R38" s="1285"/>
      <c r="T38" s="808">
        <f>AND(F38&gt;0,method_reg="Метод обеспечения доходности инвестированного капитала")</f>
        <v>0</v>
      </c>
      <c r="AB38" s="314" t="s">
        <v>1314</v>
      </c>
      <c r="AC38" s="130" t="s">
        <v>1631</v>
      </c>
      <c r="AD38" s="312" t="s">
        <v>810</v>
      </c>
      <c r="AE38" s="124"/>
      <c r="AF38" s="124"/>
      <c r="AG38" s="124"/>
      <c r="AH38" s="310">
        <f>AG38-AF38</f>
        <v>0</v>
      </c>
      <c r="AI38" s="124"/>
      <c r="AJ38" s="1956"/>
      <c r="AK38" s="124"/>
      <c r="AL38" s="124"/>
      <c r="AM38" s="124"/>
      <c r="AN38" s="124"/>
      <c r="AO38" s="124"/>
      <c r="AP38" s="124"/>
      <c r="AQ38" s="124"/>
      <c r="AR38" s="124"/>
      <c r="AS38" s="124"/>
      <c r="AT38" s="1956"/>
      <c r="AU38" s="124"/>
      <c r="AV38" s="124"/>
      <c r="AW38" s="124"/>
      <c r="AX38" s="124"/>
      <c r="AY38" s="124"/>
      <c r="AZ38" s="124"/>
      <c r="BA38" s="124"/>
      <c r="BB38" s="124"/>
      <c r="BC38" s="124"/>
      <c r="BD38" s="310">
        <f>IF(AI38=0,0,(AT38-AI38)/AI38*100)</f>
        <v>0</v>
      </c>
      <c r="BE38" s="310">
        <f>IF(AT38=0,0,(AU38-AT38)/AT38*100)</f>
        <v>0</v>
      </c>
      <c r="BF38" s="310">
        <f>IF(AU38=0,0,(AV38-AU38)/AU38*100)</f>
        <v>0</v>
      </c>
      <c r="BG38" s="310">
        <f>IF(AV38=0,0,(AW38-AV38)/AV38*100)</f>
        <v>0</v>
      </c>
      <c r="BH38" s="310">
        <f>IF(AW38=0,0,(AX38-AW38)/AW38*100)</f>
        <v>0</v>
      </c>
      <c r="BI38" s="310">
        <f>IF(AX38=0,0,(AY38-AX38)/AX38*100)</f>
        <v>0</v>
      </c>
      <c r="BJ38" s="310">
        <f>IF(AY38=0,0,(AZ38-AY38)/AY38*100)</f>
        <v>0</v>
      </c>
      <c r="BK38" s="310">
        <f>IF(AZ38=0,0,(BA38-AZ38)/AZ38*100)</f>
        <v>0</v>
      </c>
      <c r="BL38" s="310">
        <f>IF(BA38=0,0,(BB38-BA38)/BA38*100)</f>
        <v>0</v>
      </c>
      <c r="BM38" s="310">
        <f>IF(BB38=0,0,(BC38-BB38)/BB38*100)</f>
        <v>0</v>
      </c>
      <c r="BN38" s="73"/>
      <c r="BO38" s="73"/>
      <c r="BP38" s="73"/>
      <c r="BS38" s="1235" t="s">
        <v>1632</v>
      </c>
      <c r="BX38" s="1271"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1" t="s">
        <v>1633</v>
      </c>
      <c r="D39" s="1260" t="s">
        <v>1634</v>
      </c>
      <c r="E39" s="797">
        <v>17.1</v>
      </c>
      <c r="F39" s="922" cm="1" t="str">
        <f t="array" ref="F39:F39">OFFSET(G39,-1,-1)</f>
        <v>0</v>
      </c>
      <c r="M39" s="1284"/>
      <c r="N39" s="1284" cm="1" t="str">
        <f t="array" ref="N39:N39">OFFSET(M39,-1,1)</f>
        <v>0</v>
      </c>
      <c r="O39" s="1285"/>
      <c r="P39" s="1285"/>
      <c r="Q39" s="1285"/>
      <c r="R39" s="1285"/>
      <c r="T39" s="808">
        <f>AND(F39&gt;0,method_reg="Метод обеспечения доходности инвестированного капитала")</f>
        <v>0</v>
      </c>
      <c r="AB39" s="314" t="s">
        <v>1635</v>
      </c>
      <c r="AC39" s="131" t="s">
        <v>1636</v>
      </c>
      <c r="AD39" s="312" t="s">
        <v>498</v>
      </c>
      <c r="AE39" s="124"/>
      <c r="AF39" s="124"/>
      <c r="AG39" s="124"/>
      <c r="AH39" s="310">
        <f>AG39-AF39</f>
        <v>0</v>
      </c>
      <c r="AI39" s="124"/>
      <c r="AJ39" s="1956"/>
      <c r="AK39" s="124"/>
      <c r="AL39" s="124"/>
      <c r="AM39" s="124"/>
      <c r="AN39" s="124"/>
      <c r="AO39" s="124"/>
      <c r="AP39" s="124"/>
      <c r="AQ39" s="124"/>
      <c r="AR39" s="124"/>
      <c r="AS39" s="124"/>
      <c r="AT39" s="1956"/>
      <c r="AU39" s="124"/>
      <c r="AV39" s="124"/>
      <c r="AW39" s="124"/>
      <c r="AX39" s="124"/>
      <c r="AY39" s="124"/>
      <c r="AZ39" s="124"/>
      <c r="BA39" s="124"/>
      <c r="BB39" s="124"/>
      <c r="BC39" s="124"/>
      <c r="BD39" s="310">
        <f>IF(AI39=0,0,(AT39-AI39)/AI39*100)</f>
        <v>0</v>
      </c>
      <c r="BE39" s="310">
        <f>IF(AT39=0,0,(AU39-AT39)/AT39*100)</f>
        <v>0</v>
      </c>
      <c r="BF39" s="310">
        <f>IF(AU39=0,0,(AV39-AU39)/AU39*100)</f>
        <v>0</v>
      </c>
      <c r="BG39" s="310">
        <f>IF(AV39=0,0,(AW39-AV39)/AV39*100)</f>
        <v>0</v>
      </c>
      <c r="BH39" s="310">
        <f>IF(AW39=0,0,(AX39-AW39)/AW39*100)</f>
        <v>0</v>
      </c>
      <c r="BI39" s="310">
        <f>IF(AX39=0,0,(AY39-AX39)/AX39*100)</f>
        <v>0</v>
      </c>
      <c r="BJ39" s="310">
        <f>IF(AY39=0,0,(AZ39-AY39)/AY39*100)</f>
        <v>0</v>
      </c>
      <c r="BK39" s="310">
        <f>IF(AZ39=0,0,(BA39-AZ39)/AZ39*100)</f>
        <v>0</v>
      </c>
      <c r="BL39" s="310">
        <f>IF(BA39=0,0,(BB39-BA39)/BA39*100)</f>
        <v>0</v>
      </c>
      <c r="BM39" s="310">
        <f>IF(BB39=0,0,(BC39-BB39)/BB39*100)</f>
        <v>0</v>
      </c>
      <c r="BN39" s="73"/>
      <c r="BO39" s="73"/>
      <c r="BP39" s="73"/>
      <c r="BS39" s="1235" t="s">
        <v>1637</v>
      </c>
      <c r="BX39" s="1271"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1" t="s">
        <v>1638</v>
      </c>
      <c r="D40" s="1260" t="s">
        <v>1639</v>
      </c>
      <c r="E40" s="797">
        <v>17.1</v>
      </c>
      <c r="F40" s="922" cm="1" t="str">
        <f t="array" ref="F40:F40">OFFSET(G40,-1,-1)</f>
        <v>0</v>
      </c>
      <c r="M40" s="1284"/>
      <c r="N40" s="1284" cm="1" t="str">
        <f t="array" ref="N40:N40">OFFSET(M40,-1,1)</f>
        <v>0</v>
      </c>
      <c r="O40" s="1285"/>
      <c r="P40" s="1285"/>
      <c r="Q40" s="1285"/>
      <c r="R40" s="1285"/>
      <c r="T40" s="808">
        <f>AND(F40&gt;0,method_reg="Метод обеспечения доходности инвестированного капитала")</f>
        <v>0</v>
      </c>
      <c r="AB40" s="314" t="s">
        <v>1317</v>
      </c>
      <c r="AC40" s="130" t="s">
        <v>1640</v>
      </c>
      <c r="AD40" s="312" t="s">
        <v>498</v>
      </c>
      <c r="AE40" s="124"/>
      <c r="AF40" s="124"/>
      <c r="AG40" s="124"/>
      <c r="AH40" s="310">
        <f>AG40-AF40</f>
        <v>0</v>
      </c>
      <c r="AI40" s="124"/>
      <c r="AJ40" s="1956"/>
      <c r="AK40" s="124"/>
      <c r="AL40" s="124"/>
      <c r="AM40" s="124"/>
      <c r="AN40" s="124"/>
      <c r="AO40" s="124"/>
      <c r="AP40" s="124"/>
      <c r="AQ40" s="124"/>
      <c r="AR40" s="124"/>
      <c r="AS40" s="124"/>
      <c r="AT40" s="1956"/>
      <c r="AU40" s="124"/>
      <c r="AV40" s="124"/>
      <c r="AW40" s="124"/>
      <c r="AX40" s="124"/>
      <c r="AY40" s="124"/>
      <c r="AZ40" s="124"/>
      <c r="BA40" s="124"/>
      <c r="BB40" s="124"/>
      <c r="BC40" s="124"/>
      <c r="BD40" s="310">
        <f>IF(AI40=0,0,(AT40-AI40)/AI40*100)</f>
        <v>0</v>
      </c>
      <c r="BE40" s="310">
        <f>IF(AT40=0,0,(AU40-AT40)/AT40*100)</f>
        <v>0</v>
      </c>
      <c r="BF40" s="310">
        <f>IF(AU40=0,0,(AV40-AU40)/AU40*100)</f>
        <v>0</v>
      </c>
      <c r="BG40" s="310">
        <f>IF(AV40=0,0,(AW40-AV40)/AV40*100)</f>
        <v>0</v>
      </c>
      <c r="BH40" s="310">
        <f>IF(AW40=0,0,(AX40-AW40)/AW40*100)</f>
        <v>0</v>
      </c>
      <c r="BI40" s="310">
        <f>IF(AX40=0,0,(AY40-AX40)/AX40*100)</f>
        <v>0</v>
      </c>
      <c r="BJ40" s="310">
        <f>IF(AY40=0,0,(AZ40-AY40)/AY40*100)</f>
        <v>0</v>
      </c>
      <c r="BK40" s="310">
        <f>IF(AZ40=0,0,(BA40-AZ40)/AZ40*100)</f>
        <v>0</v>
      </c>
      <c r="BL40" s="310">
        <f>IF(BA40=0,0,(BB40-BA40)/BA40*100)</f>
        <v>0</v>
      </c>
      <c r="BM40" s="310">
        <f>IF(BB40=0,0,(BC40-BB40)/BB40*100)</f>
        <v>0</v>
      </c>
      <c r="BN40" s="73"/>
      <c r="BO40" s="73"/>
      <c r="BP40" s="73"/>
      <c r="BS40" s="1235" t="s">
        <v>1641</v>
      </c>
      <c r="BX40" s="1271"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1" t="s">
        <v>1642</v>
      </c>
      <c r="D41" s="1260" t="s">
        <v>1643</v>
      </c>
      <c r="E41" s="797">
        <v>17.1</v>
      </c>
      <c r="F41" s="922" cm="1" t="str">
        <f t="array" ref="F41:F41">OFFSET(G41,-1,-1)</f>
        <v>0</v>
      </c>
      <c r="M41" s="1284"/>
      <c r="N41" s="1284" cm="1" t="str">
        <f t="array" ref="N41:N41">OFFSET(M41,-1,1)</f>
        <v>0</v>
      </c>
      <c r="O41" s="1285"/>
      <c r="P41" s="1285"/>
      <c r="Q41" s="1285"/>
      <c r="R41" s="1285"/>
      <c r="T41" s="808">
        <f>AND(F41&gt;0,method_reg="Метод обеспечения доходности инвестированного капитала")</f>
        <v>0</v>
      </c>
      <c r="AB41" s="314" t="s">
        <v>1644</v>
      </c>
      <c r="AC41" s="131" t="s">
        <v>1645</v>
      </c>
      <c r="AD41" s="312" t="s">
        <v>498</v>
      </c>
      <c r="AE41" s="124"/>
      <c r="AF41" s="124"/>
      <c r="AG41" s="124"/>
      <c r="AH41" s="310">
        <f>AG41-AF41</f>
        <v>0</v>
      </c>
      <c r="AI41" s="124"/>
      <c r="AJ41" s="1956"/>
      <c r="AK41" s="124"/>
      <c r="AL41" s="124"/>
      <c r="AM41" s="124"/>
      <c r="AN41" s="124"/>
      <c r="AO41" s="124"/>
      <c r="AP41" s="124"/>
      <c r="AQ41" s="124"/>
      <c r="AR41" s="124"/>
      <c r="AS41" s="124"/>
      <c r="AT41" s="1956"/>
      <c r="AU41" s="124"/>
      <c r="AV41" s="124"/>
      <c r="AW41" s="124"/>
      <c r="AX41" s="124"/>
      <c r="AY41" s="124"/>
      <c r="AZ41" s="124"/>
      <c r="BA41" s="124"/>
      <c r="BB41" s="124"/>
      <c r="BC41" s="124"/>
      <c r="BD41" s="310">
        <f>IF(AI41=0,0,(AT41-AI41)/AI41*100)</f>
        <v>0</v>
      </c>
      <c r="BE41" s="310">
        <f>IF(AT41=0,0,(AU41-AT41)/AT41*100)</f>
        <v>0</v>
      </c>
      <c r="BF41" s="310">
        <f>IF(AU41=0,0,(AV41-AU41)/AU41*100)</f>
        <v>0</v>
      </c>
      <c r="BG41" s="310">
        <f>IF(AV41=0,0,(AW41-AV41)/AV41*100)</f>
        <v>0</v>
      </c>
      <c r="BH41" s="310">
        <f>IF(AW41=0,0,(AX41-AW41)/AW41*100)</f>
        <v>0</v>
      </c>
      <c r="BI41" s="310">
        <f>IF(AX41=0,0,(AY41-AX41)/AX41*100)</f>
        <v>0</v>
      </c>
      <c r="BJ41" s="310">
        <f>IF(AY41=0,0,(AZ41-AY41)/AY41*100)</f>
        <v>0</v>
      </c>
      <c r="BK41" s="310">
        <f>IF(AZ41=0,0,(BA41-AZ41)/AZ41*100)</f>
        <v>0</v>
      </c>
      <c r="BL41" s="310">
        <f>IF(BA41=0,0,(BB41-BA41)/BA41*100)</f>
        <v>0</v>
      </c>
      <c r="BM41" s="310">
        <f>IF(BB41=0,0,(BC41-BB41)/BB41*100)</f>
        <v>0</v>
      </c>
      <c r="BN41" s="73"/>
      <c r="BO41" s="73"/>
      <c r="BP41" s="73"/>
      <c r="BS41" s="1235" t="s">
        <v>1646</v>
      </c>
      <c r="BX41" s="1271"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1" t="s">
        <v>1647</v>
      </c>
      <c r="D42" s="1260" t="s">
        <v>1648</v>
      </c>
      <c r="E42" s="797">
        <v>17.1</v>
      </c>
      <c r="F42" s="922" cm="1" t="str">
        <f t="array" ref="F42:F42">OFFSET(G42,-1,-1)</f>
        <v>0</v>
      </c>
      <c r="M42" s="1284"/>
      <c r="N42" s="1284" cm="1" t="str">
        <f t="array" ref="N42:N42">OFFSET(M42,-1,1)</f>
        <v>0</v>
      </c>
      <c r="O42" s="1285"/>
      <c r="P42" s="1285"/>
      <c r="Q42" s="1285"/>
      <c r="R42" s="1285"/>
      <c r="T42" s="808">
        <f>AND(F42&gt;0,method_reg="Метод обеспечения доходности инвестированного капитала")</f>
        <v>0</v>
      </c>
      <c r="AB42" s="314" t="s">
        <v>1649</v>
      </c>
      <c r="AC42" s="131" t="s">
        <v>1650</v>
      </c>
      <c r="AD42" s="312" t="s">
        <v>498</v>
      </c>
      <c r="AE42" s="124"/>
      <c r="AF42" s="124"/>
      <c r="AG42" s="124"/>
      <c r="AH42" s="310">
        <f>AG42-AF42</f>
        <v>0</v>
      </c>
      <c r="AI42" s="124"/>
      <c r="AJ42" s="1956"/>
      <c r="AK42" s="124"/>
      <c r="AL42" s="124"/>
      <c r="AM42" s="124"/>
      <c r="AN42" s="124"/>
      <c r="AO42" s="124"/>
      <c r="AP42" s="124"/>
      <c r="AQ42" s="124"/>
      <c r="AR42" s="124"/>
      <c r="AS42" s="124"/>
      <c r="AT42" s="1956"/>
      <c r="AU42" s="124"/>
      <c r="AV42" s="124"/>
      <c r="AW42" s="124"/>
      <c r="AX42" s="124"/>
      <c r="AY42" s="124"/>
      <c r="AZ42" s="124"/>
      <c r="BA42" s="124"/>
      <c r="BB42" s="124"/>
      <c r="BC42" s="124"/>
      <c r="BD42" s="310">
        <f>IF(AI42=0,0,(AT42-AI42)/AI42*100)</f>
        <v>0</v>
      </c>
      <c r="BE42" s="310">
        <f>IF(AT42=0,0,(AU42-AT42)/AT42*100)</f>
        <v>0</v>
      </c>
      <c r="BF42" s="310">
        <f>IF(AU42=0,0,(AV42-AU42)/AU42*100)</f>
        <v>0</v>
      </c>
      <c r="BG42" s="310">
        <f>IF(AV42=0,0,(AW42-AV42)/AV42*100)</f>
        <v>0</v>
      </c>
      <c r="BH42" s="310">
        <f>IF(AW42=0,0,(AX42-AW42)/AW42*100)</f>
        <v>0</v>
      </c>
      <c r="BI42" s="310">
        <f>IF(AX42=0,0,(AY42-AX42)/AX42*100)</f>
        <v>0</v>
      </c>
      <c r="BJ42" s="310">
        <f>IF(AY42=0,0,(AZ42-AY42)/AY42*100)</f>
        <v>0</v>
      </c>
      <c r="BK42" s="310">
        <f>IF(AZ42=0,0,(BA42-AZ42)/AZ42*100)</f>
        <v>0</v>
      </c>
      <c r="BL42" s="310">
        <f>IF(BA42=0,0,(BB42-BA42)/BA42*100)</f>
        <v>0</v>
      </c>
      <c r="BM42" s="310">
        <f>IF(BB42=0,0,(BC42-BB42)/BB42*100)</f>
        <v>0</v>
      </c>
      <c r="BN42" s="73"/>
      <c r="BO42" s="73"/>
      <c r="BP42" s="73"/>
      <c r="BS42" s="1235" t="s">
        <v>1651</v>
      </c>
      <c r="BX42" s="1271"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1" t="s">
        <v>1652</v>
      </c>
      <c r="D43" s="1260" t="s">
        <v>1653</v>
      </c>
      <c r="E43" s="797">
        <v>17.1</v>
      </c>
      <c r="F43" s="922" cm="1" t="str">
        <f t="array" ref="F43:F43">OFFSET(G43,-1,-1)</f>
        <v>0</v>
      </c>
      <c r="G43" s="193" t="s">
        <v>1499</v>
      </c>
      <c r="M43" s="1284"/>
      <c r="N43" s="1284" cm="1" t="str">
        <f t="array" ref="N43:N43">OFFSET(M43,-1,1)</f>
        <v>0</v>
      </c>
      <c r="O43" s="1285"/>
      <c r="P43" s="1285"/>
      <c r="Q43" s="1285"/>
      <c r="R43" s="1285"/>
      <c r="T43" s="808">
        <f>AND(F43&gt;0,method_reg="Метод индексации")</f>
        <v>0</v>
      </c>
      <c r="AB43" s="160" t="s">
        <v>432</v>
      </c>
      <c r="AC43" s="613" t="s">
        <v>1501</v>
      </c>
      <c r="AD43" s="488" t="s">
        <v>1023</v>
      </c>
      <c r="AE43" s="124">
        <f>AE44+AE45+AE46</f>
        <v>0</v>
      </c>
      <c r="AF43" s="124">
        <f>AF44+AF45+AF46</f>
        <v>0</v>
      </c>
      <c r="AG43" s="124">
        <f>AG44+AG45+AG46</f>
        <v>0</v>
      </c>
      <c r="AH43" s="310">
        <f>AG43-AF43</f>
        <v>0</v>
      </c>
      <c r="AI43" s="124">
        <f>AI44+AI45+AI46</f>
        <v>0</v>
      </c>
      <c r="AJ43" s="1956">
        <f>AJ44+AJ45+AJ46</f>
        <v>0</v>
      </c>
      <c r="AK43" s="124">
        <f>AK44+AK45+AK46</f>
        <v>0</v>
      </c>
      <c r="AL43" s="124">
        <f>AL44+AL45+AL46</f>
        <v>0</v>
      </c>
      <c r="AM43" s="124">
        <f>AM44+AM45+AM46</f>
        <v>0</v>
      </c>
      <c r="AN43" s="124">
        <f>AN44+AN45+AN46</f>
        <v>0</v>
      </c>
      <c r="AO43" s="124">
        <f>AO44+AO45+AO46</f>
        <v>0</v>
      </c>
      <c r="AP43" s="124">
        <f>AP44+AP45+AP46</f>
        <v>0</v>
      </c>
      <c r="AQ43" s="124">
        <f>AQ44+AQ45+AQ46</f>
        <v>0</v>
      </c>
      <c r="AR43" s="124">
        <f>AR44+AR45+AR46</f>
        <v>0</v>
      </c>
      <c r="AS43" s="124">
        <f>AS44+AS45+AS46</f>
        <v>0</v>
      </c>
      <c r="AT43" s="1956">
        <f>AT44+AT45+AT46</f>
        <v>0</v>
      </c>
      <c r="AU43" s="124">
        <f>AU44+AU45+AU46</f>
        <v>0</v>
      </c>
      <c r="AV43" s="124">
        <f>AV44+AV45+AV46</f>
        <v>0</v>
      </c>
      <c r="AW43" s="124">
        <f>AW44+AW45+AW46</f>
        <v>0</v>
      </c>
      <c r="AX43" s="124">
        <f>AX44+AX45+AX46</f>
        <v>0</v>
      </c>
      <c r="AY43" s="124">
        <f>AY44+AY45+AY46</f>
        <v>0</v>
      </c>
      <c r="AZ43" s="124">
        <f>AZ44+AZ45+AZ46</f>
        <v>0</v>
      </c>
      <c r="BA43" s="124">
        <f>BA44+BA45+BA46</f>
        <v>0</v>
      </c>
      <c r="BB43" s="124">
        <f>BB44+BB45+BB46</f>
        <v>0</v>
      </c>
      <c r="BC43" s="124">
        <f>BC44+BC45+BC46</f>
        <v>0</v>
      </c>
      <c r="BD43" s="310">
        <f>IF(AI43=0,0,(AT43-AI43)/AI43*100)</f>
        <v>0</v>
      </c>
      <c r="BE43" s="310">
        <f>IF(AT43=0,0,(AU43-AT43)/AT43*100)</f>
        <v>0</v>
      </c>
      <c r="BF43" s="310">
        <f>IF(AU43=0,0,(AV43-AU43)/AU43*100)</f>
        <v>0</v>
      </c>
      <c r="BG43" s="310">
        <f>IF(AV43=0,0,(AW43-AV43)/AV43*100)</f>
        <v>0</v>
      </c>
      <c r="BH43" s="310">
        <f>IF(AW43=0,0,(AX43-AW43)/AW43*100)</f>
        <v>0</v>
      </c>
      <c r="BI43" s="310">
        <f>IF(AX43=0,0,(AY43-AX43)/AX43*100)</f>
        <v>0</v>
      </c>
      <c r="BJ43" s="310">
        <f>IF(AY43=0,0,(AZ43-AY43)/AY43*100)</f>
        <v>0</v>
      </c>
      <c r="BK43" s="310">
        <f>IF(AZ43=0,0,(BA43-AZ43)/AZ43*100)</f>
        <v>0</v>
      </c>
      <c r="BL43" s="310">
        <f>IF(BA43=0,0,(BB43-BA43)/BA43*100)</f>
        <v>0</v>
      </c>
      <c r="BM43" s="310">
        <f>IF(BB43=0,0,(BC43-BB43)/BB43*100)</f>
        <v>0</v>
      </c>
      <c r="BN43" s="73"/>
      <c r="BO43" s="73"/>
      <c r="BP43" s="73"/>
      <c r="BS43" s="1235" t="s">
        <v>1502</v>
      </c>
      <c r="BX43" s="1271"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1" t="s">
        <v>1654</v>
      </c>
      <c r="D44" s="1260" t="s">
        <v>1655</v>
      </c>
      <c r="E44" s="797">
        <v>60</v>
      </c>
      <c r="F44" s="922" cm="1" t="str">
        <f t="array" ref="F44:F44">OFFSET(G44,-1,-1)</f>
        <v>0</v>
      </c>
      <c r="M44" s="1284"/>
      <c r="N44" s="1284" cm="1" t="str">
        <f t="array" ref="N44:N44">OFFSET(M44,-1,1)</f>
        <v>0</v>
      </c>
      <c r="O44" s="1285"/>
      <c r="P44" s="1285"/>
      <c r="Q44" s="1285"/>
      <c r="R44" s="1285"/>
      <c r="T44" s="808">
        <f>AND(F44&gt;0,method_reg="Метод индексации")</f>
        <v>0</v>
      </c>
      <c r="AB44" s="160" t="s">
        <v>751</v>
      </c>
      <c r="AC44" s="1025" t="s">
        <v>1656</v>
      </c>
      <c r="AD44" s="488" t="s">
        <v>1402</v>
      </c>
      <c r="AE44" s="124"/>
      <c r="AF44" s="124"/>
      <c r="AG44" s="124"/>
      <c r="AH44" s="310">
        <f>AG44-AF44</f>
        <v>0</v>
      </c>
      <c r="AI44" s="124"/>
      <c r="AJ44" s="1956"/>
      <c r="AK44" s="124"/>
      <c r="AL44" s="124"/>
      <c r="AM44" s="124"/>
      <c r="AN44" s="124"/>
      <c r="AO44" s="124"/>
      <c r="AP44" s="124"/>
      <c r="AQ44" s="124"/>
      <c r="AR44" s="124"/>
      <c r="AS44" s="124"/>
      <c r="AT44" s="1956"/>
      <c r="AU44" s="124"/>
      <c r="AV44" s="124"/>
      <c r="AW44" s="124"/>
      <c r="AX44" s="124"/>
      <c r="AY44" s="124"/>
      <c r="AZ44" s="124"/>
      <c r="BA44" s="124"/>
      <c r="BB44" s="124"/>
      <c r="BC44" s="124"/>
      <c r="BD44" s="310">
        <f>IF(AI44=0,0,(AT44-AI44)/AI44*100)</f>
        <v>0</v>
      </c>
      <c r="BE44" s="310">
        <f>IF(AT44=0,0,(AU44-AT44)/AT44*100)</f>
        <v>0</v>
      </c>
      <c r="BF44" s="310">
        <f>IF(AU44=0,0,(AV44-AU44)/AU44*100)</f>
        <v>0</v>
      </c>
      <c r="BG44" s="310">
        <f>IF(AV44=0,0,(AW44-AV44)/AV44*100)</f>
        <v>0</v>
      </c>
      <c r="BH44" s="310">
        <f>IF(AW44=0,0,(AX44-AW44)/AW44*100)</f>
        <v>0</v>
      </c>
      <c r="BI44" s="310">
        <f>IF(AX44=0,0,(AY44-AX44)/AX44*100)</f>
        <v>0</v>
      </c>
      <c r="BJ44" s="310">
        <f>IF(AY44=0,0,(AZ44-AY44)/AY44*100)</f>
        <v>0</v>
      </c>
      <c r="BK44" s="310">
        <f>IF(AZ44=0,0,(BA44-AZ44)/AZ44*100)</f>
        <v>0</v>
      </c>
      <c r="BL44" s="310">
        <f>IF(BA44=0,0,(BB44-BA44)/BA44*100)</f>
        <v>0</v>
      </c>
      <c r="BM44" s="310">
        <f>IF(BB44=0,0,(BC44-BB44)/BB44*100)</f>
        <v>0</v>
      </c>
      <c r="BN44" s="73"/>
      <c r="BO44" s="73"/>
      <c r="BP44" s="73"/>
      <c r="BS44" s="1235" t="s">
        <v>1657</v>
      </c>
      <c r="BX44" s="1271"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1" t="s">
        <v>1658</v>
      </c>
      <c r="D45" s="1260" t="s">
        <v>1659</v>
      </c>
      <c r="E45" s="797">
        <v>30</v>
      </c>
      <c r="F45" s="922" cm="1" t="str">
        <f t="array" ref="F45:F45">OFFSET(G45,-1,-1)</f>
        <v>0</v>
      </c>
      <c r="M45" s="1284"/>
      <c r="N45" s="1284" cm="1" t="str">
        <f t="array" ref="N45:N45">OFFSET(M45,-1,1)</f>
        <v>0</v>
      </c>
      <c r="O45" s="1285"/>
      <c r="P45" s="1285"/>
      <c r="Q45" s="1285"/>
      <c r="R45" s="1285"/>
      <c r="T45" s="808">
        <f>AND(F45&gt;0,method_reg="Метод индексации")</f>
        <v>0</v>
      </c>
      <c r="AB45" s="160" t="s">
        <v>1609</v>
      </c>
      <c r="AC45" s="613" t="s">
        <v>1660</v>
      </c>
      <c r="AD45" s="488" t="s">
        <v>1402</v>
      </c>
      <c r="AE45" s="124"/>
      <c r="AF45" s="124"/>
      <c r="AG45" s="124"/>
      <c r="AH45" s="310">
        <f>AG45-AF45</f>
        <v>0</v>
      </c>
      <c r="AI45" s="124"/>
      <c r="AJ45" s="1956"/>
      <c r="AK45" s="124"/>
      <c r="AL45" s="124"/>
      <c r="AM45" s="124"/>
      <c r="AN45" s="124"/>
      <c r="AO45" s="124"/>
      <c r="AP45" s="124"/>
      <c r="AQ45" s="124"/>
      <c r="AR45" s="124"/>
      <c r="AS45" s="124"/>
      <c r="AT45" s="1956"/>
      <c r="AU45" s="124"/>
      <c r="AV45" s="124"/>
      <c r="AW45" s="124"/>
      <c r="AX45" s="124"/>
      <c r="AY45" s="124"/>
      <c r="AZ45" s="124"/>
      <c r="BA45" s="124"/>
      <c r="BB45" s="124"/>
      <c r="BC45" s="124"/>
      <c r="BD45" s="310">
        <f>IF(AI45=0,0,(AT45-AI45)/AI45*100)</f>
        <v>0</v>
      </c>
      <c r="BE45" s="310">
        <f>IF(AT45=0,0,(AU45-AT45)/AT45*100)</f>
        <v>0</v>
      </c>
      <c r="BF45" s="310">
        <f>IF(AU45=0,0,(AV45-AU45)/AU45*100)</f>
        <v>0</v>
      </c>
      <c r="BG45" s="310">
        <f>IF(AV45=0,0,(AW45-AV45)/AV45*100)</f>
        <v>0</v>
      </c>
      <c r="BH45" s="310">
        <f>IF(AW45=0,0,(AX45-AW45)/AW45*100)</f>
        <v>0</v>
      </c>
      <c r="BI45" s="310">
        <f>IF(AX45=0,0,(AY45-AX45)/AX45*100)</f>
        <v>0</v>
      </c>
      <c r="BJ45" s="310">
        <f>IF(AY45=0,0,(AZ45-AY45)/AY45*100)</f>
        <v>0</v>
      </c>
      <c r="BK45" s="310">
        <f>IF(AZ45=0,0,(BA45-AZ45)/AZ45*100)</f>
        <v>0</v>
      </c>
      <c r="BL45" s="310">
        <f>IF(BA45=0,0,(BB45-BA45)/BA45*100)</f>
        <v>0</v>
      </c>
      <c r="BM45" s="310">
        <f>IF(BB45=0,0,(BC45-BB45)/BB45*100)</f>
        <v>0</v>
      </c>
      <c r="BN45" s="73"/>
      <c r="BO45" s="73"/>
      <c r="BP45" s="73"/>
      <c r="BS45" s="1235" t="s">
        <v>1661</v>
      </c>
      <c r="BX45" s="1271"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1" t="s">
        <v>1662</v>
      </c>
      <c r="D46" s="1260" t="s">
        <v>1663</v>
      </c>
      <c r="E46" s="797">
        <v>45</v>
      </c>
      <c r="F46" s="922" cm="1" t="str">
        <f t="array" ref="F46:F46">OFFSET(G46,-1,-1)</f>
        <v>0</v>
      </c>
      <c r="M46" s="1284"/>
      <c r="N46" s="1284" cm="1" t="str">
        <f t="array" ref="N46:N46">OFFSET(M46,-1,1)</f>
        <v>0</v>
      </c>
      <c r="O46" s="1285"/>
      <c r="P46" s="1285"/>
      <c r="Q46" s="1285"/>
      <c r="R46" s="1285"/>
      <c r="T46" s="808">
        <f>AND(F46&gt;0,method_reg="Метод индексации")</f>
        <v>0</v>
      </c>
      <c r="AB46" s="160" t="s">
        <v>1664</v>
      </c>
      <c r="AC46" s="613" t="s">
        <v>1665</v>
      </c>
      <c r="AD46" s="488" t="s">
        <v>1402</v>
      </c>
      <c r="AE46" s="124"/>
      <c r="AF46" s="124"/>
      <c r="AG46" s="124"/>
      <c r="AH46" s="310">
        <f>AG46-AF46</f>
        <v>0</v>
      </c>
      <c r="AI46" s="124"/>
      <c r="AJ46" s="1956"/>
      <c r="AK46" s="124"/>
      <c r="AL46" s="124"/>
      <c r="AM46" s="124"/>
      <c r="AN46" s="124"/>
      <c r="AO46" s="124"/>
      <c r="AP46" s="124"/>
      <c r="AQ46" s="124"/>
      <c r="AR46" s="124"/>
      <c r="AS46" s="124"/>
      <c r="AT46" s="1956"/>
      <c r="AU46" s="124"/>
      <c r="AV46" s="124"/>
      <c r="AW46" s="124"/>
      <c r="AX46" s="124"/>
      <c r="AY46" s="124"/>
      <c r="AZ46" s="124"/>
      <c r="BA46" s="124"/>
      <c r="BB46" s="124"/>
      <c r="BC46" s="124"/>
      <c r="BD46" s="310">
        <f>IF(AI46=0,0,(AT46-AI46)/AI46*100)</f>
        <v>0</v>
      </c>
      <c r="BE46" s="310">
        <f>IF(AT46=0,0,(AU46-AT46)/AT46*100)</f>
        <v>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3"/>
      <c r="BO46" s="73"/>
      <c r="BP46" s="73"/>
      <c r="BS46" s="1235" t="s">
        <v>1666</v>
      </c>
      <c r="BX46" s="1271"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1" t="s">
        <v>1667</v>
      </c>
      <c r="D47" s="1260" t="s">
        <v>1668</v>
      </c>
      <c r="E47" s="797">
        <v>15</v>
      </c>
      <c r="F47" s="922" cm="1" t="str">
        <f t="array" ref="F47:F47">OFFSET(G47,-1,-1)</f>
        <v>0</v>
      </c>
      <c r="G47" s="193" t="s">
        <v>1506</v>
      </c>
      <c r="M47" s="1284"/>
      <c r="N47" s="1284" cm="1" t="str">
        <f t="array" ref="N47:N47">OFFSET(M47,-1,1)</f>
        <v>0</v>
      </c>
      <c r="O47" s="1285"/>
      <c r="P47" s="1285"/>
      <c r="Q47" s="1285"/>
      <c r="R47" s="1285"/>
      <c r="T47" s="808">
        <f>AND(F47&gt;0,method_reg="Метод индексации")</f>
        <v>0</v>
      </c>
      <c r="AB47" s="160" t="s">
        <v>435</v>
      </c>
      <c r="AC47" s="613" t="s">
        <v>1508</v>
      </c>
      <c r="AD47" s="488" t="s">
        <v>1023</v>
      </c>
      <c r="AE47" s="124"/>
      <c r="AF47" s="124"/>
      <c r="AG47" s="124"/>
      <c r="AH47" s="310">
        <f>AG47-AF47</f>
        <v>0</v>
      </c>
      <c r="AI47" s="124"/>
      <c r="AJ47" s="1956"/>
      <c r="AK47" s="124"/>
      <c r="AL47" s="124"/>
      <c r="AM47" s="124"/>
      <c r="AN47" s="124"/>
      <c r="AO47" s="124"/>
      <c r="AP47" s="124"/>
      <c r="AQ47" s="124"/>
      <c r="AR47" s="124"/>
      <c r="AS47" s="124"/>
      <c r="AT47" s="1956"/>
      <c r="AU47" s="124"/>
      <c r="AV47" s="124"/>
      <c r="AW47" s="124"/>
      <c r="AX47" s="124"/>
      <c r="AY47" s="124"/>
      <c r="AZ47" s="124"/>
      <c r="BA47" s="124"/>
      <c r="BB47" s="124"/>
      <c r="BC47" s="124"/>
      <c r="BD47" s="310">
        <f>IF(AI47=0,0,(AT47-AI47)/AI47*100)</f>
        <v>0</v>
      </c>
      <c r="BE47" s="310">
        <f>IF(AT47=0,0,(AU47-AT47)/AT47*100)</f>
        <v>0</v>
      </c>
      <c r="BF47" s="310">
        <f>IF(AU47=0,0,(AV47-AU47)/AU47*100)</f>
        <v>0</v>
      </c>
      <c r="BG47" s="310">
        <f>IF(AV47=0,0,(AW47-AV47)/AV47*100)</f>
        <v>0</v>
      </c>
      <c r="BH47" s="310">
        <f>IF(AW47=0,0,(AX47-AW47)/AW47*100)</f>
        <v>0</v>
      </c>
      <c r="BI47" s="310">
        <f>IF(AX47=0,0,(AY47-AX47)/AX47*100)</f>
        <v>0</v>
      </c>
      <c r="BJ47" s="310">
        <f>IF(AY47=0,0,(AZ47-AY47)/AY47*100)</f>
        <v>0</v>
      </c>
      <c r="BK47" s="310">
        <f>IF(AZ47=0,0,(BA47-AZ47)/AZ47*100)</f>
        <v>0</v>
      </c>
      <c r="BL47" s="310">
        <f>IF(BA47=0,0,(BB47-BA47)/BA47*100)</f>
        <v>0</v>
      </c>
      <c r="BM47" s="310">
        <f>IF(BB47=0,0,(BC47-BB47)/BB47*100)</f>
        <v>0</v>
      </c>
      <c r="BN47" s="73"/>
      <c r="BO47" s="73"/>
      <c r="BP47" s="73"/>
      <c r="BS47" s="1235" t="s">
        <v>1669</v>
      </c>
      <c r="BX47" s="1271"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1" t="s">
        <v>1670</v>
      </c>
      <c r="D48" s="1260" t="s">
        <v>1671</v>
      </c>
      <c r="E48" s="797">
        <v>15</v>
      </c>
      <c r="F48" s="922" cm="1" t="str">
        <f t="array" ref="F48:F48">OFFSET(G48,-1,-1)</f>
        <v>0</v>
      </c>
      <c r="M48" s="1284"/>
      <c r="N48" s="1284" cm="1" t="str">
        <f t="array" ref="N48:N48">OFFSET(M48,-1,1)</f>
        <v>0</v>
      </c>
      <c r="O48" s="1285"/>
      <c r="P48" s="1285"/>
      <c r="Q48" s="1285"/>
      <c r="R48" s="1285"/>
      <c r="T48" s="808">
        <f>AND(F48&gt;0,method_reg="Метод индексации")</f>
        <v>0</v>
      </c>
      <c r="AB48" s="160" t="s">
        <v>756</v>
      </c>
      <c r="AC48" s="165" t="s">
        <v>1504</v>
      </c>
      <c r="AD48" s="488" t="s">
        <v>498</v>
      </c>
      <c r="AE48" s="118"/>
      <c r="AF48" s="118"/>
      <c r="AG48" s="118"/>
      <c r="AH48" s="310">
        <f>AG48-AF48</f>
        <v>0</v>
      </c>
      <c r="AI48" s="118"/>
      <c r="AJ48" s="1947"/>
      <c r="AK48" s="118"/>
      <c r="AL48" s="118"/>
      <c r="AM48" s="118"/>
      <c r="AN48" s="118"/>
      <c r="AO48" s="118"/>
      <c r="AP48" s="118"/>
      <c r="AQ48" s="118"/>
      <c r="AR48" s="118"/>
      <c r="AS48" s="118"/>
      <c r="AT48" s="1947"/>
      <c r="AU48" s="118"/>
      <c r="AV48" s="118"/>
      <c r="AW48" s="118"/>
      <c r="AX48" s="118"/>
      <c r="AY48" s="118"/>
      <c r="AZ48" s="118"/>
      <c r="BA48" s="118"/>
      <c r="BB48" s="118"/>
      <c r="BC48" s="118"/>
      <c r="BD48" s="310">
        <f>IF(AI48=0,0,(AT48-AI48)/AI48*100)</f>
        <v>0</v>
      </c>
      <c r="BE48" s="310">
        <f>IF(AT48=0,0,(AU48-AT48)/AT48*100)</f>
        <v>0</v>
      </c>
      <c r="BF48" s="310">
        <f>IF(AU48=0,0,(AV48-AU48)/AU48*100)</f>
        <v>0</v>
      </c>
      <c r="BG48" s="310">
        <f>IF(AV48=0,0,(AW48-AV48)/AV48*100)</f>
        <v>0</v>
      </c>
      <c r="BH48" s="310">
        <f>IF(AW48=0,0,(AX48-AW48)/AW48*100)</f>
        <v>0</v>
      </c>
      <c r="BI48" s="310">
        <f>IF(AX48=0,0,(AY48-AX48)/AX48*100)</f>
        <v>0</v>
      </c>
      <c r="BJ48" s="310">
        <f>IF(AY48=0,0,(AZ48-AY48)/AY48*100)</f>
        <v>0</v>
      </c>
      <c r="BK48" s="310">
        <f>IF(AZ48=0,0,(BA48-AZ48)/AZ48*100)</f>
        <v>0</v>
      </c>
      <c r="BL48" s="310">
        <f>IF(BA48=0,0,(BB48-BA48)/BA48*100)</f>
        <v>0</v>
      </c>
      <c r="BM48" s="310">
        <f>IF(BB48=0,0,(BC48-BB48)/BB48*100)</f>
        <v>0</v>
      </c>
      <c r="BN48" s="73"/>
      <c r="BO48" s="73"/>
      <c r="BP48" s="73"/>
      <c r="BS48" s="1235" t="s">
        <v>1672</v>
      </c>
      <c r="BX48" s="1271"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1" t="s">
        <v>1673</v>
      </c>
      <c r="D49" s="1260" t="s">
        <v>1674</v>
      </c>
      <c r="E49" s="797">
        <v>29.3</v>
      </c>
      <c r="F49" s="922" cm="1" t="str">
        <f t="array" ref="F49:F49">OFFSET(G49,-1,-1)</f>
        <v>0</v>
      </c>
      <c r="G49" s="193">
        <v>6</v>
      </c>
      <c r="M49" s="1284"/>
      <c r="N49" s="1284" cm="1" t="str">
        <f t="array" ref="N49:N49">OFFSET(M49,-1,1)</f>
        <v>0</v>
      </c>
      <c r="O49" s="1285"/>
      <c r="P49" s="1285"/>
      <c r="Q49" s="1285"/>
      <c r="R49" s="1285"/>
      <c r="T49" s="808">
        <f>F49&gt;0</f>
        <v>0</v>
      </c>
      <c r="AB49" s="160" t="s">
        <v>637</v>
      </c>
      <c r="AC49" s="613" t="s">
        <v>1511</v>
      </c>
      <c r="AD49" s="488" t="s">
        <v>1023</v>
      </c>
      <c r="AE49" s="124"/>
      <c r="AF49" s="124"/>
      <c r="AG49" s="124"/>
      <c r="AH49" s="310">
        <f>AG49-AF49</f>
        <v>0</v>
      </c>
      <c r="AI49" s="124"/>
      <c r="AJ49" s="1956"/>
      <c r="AK49" s="124"/>
      <c r="AL49" s="124"/>
      <c r="AM49" s="124"/>
      <c r="AN49" s="124"/>
      <c r="AO49" s="124"/>
      <c r="AP49" s="124"/>
      <c r="AQ49" s="124"/>
      <c r="AR49" s="124"/>
      <c r="AS49" s="124"/>
      <c r="AT49" s="1956"/>
      <c r="AU49" s="124"/>
      <c r="AV49" s="124"/>
      <c r="AW49" s="124"/>
      <c r="AX49" s="124"/>
      <c r="AY49" s="124"/>
      <c r="AZ49" s="124"/>
      <c r="BA49" s="124"/>
      <c r="BB49" s="124"/>
      <c r="BC49" s="124"/>
      <c r="BD49" s="310">
        <f>IF(AI49=0,0,(AT49-AI49)/AI49*100)</f>
        <v>0</v>
      </c>
      <c r="BE49" s="310">
        <f>IF(AT49=0,0,(AU49-AT49)/AT49*100)</f>
        <v>0</v>
      </c>
      <c r="BF49" s="310">
        <f>IF(AU49=0,0,(AV49-AU49)/AU49*100)</f>
        <v>0</v>
      </c>
      <c r="BG49" s="310">
        <f>IF(AV49=0,0,(AW49-AV49)/AV49*100)</f>
        <v>0</v>
      </c>
      <c r="BH49" s="310">
        <f>IF(AW49=0,0,(AX49-AW49)/AW49*100)</f>
        <v>0</v>
      </c>
      <c r="BI49" s="310">
        <f>IF(AX49=0,0,(AY49-AX49)/AX49*100)</f>
        <v>0</v>
      </c>
      <c r="BJ49" s="310">
        <f>IF(AY49=0,0,(AZ49-AY49)/AY49*100)</f>
        <v>0</v>
      </c>
      <c r="BK49" s="310">
        <f>IF(AZ49=0,0,(BA49-AZ49)/AZ49*100)</f>
        <v>0</v>
      </c>
      <c r="BL49" s="310">
        <f>IF(BA49=0,0,(BB49-BA49)/BA49*100)</f>
        <v>0</v>
      </c>
      <c r="BM49" s="310">
        <f>IF(BB49=0,0,(BC49-BB49)/BB49*100)</f>
        <v>0</v>
      </c>
      <c r="BN49" s="73"/>
      <c r="BO49" s="73"/>
      <c r="BP49" s="73"/>
      <c r="BS49" s="1235" t="s">
        <v>1675</v>
      </c>
      <c r="BX49" s="1271"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1" t="s">
        <v>1676</v>
      </c>
      <c r="D50" s="1260" t="s">
        <v>1677</v>
      </c>
      <c r="E50" s="797">
        <v>29.3</v>
      </c>
      <c r="F50" s="922" cm="1" t="str">
        <f t="array" ref="F50:F50">OFFSET(G50,-1,-1)</f>
        <v>0</v>
      </c>
      <c r="G50" s="193" t="s">
        <v>1538</v>
      </c>
      <c r="M50" s="1284"/>
      <c r="N50" s="1284" cm="1" t="str">
        <f t="array" ref="N50:N50">OFFSET(M50,-1,1)</f>
        <v>0</v>
      </c>
      <c r="O50" s="1285"/>
      <c r="P50" s="1285"/>
      <c r="Q50" s="1285"/>
      <c r="R50" s="1285"/>
      <c r="T50" s="808" cm="1" t="str">
        <f t="array" ref="T50:T50">T49</f>
        <v>false</v>
      </c>
      <c r="AB50" s="160" t="s">
        <v>656</v>
      </c>
      <c r="AC50" s="741" t="s">
        <v>1678</v>
      </c>
      <c r="AD50" s="488" t="s">
        <v>1023</v>
      </c>
      <c r="AE50" s="124"/>
      <c r="AF50" s="124"/>
      <c r="AG50" s="124"/>
      <c r="AH50" s="310">
        <f>AG50-AF50</f>
        <v>0</v>
      </c>
      <c r="AI50" s="124"/>
      <c r="AJ50" s="1956">
        <f>_xlfn.SUMIFS('Корр Факт'!AH$27:AH$122,'Корр Факт'!$F$27:$F$122,$F50,'Корр Факт'!$G$27:$G$122,$G50)</f>
        <v>0</v>
      </c>
      <c r="AK50" s="124"/>
      <c r="AL50" s="124"/>
      <c r="AM50" s="124"/>
      <c r="AN50" s="124"/>
      <c r="AO50" s="124"/>
      <c r="AP50" s="124"/>
      <c r="AQ50" s="124"/>
      <c r="AR50" s="124"/>
      <c r="AS50" s="124"/>
      <c r="AT50" s="1956">
        <f>_xlfn.SUMIFS('Корр Факт'!AN$27:AN$122,'Корр Факт'!$F$27:$F$122,$F50,'Корр Факт'!$G$27:$G$122,$G50)</f>
        <v>0</v>
      </c>
      <c r="AU50" s="124"/>
      <c r="AV50" s="124"/>
      <c r="AW50" s="124"/>
      <c r="AX50" s="124"/>
      <c r="AY50" s="124"/>
      <c r="AZ50" s="124"/>
      <c r="BA50" s="124"/>
      <c r="BB50" s="124"/>
      <c r="BC50" s="124"/>
      <c r="BD50" s="310">
        <f>IF(AI50=0,0,(AT50-AI50)/AI50*100)</f>
        <v>0</v>
      </c>
      <c r="BE50" s="310">
        <f>IF(AT50=0,0,(AU50-AT50)/AT50*100)</f>
        <v>0</v>
      </c>
      <c r="BF50" s="310">
        <f>IF(AU50=0,0,(AV50-AU50)/AU50*100)</f>
        <v>0</v>
      </c>
      <c r="BG50" s="310">
        <f>IF(AV50=0,0,(AW50-AV50)/AV50*100)</f>
        <v>0</v>
      </c>
      <c r="BH50" s="310">
        <f>IF(AW50=0,0,(AX50-AW50)/AW50*100)</f>
        <v>0</v>
      </c>
      <c r="BI50" s="310">
        <f>IF(AX50=0,0,(AY50-AX50)/AX50*100)</f>
        <v>0</v>
      </c>
      <c r="BJ50" s="310">
        <f>IF(AY50=0,0,(AZ50-AY50)/AY50*100)</f>
        <v>0</v>
      </c>
      <c r="BK50" s="310">
        <f>IF(AZ50=0,0,(BA50-AZ50)/AZ50*100)</f>
        <v>0</v>
      </c>
      <c r="BL50" s="310">
        <f>IF(BA50=0,0,(BB50-BA50)/BA50*100)</f>
        <v>0</v>
      </c>
      <c r="BM50" s="310">
        <f>IF(BB50=0,0,(BC50-BB50)/BB50*100)</f>
        <v>0</v>
      </c>
      <c r="BN50" s="73"/>
      <c r="BO50" s="73"/>
      <c r="BP50" s="73"/>
      <c r="BS50" s="1235" t="s">
        <v>1679</v>
      </c>
      <c r="BX50" s="1271"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5" customFormat="1" customHeight="1" ht="64.35" hidden="1">
      <c r="C51" s="1301" t="s">
        <v>1680</v>
      </c>
      <c r="D51" s="1260" t="s">
        <v>1681</v>
      </c>
      <c r="E51" s="797">
        <v>66</v>
      </c>
      <c r="F51" s="922" cm="1" t="str">
        <f t="array" ref="F51:F51">OFFSET(G51,-1,-1)</f>
        <v>0</v>
      </c>
      <c r="M51" s="1284"/>
      <c r="N51" s="1284" cm="1" t="str">
        <f t="array" ref="N51:N51">OFFSET(M51,-1,1)</f>
        <v>0</v>
      </c>
      <c r="O51" s="1286"/>
      <c r="P51" s="1286"/>
      <c r="Q51" s="1286"/>
      <c r="R51" s="1286"/>
      <c r="T51" s="808" cm="1" t="str">
        <f t="array" ref="T51:T51">T50</f>
        <v>false</v>
      </c>
      <c r="AB51" s="160" t="s">
        <v>661</v>
      </c>
      <c r="AC51" s="613" t="s">
        <v>1682</v>
      </c>
      <c r="AD51" s="488" t="s">
        <v>1023</v>
      </c>
      <c r="AE51" s="124"/>
      <c r="AF51" s="124"/>
      <c r="AG51" s="124"/>
      <c r="AH51" s="310">
        <f>AG51-AF51</f>
        <v>0</v>
      </c>
      <c r="AI51" s="124"/>
      <c r="AJ51" s="1956"/>
      <c r="AK51" s="124"/>
      <c r="AL51" s="124"/>
      <c r="AM51" s="124"/>
      <c r="AN51" s="124"/>
      <c r="AO51" s="124"/>
      <c r="AP51" s="124"/>
      <c r="AQ51" s="124"/>
      <c r="AR51" s="124"/>
      <c r="AS51" s="124"/>
      <c r="AT51" s="1956"/>
      <c r="AU51" s="124"/>
      <c r="AV51" s="124"/>
      <c r="AW51" s="124"/>
      <c r="AX51" s="124"/>
      <c r="AY51" s="124"/>
      <c r="AZ51" s="124"/>
      <c r="BA51" s="124"/>
      <c r="BB51" s="124"/>
      <c r="BC51" s="124"/>
      <c r="BD51" s="310">
        <f>IF(AI51=0,0,(AT51-AI51)/AI51*100)</f>
        <v>0</v>
      </c>
      <c r="BE51" s="310">
        <f>IF(AT51=0,0,(AU51-AT51)/AT51*100)</f>
        <v>0</v>
      </c>
      <c r="BF51" s="310">
        <f>IF(AU51=0,0,(AV51-AU51)/AU51*100)</f>
        <v>0</v>
      </c>
      <c r="BG51" s="310">
        <f>IF(AV51=0,0,(AW51-AV51)/AV51*100)</f>
        <v>0</v>
      </c>
      <c r="BH51" s="310">
        <f>IF(AW51=0,0,(AX51-AW51)/AW51*100)</f>
        <v>0</v>
      </c>
      <c r="BI51" s="310">
        <f>IF(AX51=0,0,(AY51-AX51)/AX51*100)</f>
        <v>0</v>
      </c>
      <c r="BJ51" s="310">
        <f>IF(AY51=0,0,(AZ51-AY51)/AY51*100)</f>
        <v>0</v>
      </c>
      <c r="BK51" s="310">
        <f>IF(AZ51=0,0,(BA51-AZ51)/AZ51*100)</f>
        <v>0</v>
      </c>
      <c r="BL51" s="310">
        <f>IF(BA51=0,0,(BB51-BA51)/BA51*100)</f>
        <v>0</v>
      </c>
      <c r="BM51" s="310">
        <f>IF(BB51=0,0,(BC51-BB51)/BB51*100)</f>
        <v>0</v>
      </c>
      <c r="BN51" s="73"/>
      <c r="BO51" s="73"/>
      <c r="BP51" s="73"/>
      <c r="BS51" s="1235" t="s">
        <v>1515</v>
      </c>
      <c r="BT51" s="1243"/>
      <c r="BU51" s="1243"/>
      <c r="BV51" s="1244"/>
      <c r="BW51" s="1244"/>
      <c r="BX51" s="1271"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5" customFormat="1" customHeight="1" ht="32.955" hidden="1">
      <c r="C52" s="1301" t="s">
        <v>1683</v>
      </c>
      <c r="D52" s="1260" t="s">
        <v>1684</v>
      </c>
      <c r="E52" s="797">
        <v>33.8</v>
      </c>
      <c r="F52" s="922" cm="1" t="str">
        <f t="array" ref="F52:F52">OFFSET(G52,-1,-1)</f>
        <v>0</v>
      </c>
      <c r="M52" s="1284"/>
      <c r="N52" s="1284" cm="1" t="str">
        <f t="array" ref="N52:N52">OFFSET(M52,-1,1)</f>
        <v>0</v>
      </c>
      <c r="O52" s="1286"/>
      <c r="P52" s="1286"/>
      <c r="Q52" s="1286"/>
      <c r="R52" s="1286"/>
      <c r="T52" s="808" cm="1" t="str">
        <f t="array" ref="T52:T52">T51</f>
        <v>false</v>
      </c>
      <c r="AB52" s="160" t="s">
        <v>669</v>
      </c>
      <c r="AC52" s="613" t="s">
        <v>1685</v>
      </c>
      <c r="AD52" s="488" t="s">
        <v>1023</v>
      </c>
      <c r="AE52" s="124"/>
      <c r="AF52" s="124"/>
      <c r="AG52" s="124"/>
      <c r="AH52" s="310">
        <f>AG52-AF52</f>
        <v>0</v>
      </c>
      <c r="AI52" s="124"/>
      <c r="AJ52" s="1956"/>
      <c r="AK52" s="124"/>
      <c r="AL52" s="124"/>
      <c r="AM52" s="124"/>
      <c r="AN52" s="124"/>
      <c r="AO52" s="124"/>
      <c r="AP52" s="124"/>
      <c r="AQ52" s="124"/>
      <c r="AR52" s="124"/>
      <c r="AS52" s="124"/>
      <c r="AT52" s="1956"/>
      <c r="AU52" s="124"/>
      <c r="AV52" s="124"/>
      <c r="AW52" s="124"/>
      <c r="AX52" s="124"/>
      <c r="AY52" s="124"/>
      <c r="AZ52" s="124"/>
      <c r="BA52" s="124"/>
      <c r="BB52" s="124"/>
      <c r="BC52" s="124"/>
      <c r="BD52" s="310">
        <f>IF(AI52=0,0,(AT52-AI52)/AI52*100)</f>
        <v>0</v>
      </c>
      <c r="BE52" s="310">
        <f>IF(AT52=0,0,(AU52-AT52)/AT52*100)</f>
        <v>0</v>
      </c>
      <c r="BF52" s="310">
        <f>IF(AU52=0,0,(AV52-AU52)/AU52*100)</f>
        <v>0</v>
      </c>
      <c r="BG52" s="310">
        <f>IF(AV52=0,0,(AW52-AV52)/AV52*100)</f>
        <v>0</v>
      </c>
      <c r="BH52" s="310">
        <f>IF(AW52=0,0,(AX52-AW52)/AW52*100)</f>
        <v>0</v>
      </c>
      <c r="BI52" s="310">
        <f>IF(AX52=0,0,(AY52-AX52)/AX52*100)</f>
        <v>0</v>
      </c>
      <c r="BJ52" s="310">
        <f>IF(AY52=0,0,(AZ52-AY52)/AY52*100)</f>
        <v>0</v>
      </c>
      <c r="BK52" s="310">
        <f>IF(AZ52=0,0,(BA52-AZ52)/AZ52*100)</f>
        <v>0</v>
      </c>
      <c r="BL52" s="310">
        <f>IF(BA52=0,0,(BB52-BA52)/BA52*100)</f>
        <v>0</v>
      </c>
      <c r="BM52" s="310">
        <f>IF(BB52=0,0,(BC52-BB52)/BB52*100)</f>
        <v>0</v>
      </c>
      <c r="BN52" s="73"/>
      <c r="BO52" s="73"/>
      <c r="BP52" s="73"/>
      <c r="BS52" s="1235" t="s">
        <v>1686</v>
      </c>
      <c r="BT52" s="1243"/>
      <c r="BU52" s="1243"/>
      <c r="BV52" s="1244"/>
      <c r="BW52" s="1244"/>
      <c r="BX52" s="1271"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1" t="s">
        <v>1687</v>
      </c>
      <c r="D53" s="1260" t="s">
        <v>1688</v>
      </c>
      <c r="E53" s="797">
        <v>63.8</v>
      </c>
      <c r="F53" s="922" cm="1" t="str">
        <f t="array" ref="F53:F53">OFFSET(G53,-1,-1)</f>
        <v>0</v>
      </c>
      <c r="M53" s="1284"/>
      <c r="N53" s="1284" cm="1" t="str">
        <f t="array" ref="N53:N53">OFFSET(M53,-1,1)</f>
        <v>0</v>
      </c>
      <c r="O53" s="1285"/>
      <c r="P53" s="1285"/>
      <c r="Q53" s="1285"/>
      <c r="R53" s="1285"/>
      <c r="T53" s="808" cm="1" t="str">
        <f t="array" ref="T53:T53">T52</f>
        <v>false</v>
      </c>
      <c r="AB53" s="642" t="s">
        <v>693</v>
      </c>
      <c r="AC53" s="644" t="s">
        <v>1689</v>
      </c>
      <c r="AD53" s="499" t="s">
        <v>1023</v>
      </c>
      <c r="AE53" s="132"/>
      <c r="AF53" s="124"/>
      <c r="AG53" s="124"/>
      <c r="AH53" s="310">
        <f>AG53-AF53</f>
        <v>0</v>
      </c>
      <c r="AI53" s="124"/>
      <c r="AJ53" s="1956"/>
      <c r="AK53" s="124"/>
      <c r="AL53" s="124"/>
      <c r="AM53" s="124"/>
      <c r="AN53" s="124"/>
      <c r="AO53" s="124"/>
      <c r="AP53" s="124"/>
      <c r="AQ53" s="124"/>
      <c r="AR53" s="124"/>
      <c r="AS53" s="124"/>
      <c r="AT53" s="1956"/>
      <c r="AU53" s="124"/>
      <c r="AV53" s="124"/>
      <c r="AW53" s="124"/>
      <c r="AX53" s="124"/>
      <c r="AY53" s="124"/>
      <c r="AZ53" s="124"/>
      <c r="BA53" s="124"/>
      <c r="BB53" s="124"/>
      <c r="BC53" s="124"/>
      <c r="BD53" s="310">
        <f>IF(AI53=0,0,(AT53-AI53)/AI53*100)</f>
        <v>0</v>
      </c>
      <c r="BE53" s="310">
        <f>IF(AT53=0,0,(AU53-AT53)/AT53*100)</f>
        <v>0</v>
      </c>
      <c r="BF53" s="310">
        <f>IF(AU53=0,0,(AV53-AU53)/AU53*100)</f>
        <v>0</v>
      </c>
      <c r="BG53" s="310">
        <f>IF(AV53=0,0,(AW53-AV53)/AV53*100)</f>
        <v>0</v>
      </c>
      <c r="BH53" s="310">
        <f>IF(AW53=0,0,(AX53-AW53)/AW53*100)</f>
        <v>0</v>
      </c>
      <c r="BI53" s="310">
        <f>IF(AX53=0,0,(AY53-AX53)/AX53*100)</f>
        <v>0</v>
      </c>
      <c r="BJ53" s="310">
        <f>IF(AY53=0,0,(AZ53-AY53)/AY53*100)</f>
        <v>0</v>
      </c>
      <c r="BK53" s="310">
        <f>IF(AZ53=0,0,(BA53-AZ53)/AZ53*100)</f>
        <v>0</v>
      </c>
      <c r="BL53" s="310">
        <f>IF(BA53=0,0,(BB53-BA53)/BA53*100)</f>
        <v>0</v>
      </c>
      <c r="BM53" s="310">
        <f>IF(BB53=0,0,(BC53-BB53)/BB53*100)</f>
        <v>0</v>
      </c>
      <c r="BN53" s="69"/>
      <c r="BO53" s="69"/>
      <c r="BP53" s="69"/>
      <c r="BS53" s="1235" t="s">
        <v>1690</v>
      </c>
      <c r="BX53" s="1271"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1" t="s">
        <v>1691</v>
      </c>
      <c r="D54" s="1260" t="s">
        <v>1692</v>
      </c>
      <c r="E54" s="797">
        <v>17.1</v>
      </c>
      <c r="F54" s="922" cm="1" t="str">
        <f t="array" ref="F54:F54">OFFSET(G54,-1,-1)</f>
        <v>0</v>
      </c>
      <c r="M54" s="1284"/>
      <c r="N54" s="1284" cm="1" t="str">
        <f t="array" ref="N54:N54">OFFSET(M54,-1,1)</f>
        <v>0</v>
      </c>
      <c r="O54" s="1285"/>
      <c r="P54" s="1285"/>
      <c r="Q54" s="1285"/>
      <c r="R54" s="1285"/>
      <c r="T54" s="808" cm="1" t="str">
        <f t="array" ref="T54:T54">T53</f>
        <v>false</v>
      </c>
      <c r="AB54" s="160" t="s">
        <v>701</v>
      </c>
      <c r="AC54" s="613" t="s">
        <v>1693</v>
      </c>
      <c r="AD54" s="654" t="s">
        <v>1023</v>
      </c>
      <c r="AE54" s="615">
        <f>SUM(AE55:AE57)</f>
        <v>0</v>
      </c>
      <c r="AF54" s="615">
        <f>SUM(AF55:AF57)</f>
        <v>0</v>
      </c>
      <c r="AG54" s="657">
        <f>SUM(AG55:AG57)</f>
        <v>0</v>
      </c>
      <c r="AH54" s="310">
        <f>AG54-AF54</f>
        <v>0</v>
      </c>
      <c r="AI54" s="660">
        <f>SUM(AI55:AI57)</f>
        <v>0</v>
      </c>
      <c r="AJ54" s="615">
        <f>SUM(AJ55:AJ57)</f>
        <v>0</v>
      </c>
      <c r="AK54" s="615">
        <f>SUM(AK55:AK57)</f>
        <v>0</v>
      </c>
      <c r="AL54" s="615">
        <f>SUM(AL55:AL57)</f>
        <v>0</v>
      </c>
      <c r="AM54" s="615">
        <f>SUM(AM55:AM57)</f>
        <v>0</v>
      </c>
      <c r="AN54" s="615">
        <f>SUM(AN55:AN57)</f>
        <v>0</v>
      </c>
      <c r="AO54" s="615">
        <f>SUM(AO55:AO57)</f>
        <v>0</v>
      </c>
      <c r="AP54" s="615">
        <f>SUM(AP55:AP57)</f>
        <v>0</v>
      </c>
      <c r="AQ54" s="615">
        <f>SUM(AQ55:AQ57)</f>
        <v>0</v>
      </c>
      <c r="AR54" s="615">
        <f>SUM(AR55:AR57)</f>
        <v>0</v>
      </c>
      <c r="AS54" s="615">
        <f>SUM(AS55:AS57)</f>
        <v>0</v>
      </c>
      <c r="AT54" s="615">
        <f>SUM(AT55:AT57)</f>
        <v>0</v>
      </c>
      <c r="AU54" s="615">
        <f>SUM(AU55:AU57)</f>
        <v>0</v>
      </c>
      <c r="AV54" s="615">
        <f>SUM(AV55:AV57)</f>
        <v>0</v>
      </c>
      <c r="AW54" s="615">
        <f>SUM(AW55:AW57)</f>
        <v>0</v>
      </c>
      <c r="AX54" s="615">
        <f>SUM(AX55:AX57)</f>
        <v>0</v>
      </c>
      <c r="AY54" s="615">
        <f>SUM(AY55:AY57)</f>
        <v>0</v>
      </c>
      <c r="AZ54" s="615">
        <f>SUM(AZ55:AZ57)</f>
        <v>0</v>
      </c>
      <c r="BA54" s="615">
        <f>SUM(BA55:BA57)</f>
        <v>0</v>
      </c>
      <c r="BB54" s="615">
        <f>SUM(BB55:BB57)</f>
        <v>0</v>
      </c>
      <c r="BC54" s="615">
        <f>SUM(BC55:BC57)</f>
        <v>0</v>
      </c>
      <c r="BD54" s="310">
        <f>IF(AI54=0,0,(AT54-AI54)/AI54*100)</f>
        <v>0</v>
      </c>
      <c r="BE54" s="310">
        <f>IF(AT54=0,0,(AU54-AT54)/AT54*100)</f>
        <v>0</v>
      </c>
      <c r="BF54" s="310">
        <f>IF(AU54=0,0,(AV54-AU54)/AU54*100)</f>
        <v>0</v>
      </c>
      <c r="BG54" s="310">
        <f>IF(AV54=0,0,(AW54-AV54)/AV54*100)</f>
        <v>0</v>
      </c>
      <c r="BH54" s="310">
        <f>IF(AW54=0,0,(AX54-AW54)/AW54*100)</f>
        <v>0</v>
      </c>
      <c r="BI54" s="310">
        <f>IF(AX54=0,0,(AY54-AX54)/AX54*100)</f>
        <v>0</v>
      </c>
      <c r="BJ54" s="310">
        <f>IF(AY54=0,0,(AZ54-AY54)/AY54*100)</f>
        <v>0</v>
      </c>
      <c r="BK54" s="310">
        <f>IF(AZ54=0,0,(BA54-AZ54)/AZ54*100)</f>
        <v>0</v>
      </c>
      <c r="BL54" s="310">
        <f>IF(BA54=0,0,(BB54-BA54)/BA54*100)</f>
        <v>0</v>
      </c>
      <c r="BM54" s="310">
        <f>IF(BB54=0,0,(BC54-BB54)/BB54*100)</f>
        <v>0</v>
      </c>
      <c r="BN54" s="79"/>
      <c r="BO54" s="79"/>
      <c r="BP54" s="79"/>
      <c r="BS54" s="1235" t="s">
        <v>1270</v>
      </c>
      <c r="BX54" s="1271"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6" customFormat="1" customHeight="1" ht="17.25" hidden="1">
      <c r="C55" s="1301"/>
      <c r="D55" s="1260"/>
      <c r="E55" s="797">
        <v>0</v>
      </c>
      <c r="F55" s="922" cm="1" t="str">
        <f t="array" ref="F55:F55">OFFSET(G55,-1,-1)</f>
        <v>0</v>
      </c>
      <c r="M55" s="1284"/>
      <c r="N55" s="1284" cm="1" t="str">
        <f t="array" ref="N55:N55">OFFSET(M55,-1,1)</f>
        <v>0</v>
      </c>
      <c r="O55" s="1287"/>
      <c r="P55" s="1287"/>
      <c r="Q55" s="1287"/>
      <c r="R55" s="1287"/>
      <c r="S55" s="1977"/>
      <c r="T55" s="808" cm="1" t="str">
        <f t="array" ref="T55:T55">T54</f>
        <v>false</v>
      </c>
      <c r="AB55" s="651"/>
      <c r="AC55" s="652"/>
      <c r="AD55" s="580"/>
      <c r="AE55" s="616"/>
      <c r="AF55" s="616"/>
      <c r="AG55" s="133"/>
      <c r="AH55" s="616"/>
      <c r="AI55" s="1022"/>
      <c r="AJ55" s="616"/>
      <c r="AK55" s="616"/>
      <c r="AL55" s="616"/>
      <c r="AM55" s="616"/>
      <c r="AN55" s="616"/>
      <c r="AO55" s="616"/>
      <c r="AP55" s="616"/>
      <c r="AQ55" s="616"/>
      <c r="AR55" s="616"/>
      <c r="AS55" s="616"/>
      <c r="AT55" s="616"/>
      <c r="AU55" s="616"/>
      <c r="AV55" s="616"/>
      <c r="AW55" s="616"/>
      <c r="AX55" s="616"/>
      <c r="AY55" s="616"/>
      <c r="AZ55" s="616"/>
      <c r="BA55" s="616"/>
      <c r="BB55" s="616"/>
      <c r="BC55" s="616"/>
      <c r="BD55" s="647"/>
      <c r="BE55" s="647"/>
      <c r="BF55" s="647"/>
      <c r="BG55" s="647"/>
      <c r="BH55" s="647"/>
      <c r="BI55" s="647"/>
      <c r="BJ55" s="647"/>
      <c r="BK55" s="647"/>
      <c r="BL55" s="647"/>
      <c r="BM55" s="647"/>
      <c r="BN55" s="842"/>
      <c r="BO55" s="842"/>
      <c r="BP55" s="842"/>
      <c r="BS55" s="1235" t="str">
        <f>IF(AND(ISNUMBER(VALUE(TRIM(SUBSTITUTE(AB55,".","")))),TRIM(SUBSTITUTE(AB55,".",""))&lt;&gt;""),"P"&amp;SUBSTITUTE(AB55,".",""),"")</f>
        <v/>
      </c>
      <c r="BT55" s="1248"/>
      <c r="BU55" s="1248"/>
      <c r="BV55" s="1249"/>
      <c r="BW55" s="1249"/>
      <c r="BX55" s="1271"/>
    </row>
    <row customHeight="1" ht="16.672500000000003" hidden="1">
      <c r="C56" s="1301" t="s">
        <v>1691</v>
      </c>
      <c r="D56" s="1260" t="s">
        <v>1692</v>
      </c>
      <c r="E56" s="797">
        <v>17.1</v>
      </c>
      <c r="F56" s="922" cm="1" t="str">
        <f t="array" ref="F56:F56">OFFSET(G56,-1,-1)</f>
        <v>0</v>
      </c>
      <c r="M56" s="1288" cm="1" t="str">
        <f t="array" ref="M56:M56">AC56</f>
        <v>0</v>
      </c>
      <c r="N56" s="1284" cm="1" t="str">
        <f t="array" ref="N56:N56">OFFSET(M56,-1,1)</f>
        <v>0</v>
      </c>
      <c r="O56" s="1285"/>
      <c r="P56" s="1285"/>
      <c r="Q56" s="1285"/>
      <c r="R56" s="1285"/>
      <c r="T56" s="808">
        <f>AND(F56&gt;0,Y56&gt;0)</f>
        <v>0</v>
      </c>
      <c r="W56" s="175" t="s">
        <v>234</v>
      </c>
      <c r="Y56" s="175">
        <v>0</v>
      </c>
      <c r="AA56" s="1123" t="s">
        <v>218</v>
      </c>
      <c r="AB56" s="642" t="str">
        <f>"11."&amp;Y56</f>
        <v>11.0</v>
      </c>
      <c r="AC56" s="134"/>
      <c r="AD56" s="654" t="s">
        <v>1023</v>
      </c>
      <c r="AE56" s="124"/>
      <c r="AF56" s="124"/>
      <c r="AG56" s="135"/>
      <c r="AH56" s="310">
        <f>AG56-AF56</f>
        <v>0</v>
      </c>
      <c r="AI56" s="136"/>
      <c r="AJ56" s="1956"/>
      <c r="AK56" s="124"/>
      <c r="AL56" s="124"/>
      <c r="AM56" s="124"/>
      <c r="AN56" s="124"/>
      <c r="AO56" s="124"/>
      <c r="AP56" s="124"/>
      <c r="AQ56" s="124"/>
      <c r="AR56" s="124"/>
      <c r="AS56" s="124"/>
      <c r="AT56" s="1956"/>
      <c r="AU56" s="124"/>
      <c r="AV56" s="124"/>
      <c r="AW56" s="124"/>
      <c r="AX56" s="124"/>
      <c r="AY56" s="124"/>
      <c r="AZ56" s="124"/>
      <c r="BA56" s="124"/>
      <c r="BB56" s="124"/>
      <c r="BC56" s="124"/>
      <c r="BD56" s="310">
        <f>IF(AI56=0,0,(AT56-AI56)/AI56*100)</f>
        <v>0</v>
      </c>
      <c r="BE56" s="310">
        <f>IF(AT56=0,0,(AU56-AT56)/AT56*100)</f>
        <v>0</v>
      </c>
      <c r="BF56" s="310">
        <f>IF(AU56=0,0,(AV56-AU56)/AU56*100)</f>
        <v>0</v>
      </c>
      <c r="BG56" s="310">
        <f>IF(AV56=0,0,(AW56-AV56)/AV56*100)</f>
        <v>0</v>
      </c>
      <c r="BH56" s="310">
        <f>IF(AW56=0,0,(AX56-AW56)/AW56*100)</f>
        <v>0</v>
      </c>
      <c r="BI56" s="310">
        <f>IF(AX56=0,0,(AY56-AX56)/AX56*100)</f>
        <v>0</v>
      </c>
      <c r="BJ56" s="310">
        <f>IF(AY56=0,0,(AZ56-AY56)/AY56*100)</f>
        <v>0</v>
      </c>
      <c r="BK56" s="310">
        <f>IF(AZ56=0,0,(BA56-AZ56)/AZ56*100)</f>
        <v>0</v>
      </c>
      <c r="BL56" s="310">
        <f>IF(BA56=0,0,(BB56-BA56)/BA56*100)</f>
        <v>0</v>
      </c>
      <c r="BM56" s="310">
        <f>IF(BB56=0,0,(BC56-BB56)/BB56*100)</f>
        <v>0</v>
      </c>
      <c r="BN56" s="79"/>
      <c r="BO56" s="79"/>
      <c r="BP56" s="79"/>
      <c r="BS56" s="1235" t="s">
        <v>1270</v>
      </c>
      <c r="BT56" s="1235" t="s">
        <v>1200</v>
      </c>
      <c r="BU56" s="1245" cm="1" t="str">
        <f t="array" ref="BU56:BU56">AC56</f>
        <v>0</v>
      </c>
      <c r="BW56" s="1236" t="b">
        <v>1</v>
      </c>
      <c r="BX56" s="1271"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6" customFormat="1" customHeight="1" ht="16.672500000000003" hidden="1">
      <c r="C57" s="1301"/>
      <c r="D57" s="1260"/>
      <c r="E57" s="797">
        <v>17.1</v>
      </c>
      <c r="F57" s="922" cm="1" t="str">
        <f t="array" ref="F57:F57">OFFSET(G57,-1,-1)</f>
        <v>0</v>
      </c>
      <c r="M57" s="1284"/>
      <c r="N57" s="1284" cm="1" t="str">
        <f t="array" ref="N57:N57">OFFSET(M57,-1,1)</f>
        <v>0</v>
      </c>
      <c r="O57" s="1287"/>
      <c r="P57" s="1287"/>
      <c r="Q57" s="1287"/>
      <c r="R57" s="1287"/>
      <c r="S57" s="1977"/>
      <c r="T57" s="808">
        <f>F57&gt;0</f>
        <v>0</v>
      </c>
      <c r="W57" s="374" t="s">
        <v>1694</v>
      </c>
      <c r="AB57" s="302"/>
      <c r="AC57" s="735" t="s">
        <v>236</v>
      </c>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1106"/>
      <c r="BO57" s="1106"/>
      <c r="BP57" s="1101"/>
      <c r="BS57" s="1235" t="str">
        <f>IF(AND(ISNUMBER(VALUE(TRIM(SUBSTITUTE(AB57,".","")))),TRIM(SUBSTITUTE(AB57,".",""))&lt;&gt;""),"P"&amp;SUBSTITUTE(AB57,".",""),"")</f>
        <v/>
      </c>
      <c r="BT57" s="1248"/>
      <c r="BU57" s="1248"/>
      <c r="BV57" s="1249" t="s">
        <v>1200</v>
      </c>
      <c r="BW57" s="1249"/>
      <c r="BX57" s="1271"/>
    </row>
    <row customHeight="1" ht="14.625" hidden="1">
      <c r="C58" s="1301" t="s">
        <v>1695</v>
      </c>
      <c r="D58" s="1260" t="s">
        <v>1696</v>
      </c>
      <c r="E58" s="797">
        <v>15</v>
      </c>
      <c r="F58" s="922" cm="1" t="str">
        <f t="array" ref="F58:F58">OFFSET(G58,-1,-1)</f>
        <v>0</v>
      </c>
      <c r="M58" s="1284"/>
      <c r="N58" s="1284" cm="1" t="str">
        <f t="array" ref="N58:N58">OFFSET(M58,-1,1)</f>
        <v>0</v>
      </c>
      <c r="O58" s="1285"/>
      <c r="P58" s="1285"/>
      <c r="Q58" s="1285"/>
      <c r="R58" s="1285"/>
      <c r="T58" s="808" cm="1" t="str">
        <f t="array" ref="T58:T58">T57</f>
        <v>false</v>
      </c>
      <c r="AB58" s="649" t="s">
        <v>1697</v>
      </c>
      <c r="AC58" s="650" t="s">
        <v>1698</v>
      </c>
      <c r="AD58" s="664" t="s">
        <v>1023</v>
      </c>
      <c r="AE58" s="615">
        <f>AE28+AE29+AE30+IF(method_reg="Метод индексации",AE43+AE47,AE31+AE34)+AE49+AE50+AE51+AE52+AE53+AE54</f>
        <v>0</v>
      </c>
      <c r="AF58" s="615">
        <f>AF28+AF29+AF30+IF(method_reg="Метод индексации",AF43+AF47,AF31+AF34)+AF49+AF50+AF51+AF52+AF53+AF54</f>
        <v>0</v>
      </c>
      <c r="AG58" s="615">
        <f>AG28+AG29+AG30+IF(method_reg="Метод индексации",AG43+AG47,AG31+AG34)+AG49+AG50+AG51+AG52+AG53+AG54</f>
        <v>0</v>
      </c>
      <c r="AH58" s="310">
        <f>AG58-AF58</f>
        <v>0</v>
      </c>
      <c r="AI58" s="615">
        <f>AI28+AI29+AI30+IF(method_reg="Метод индексации",AI43+AI47,AI31+AI34)+AI49+AI50+AI51+AI52+AI53+AI54</f>
        <v>0</v>
      </c>
      <c r="AJ58" s="615">
        <f>AJ28+AJ29+AJ30+IF(method_reg="Метод индексации",AJ43+AJ47,AJ31+AJ34)+AJ49+AJ50+AJ51+AJ52+AJ53+AJ54</f>
        <v>0</v>
      </c>
      <c r="AK58" s="615">
        <f>AK28+AK29+AK30+IF(method_reg="Метод индексации",AK43+AK47,AK31+AK34)+AK49+AK50+AK51+AK52+AK53+AK54</f>
        <v>0</v>
      </c>
      <c r="AL58" s="615">
        <f>AL28+AL29+AL30+IF(method_reg="Метод индексации",AL43+AL47,AL31+AL34)+AL49+AL50+AL51+AL52+AL53+AL54</f>
        <v>0</v>
      </c>
      <c r="AM58" s="615">
        <f>AM28+AM29+AM30+IF(method_reg="Метод индексации",AM43+AM47,AM31+AM34)+AM49+AM50+AM51+AM52+AM53+AM54</f>
        <v>0</v>
      </c>
      <c r="AN58" s="615">
        <f>AN28+AN29+AN30+IF(method_reg="Метод индексации",AN43+AN47,AN31+AN34)+AN49+AN50+AN51+AN52+AN53+AN54</f>
        <v>0</v>
      </c>
      <c r="AO58" s="615">
        <f>AO28+AO29+AO30+IF(method_reg="Метод индексации",AO43+AO47,AO31+AO34)+AO49+AO50+AO51+AO52+AO53+AO54</f>
        <v>0</v>
      </c>
      <c r="AP58" s="615">
        <f>AP28+AP29+AP30+IF(method_reg="Метод индексации",AP43+AP47,AP31+AP34)+AP49+AP50+AP51+AP52+AP53+AP54</f>
        <v>0</v>
      </c>
      <c r="AQ58" s="615">
        <f>AQ28+AQ29+AQ30+IF(method_reg="Метод индексации",AQ43+AQ47,AQ31+AQ34)+AQ49+AQ50+AQ51+AQ52+AQ53+AQ54</f>
        <v>0</v>
      </c>
      <c r="AR58" s="615">
        <f>AR28+AR29+AR30+IF(method_reg="Метод индексации",AR43+AR47,AR31+AR34)+AR49+AR50+AR51+AR52+AR53+AR54</f>
        <v>0</v>
      </c>
      <c r="AS58" s="615">
        <f>AS28+AS29+AS30+IF(method_reg="Метод индексации",AS43+AS47,AS31+AS34)+AS49+AS50+AS51+AS52+AS53+AS54</f>
        <v>0</v>
      </c>
      <c r="AT58" s="615">
        <f>AT28+AT29+AT30+IF(method_reg="Метод индексации",AT43+AT47,AT31+AT34)+AT49+AT50+AT51+AT52+AT53+AT54</f>
        <v>0</v>
      </c>
      <c r="AU58" s="615">
        <f>AU28+AU29+AU30+IF(method_reg="Метод индексации",AU43+AU47,AU31+AU34)+AU49+AU50+AU51+AU52+AU53+AU54</f>
        <v>0</v>
      </c>
      <c r="AV58" s="615">
        <f>AV28+AV29+AV30+IF(method_reg="Метод индексации",AV43+AV47,AV31+AV34)+AV49+AV50+AV51+AV52+AV53+AV54</f>
        <v>0</v>
      </c>
      <c r="AW58" s="615">
        <f>AW28+AW29+AW30+IF(method_reg="Метод индексации",AW43+AW47,AW31+AW34)+AW49+AW50+AW51+AW52+AW53+AW54</f>
        <v>0</v>
      </c>
      <c r="AX58" s="615">
        <f>AX28+AX29+AX30+IF(method_reg="Метод индексации",AX43+AX47,AX31+AX34)+AX49+AX50+AX51+AX52+AX53+AX54</f>
        <v>0</v>
      </c>
      <c r="AY58" s="615">
        <f>AY28+AY29+AY30+IF(method_reg="Метод индексации",AY43+AY47,AY31+AY34)+AY49+AY50+AY51+AY52+AY53+AY54</f>
        <v>0</v>
      </c>
      <c r="AZ58" s="615">
        <f>AZ28+AZ29+AZ30+IF(method_reg="Метод индексации",AZ43+AZ47,AZ31+AZ34)+AZ49+AZ50+AZ51+AZ52+AZ53+AZ54</f>
        <v>0</v>
      </c>
      <c r="BA58" s="615">
        <f>BA28+BA29+BA30+IF(method_reg="Метод индексации",BA43+BA47,BA31+BA34)+BA49+BA50+BA51+BA52+BA53+BA54</f>
        <v>0</v>
      </c>
      <c r="BB58" s="615">
        <f>BB28+BB29+BB30+IF(method_reg="Метод индексации",BB43+BB47,BB31+BB34)+BB49+BB50+BB51+BB52+BB53+BB54</f>
        <v>0</v>
      </c>
      <c r="BC58" s="615">
        <f>BC28+BC29+BC30+IF(method_reg="Метод индексации",BC43+BC47,BC31+BC34)+BC49+BC50+BC51+BC52+BC53+BC54</f>
        <v>0</v>
      </c>
      <c r="BD58" s="310">
        <f>IF(AI58=0,0,(AT58-AI58)/AI58*100)</f>
        <v>0</v>
      </c>
      <c r="BE58" s="310">
        <f>IF(AT58=0,0,(AU58-AT58)/AT58*100)</f>
        <v>0</v>
      </c>
      <c r="BF58" s="310">
        <f>IF(AU58=0,0,(AV58-AU58)/AU58*100)</f>
        <v>0</v>
      </c>
      <c r="BG58" s="310">
        <f>IF(AV58=0,0,(AW58-AV58)/AV58*100)</f>
        <v>0</v>
      </c>
      <c r="BH58" s="310">
        <f>IF(AW58=0,0,(AX58-AW58)/AW58*100)</f>
        <v>0</v>
      </c>
      <c r="BI58" s="310">
        <f>IF(AX58=0,0,(AY58-AX58)/AX58*100)</f>
        <v>0</v>
      </c>
      <c r="BJ58" s="310">
        <f>IF(AY58=0,0,(AZ58-AY58)/AY58*100)</f>
        <v>0</v>
      </c>
      <c r="BK58" s="310">
        <f>IF(AZ58=0,0,(BA58-AZ58)/AZ58*100)</f>
        <v>0</v>
      </c>
      <c r="BL58" s="310">
        <f>IF(BA58=0,0,(BB58-BA58)/BA58*100)</f>
        <v>0</v>
      </c>
      <c r="BM58" s="310">
        <f>IF(BB58=0,0,(BC58-BB58)/BB58*100)</f>
        <v>0</v>
      </c>
      <c r="BN58" s="80"/>
      <c r="BO58" s="80"/>
      <c r="BP58" s="80"/>
      <c r="BS58" s="1235" t="s">
        <v>1699</v>
      </c>
      <c r="BX58" s="1271"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0" t="s">
        <v>1700</v>
      </c>
      <c r="D59" s="1260" t="s">
        <v>1701</v>
      </c>
      <c r="E59" s="797">
        <v>50</v>
      </c>
      <c r="F59" s="922" cm="1" t="str">
        <f t="array" ref="F59:F59">OFFSET(G59,-1,-1)</f>
        <v>0</v>
      </c>
      <c r="M59" s="1284"/>
      <c r="N59" s="1284" cm="1" t="str">
        <f t="array" ref="N59:N59">OFFSET(M59,-1,1)</f>
        <v>0</v>
      </c>
      <c r="O59" s="1285"/>
      <c r="P59" s="1285"/>
      <c r="Q59" s="1285"/>
      <c r="R59" s="1285"/>
      <c r="T59" s="808" cm="1" t="str">
        <f t="array" ref="T59:T59">T58</f>
        <v>false</v>
      </c>
      <c r="AB59" s="643" t="s">
        <v>1702</v>
      </c>
      <c r="AC59" s="1086" t="s">
        <v>1700</v>
      </c>
      <c r="AD59" s="654" t="s">
        <v>1023</v>
      </c>
      <c r="AE59" s="137"/>
      <c r="AF59" s="137"/>
      <c r="AG59" s="137"/>
      <c r="AH59" s="310">
        <f>AG59-AF59</f>
        <v>0</v>
      </c>
      <c r="AI59" s="137"/>
      <c r="AJ59" s="1978"/>
      <c r="AK59" s="137"/>
      <c r="AL59" s="137"/>
      <c r="AM59" s="137"/>
      <c r="AN59" s="137"/>
      <c r="AO59" s="137"/>
      <c r="AP59" s="137"/>
      <c r="AQ59" s="137"/>
      <c r="AR59" s="137"/>
      <c r="AS59" s="137"/>
      <c r="AT59" s="1978"/>
      <c r="AU59" s="137"/>
      <c r="AV59" s="137"/>
      <c r="AW59" s="137"/>
      <c r="AX59" s="137"/>
      <c r="AY59" s="137"/>
      <c r="AZ59" s="137"/>
      <c r="BA59" s="137"/>
      <c r="BB59" s="137"/>
      <c r="BC59" s="137"/>
      <c r="BD59" s="310">
        <f>IF(AI59=0,0,(AT59-AI59)/AI59*100)</f>
        <v>0</v>
      </c>
      <c r="BE59" s="310">
        <f>IF(AT59=0,0,(AU59-AT59)/AT59*100)</f>
        <v>0</v>
      </c>
      <c r="BF59" s="310">
        <f>IF(AU59=0,0,(AV59-AU59)/AU59*100)</f>
        <v>0</v>
      </c>
      <c r="BG59" s="310">
        <f>IF(AV59=0,0,(AW59-AV59)/AV59*100)</f>
        <v>0</v>
      </c>
      <c r="BH59" s="310">
        <f>IF(AW59=0,0,(AX59-AW59)/AW59*100)</f>
        <v>0</v>
      </c>
      <c r="BI59" s="310">
        <f>IF(AX59=0,0,(AY59-AX59)/AX59*100)</f>
        <v>0</v>
      </c>
      <c r="BJ59" s="310">
        <f>IF(AY59=0,0,(AZ59-AY59)/AY59*100)</f>
        <v>0</v>
      </c>
      <c r="BK59" s="310">
        <f>IF(AZ59=0,0,(BA59-AZ59)/AZ59*100)</f>
        <v>0</v>
      </c>
      <c r="BL59" s="310">
        <f>IF(BA59=0,0,(BB59-BA59)/BA59*100)</f>
        <v>0</v>
      </c>
      <c r="BM59" s="310">
        <f>IF(BB59=0,0,(BC59-BB59)/BB59*100)</f>
        <v>0</v>
      </c>
      <c r="BN59" s="80"/>
      <c r="BO59" s="80"/>
      <c r="BP59" s="80"/>
      <c r="BS59" s="1235" t="s">
        <v>1703</v>
      </c>
      <c r="BX59" s="1271"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1" t="s">
        <v>1704</v>
      </c>
      <c r="D60" s="1260" t="s">
        <v>1705</v>
      </c>
      <c r="E60" s="797">
        <v>15</v>
      </c>
      <c r="F60" s="922" cm="1" t="str">
        <f t="array" ref="F60:F60">OFFSET(G60,-1,-1)</f>
        <v>0</v>
      </c>
      <c r="G60" s="193" t="s">
        <v>1706</v>
      </c>
      <c r="M60" s="1284"/>
      <c r="N60" s="1284" cm="1" t="str">
        <f t="array" ref="N60:N60">OFFSET(M60,-1,1)</f>
        <v>0</v>
      </c>
      <c r="O60" s="1289"/>
      <c r="P60" s="1285"/>
      <c r="Q60" s="1285"/>
      <c r="R60" s="1289"/>
      <c r="T60" s="808" cm="1" t="str">
        <f t="array" ref="T60:T60">T59</f>
        <v>false</v>
      </c>
      <c r="AB60" s="649" t="s">
        <v>1707</v>
      </c>
      <c r="AC60" s="1073" t="s">
        <v>1708</v>
      </c>
      <c r="AD60" s="654" t="s">
        <v>1023</v>
      </c>
      <c r="AE60" s="694">
        <f>AE58+AE59</f>
        <v>0</v>
      </c>
      <c r="AF60" s="694">
        <f>AF58+AF59</f>
        <v>0</v>
      </c>
      <c r="AG60" s="694">
        <f>AG58+AG59</f>
        <v>0</v>
      </c>
      <c r="AH60" s="310">
        <f>AG60-AF60</f>
        <v>0</v>
      </c>
      <c r="AI60" s="694">
        <f>AI58+AI59</f>
        <v>0</v>
      </c>
      <c r="AJ60" s="694">
        <f>AJ58+AJ59</f>
        <v>0</v>
      </c>
      <c r="AK60" s="694">
        <f>AK58+AK59</f>
        <v>0</v>
      </c>
      <c r="AL60" s="694">
        <f>AL58+AL59</f>
        <v>0</v>
      </c>
      <c r="AM60" s="694">
        <f>AM58+AM59</f>
        <v>0</v>
      </c>
      <c r="AN60" s="694">
        <f>AN58+AN59</f>
        <v>0</v>
      </c>
      <c r="AO60" s="694">
        <f>AO58+AO59</f>
        <v>0</v>
      </c>
      <c r="AP60" s="694">
        <f>AP58+AP59</f>
        <v>0</v>
      </c>
      <c r="AQ60" s="694">
        <f>AQ58+AQ59</f>
        <v>0</v>
      </c>
      <c r="AR60" s="694">
        <f>AR58+AR59</f>
        <v>0</v>
      </c>
      <c r="AS60" s="694">
        <f>AS58+AS59</f>
        <v>0</v>
      </c>
      <c r="AT60" s="694">
        <f>AT58+AT59</f>
        <v>0</v>
      </c>
      <c r="AU60" s="694">
        <f>AU58+AU59</f>
        <v>0</v>
      </c>
      <c r="AV60" s="694">
        <f>AV58+AV59</f>
        <v>0</v>
      </c>
      <c r="AW60" s="694">
        <f>AW58+AW59</f>
        <v>0</v>
      </c>
      <c r="AX60" s="694">
        <f>AX58+AX59</f>
        <v>0</v>
      </c>
      <c r="AY60" s="694">
        <f>AY58+AY59</f>
        <v>0</v>
      </c>
      <c r="AZ60" s="694">
        <f>AZ58+AZ59</f>
        <v>0</v>
      </c>
      <c r="BA60" s="694">
        <f>BA58+BA59</f>
        <v>0</v>
      </c>
      <c r="BB60" s="694">
        <f>BB58+BB59</f>
        <v>0</v>
      </c>
      <c r="BC60" s="694">
        <f>BC58+BC59</f>
        <v>0</v>
      </c>
      <c r="BD60" s="310">
        <f>IF(AI60=0,0,(AT60-AI60)/AI60*100)</f>
        <v>0</v>
      </c>
      <c r="BE60" s="310">
        <f>IF(AT60=0,0,(AU60-AT60)/AT60*100)</f>
        <v>0</v>
      </c>
      <c r="BF60" s="310">
        <f>IF(AU60=0,0,(AV60-AU60)/AU60*100)</f>
        <v>0</v>
      </c>
      <c r="BG60" s="310">
        <f>IF(AV60=0,0,(AW60-AV60)/AV60*100)</f>
        <v>0</v>
      </c>
      <c r="BH60" s="310">
        <f>IF(AW60=0,0,(AX60-AW60)/AW60*100)</f>
        <v>0</v>
      </c>
      <c r="BI60" s="310">
        <f>IF(AX60=0,0,(AY60-AX60)/AX60*100)</f>
        <v>0</v>
      </c>
      <c r="BJ60" s="310">
        <f>IF(AY60=0,0,(AZ60-AY60)/AY60*100)</f>
        <v>0</v>
      </c>
      <c r="BK60" s="310">
        <f>IF(AZ60=0,0,(BA60-AZ60)/AZ60*100)</f>
        <v>0</v>
      </c>
      <c r="BL60" s="310">
        <f>IF(BA60=0,0,(BB60-BA60)/BA60*100)</f>
        <v>0</v>
      </c>
      <c r="BM60" s="310">
        <f>IF(BB60=0,0,(BC60-BB60)/BB60*100)</f>
        <v>0</v>
      </c>
      <c r="BN60" s="80"/>
      <c r="BO60" s="80"/>
      <c r="BP60" s="80"/>
      <c r="BS60" s="1235" t="s">
        <v>1709</v>
      </c>
      <c r="BX60" s="1271"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0" t="s">
        <v>1710</v>
      </c>
      <c r="D61" s="1260" t="s">
        <v>1711</v>
      </c>
      <c r="E61" s="797">
        <v>15</v>
      </c>
      <c r="F61" s="922" cm="1" t="str">
        <f t="array" ref="F61:F61">OFFSET(G61,-1,-1)</f>
        <v>0</v>
      </c>
      <c r="G61" s="193" t="s">
        <v>966</v>
      </c>
      <c r="L61" s="193" t="s">
        <v>1712</v>
      </c>
      <c r="M61" s="1284"/>
      <c r="N61" s="1284" cm="1" t="str">
        <f t="array" ref="N61:N61">OFFSET(M61,-1,1)</f>
        <v>0</v>
      </c>
      <c r="O61" s="1289"/>
      <c r="P61" s="1285"/>
      <c r="Q61" s="1285"/>
      <c r="R61" s="1289"/>
      <c r="T61" s="808">
        <f>AND(F61&gt;0,G27="двухставочный")</f>
        <v>0</v>
      </c>
      <c r="AB61" s="663" t="str">
        <f>AB60&amp;".1"</f>
        <v>14.1</v>
      </c>
      <c r="AC61" s="619" t="s">
        <v>1713</v>
      </c>
      <c r="AD61" s="312" t="s">
        <v>810</v>
      </c>
      <c r="AE61" s="124">
        <f>_xlfn.SUMIFS('Ресурсы (5.4)'!AE$26:AE$47,'Ресурсы (5.4)'!$F$26:$F$47,$F61,'Ресурсы (5.4)'!$AB$26:$AB$47,"6.1")</f>
        <v>0</v>
      </c>
      <c r="AF61" s="124">
        <f>_xlfn.SUMIFS('Ресурсы (5.4)'!AF$26:AF$47,'Ресурсы (5.4)'!$F$26:$F$47,$F61,'Ресурсы (5.4)'!$AB$26:$AB$47,"6.1")</f>
        <v>0</v>
      </c>
      <c r="AG61" s="124">
        <f>_xlfn.SUMIFS('Ресурсы (5.4)'!AG$26:AG$47,'Ресурсы (5.4)'!$F$26:$F$47,$F61,'Ресурсы (5.4)'!$AB$26:$AB$47,"6.1")</f>
        <v>0</v>
      </c>
      <c r="AH61" s="310">
        <f>AG61-AF61</f>
        <v>0</v>
      </c>
      <c r="AI61" s="124">
        <f>_xlfn.SUMIFS('Ресурсы (5.4)'!AI$26:AI$47,'Ресурсы (5.4)'!$F$26:$F$47,$F61,'Ресурсы (5.4)'!$AB$26:$AB$47,"6.1")</f>
        <v>0</v>
      </c>
      <c r="AJ61" s="1956">
        <f>_xlfn.SUMIFS('Ресурсы (5.4)'!AJ$26:AJ$47,'Ресурсы (5.4)'!$F$26:$F$47,$F61,'Ресурсы (5.4)'!$AB$26:$AB$47,"6.1")</f>
        <v>0</v>
      </c>
      <c r="AK61" s="124">
        <f>_xlfn.SUMIFS('Ресурсы (5.4)'!AK$26:AK$47,'Ресурсы (5.4)'!$F$26:$F$47,$F61,'Ресурсы (5.4)'!$AB$26:$AB$47,"6.1")</f>
        <v>0</v>
      </c>
      <c r="AL61" s="124">
        <f>_xlfn.SUMIFS('Ресурсы (5.4)'!AL$26:AL$47,'Ресурсы (5.4)'!$F$26:$F$47,$F61,'Ресурсы (5.4)'!$AB$26:$AB$47,"6.1")</f>
        <v>0</v>
      </c>
      <c r="AM61" s="124">
        <f>_xlfn.SUMIFS('Ресурсы (5.4)'!AM$26:AM$47,'Ресурсы (5.4)'!$F$26:$F$47,$F61,'Ресурсы (5.4)'!$AB$26:$AB$47,"6.1")</f>
        <v>0</v>
      </c>
      <c r="AN61" s="124">
        <f>_xlfn.SUMIFS('Ресурсы (5.4)'!AN$26:AN$47,'Ресурсы (5.4)'!$F$26:$F$47,$F61,'Ресурсы (5.4)'!$AB$26:$AB$47,"6.1")</f>
        <v>0</v>
      </c>
      <c r="AO61" s="124">
        <f>_xlfn.SUMIFS('Ресурсы (5.4)'!AO$26:AO$47,'Ресурсы (5.4)'!$F$26:$F$47,$F61,'Ресурсы (5.4)'!$AB$26:$AB$47,"6.1")</f>
        <v>0</v>
      </c>
      <c r="AP61" s="124">
        <f>_xlfn.SUMIFS('Ресурсы (5.4)'!AP$26:AP$47,'Ресурсы (5.4)'!$F$26:$F$47,$F61,'Ресурсы (5.4)'!$AB$26:$AB$47,"6.1")</f>
        <v>0</v>
      </c>
      <c r="AQ61" s="124">
        <f>_xlfn.SUMIFS('Ресурсы (5.4)'!AQ$26:AQ$47,'Ресурсы (5.4)'!$F$26:$F$47,$F61,'Ресурсы (5.4)'!$AB$26:$AB$47,"6.1")</f>
        <v>0</v>
      </c>
      <c r="AR61" s="124">
        <f>_xlfn.SUMIFS('Ресурсы (5.4)'!AR$26:AR$47,'Ресурсы (5.4)'!$F$26:$F$47,$F61,'Ресурсы (5.4)'!$AB$26:$AB$47,"6.1")</f>
        <v>0</v>
      </c>
      <c r="AS61" s="124">
        <f>_xlfn.SUMIFS('Ресурсы (5.4)'!AS$26:AS$47,'Ресурсы (5.4)'!$F$26:$F$47,$F61,'Ресурсы (5.4)'!$AB$26:$AB$47,"6.1")</f>
        <v>0</v>
      </c>
      <c r="AT61" s="1956">
        <f>_xlfn.SUMIFS('Ресурсы (5.4)'!AT$26:AT$47,'Ресурсы (5.4)'!$F$26:$F$47,$F61,'Ресурсы (5.4)'!$AB$26:$AB$47,"6.1")</f>
        <v>0</v>
      </c>
      <c r="AU61" s="124">
        <f>_xlfn.SUMIFS('Ресурсы (5.4)'!AU$26:AU$47,'Ресурсы (5.4)'!$F$26:$F$47,$F61,'Ресурсы (5.4)'!$AB$26:$AB$47,"6.1")</f>
        <v>0</v>
      </c>
      <c r="AV61" s="124">
        <f>_xlfn.SUMIFS('Ресурсы (5.4)'!AV$26:AV$47,'Ресурсы (5.4)'!$F$26:$F$47,$F61,'Ресурсы (5.4)'!$AB$26:$AB$47,"6.1")</f>
        <v>0</v>
      </c>
      <c r="AW61" s="124">
        <f>_xlfn.SUMIFS('Ресурсы (5.4)'!AW$26:AW$47,'Ресурсы (5.4)'!$F$26:$F$47,$F61,'Ресурсы (5.4)'!$AB$26:$AB$47,"6.1")</f>
        <v>0</v>
      </c>
      <c r="AX61" s="124">
        <f>_xlfn.SUMIFS('Ресурсы (5.4)'!AX$26:AX$47,'Ресурсы (5.4)'!$F$26:$F$47,$F61,'Ресурсы (5.4)'!$AB$26:$AB$47,"6.1")</f>
        <v>0</v>
      </c>
      <c r="AY61" s="124">
        <f>_xlfn.SUMIFS('Ресурсы (5.4)'!AY$26:AY$47,'Ресурсы (5.4)'!$F$26:$F$47,$F61,'Ресурсы (5.4)'!$AB$26:$AB$47,"6.1")</f>
        <v>0</v>
      </c>
      <c r="AZ61" s="124">
        <f>_xlfn.SUMIFS('Ресурсы (5.4)'!AZ$26:AZ$47,'Ресурсы (5.4)'!$F$26:$F$47,$F61,'Ресурсы (5.4)'!$AB$26:$AB$47,"6.1")</f>
        <v>0</v>
      </c>
      <c r="BA61" s="124">
        <f>_xlfn.SUMIFS('Ресурсы (5.4)'!BA$26:BA$47,'Ресурсы (5.4)'!$F$26:$F$47,$F61,'Ресурсы (5.4)'!$AB$26:$AB$47,"6.1")</f>
        <v>0</v>
      </c>
      <c r="BB61" s="124">
        <f>_xlfn.SUMIFS('Ресурсы (5.4)'!BB$26:BB$47,'Ресурсы (5.4)'!$F$26:$F$47,$F61,'Ресурсы (5.4)'!$AB$26:$AB$47,"6.1")</f>
        <v>0</v>
      </c>
      <c r="BC61" s="124">
        <f>_xlfn.SUMIFS('Ресурсы (5.4)'!BC$26:BC$47,'Ресурсы (5.4)'!$F$26:$F$47,$F61,'Ресурсы (5.4)'!$AB$26:$AB$47,"6.1")</f>
        <v>0</v>
      </c>
      <c r="BD61" s="310">
        <f>IF(AI61=0,0,(AT61-AI61)/AI61*100)</f>
        <v>0</v>
      </c>
      <c r="BE61" s="310">
        <f>IF(AT61=0,0,(AU61-AT61)/AT61*100)</f>
        <v>0</v>
      </c>
      <c r="BF61" s="310">
        <f>IF(AU61=0,0,(AV61-AU61)/AU61*100)</f>
        <v>0</v>
      </c>
      <c r="BG61" s="310">
        <f>IF(AV61=0,0,(AW61-AV61)/AV61*100)</f>
        <v>0</v>
      </c>
      <c r="BH61" s="310">
        <f>IF(AW61=0,0,(AX61-AW61)/AW61*100)</f>
        <v>0</v>
      </c>
      <c r="BI61" s="310">
        <f>IF(AX61=0,0,(AY61-AX61)/AX61*100)</f>
        <v>0</v>
      </c>
      <c r="BJ61" s="310">
        <f>IF(AY61=0,0,(AZ61-AY61)/AY61*100)</f>
        <v>0</v>
      </c>
      <c r="BK61" s="310">
        <f>IF(AZ61=0,0,(BA61-AZ61)/AZ61*100)</f>
        <v>0</v>
      </c>
      <c r="BL61" s="310">
        <f>IF(BA61=0,0,(BB61-BA61)/BA61*100)</f>
        <v>0</v>
      </c>
      <c r="BM61" s="310">
        <f>IF(BB61=0,0,(BC61-BB61)/BB61*100)</f>
        <v>0</v>
      </c>
      <c r="BN61" s="73"/>
      <c r="BO61" s="73"/>
      <c r="BP61" s="73"/>
      <c r="BS61" s="1235" t="s">
        <v>1714</v>
      </c>
      <c r="BX61" s="1271"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0" t="s">
        <v>1715</v>
      </c>
      <c r="D62" s="1260" t="s">
        <v>1716</v>
      </c>
      <c r="E62" s="797">
        <v>15</v>
      </c>
      <c r="F62" s="922" cm="1" t="str">
        <f t="array" ref="F62:F62">OFFSET(G62,-1,-1)</f>
        <v>0</v>
      </c>
      <c r="L62" s="193" t="s">
        <v>1712</v>
      </c>
      <c r="M62" s="1284"/>
      <c r="N62" s="1284" cm="1" t="str">
        <f t="array" ref="N62:N62">OFFSET(M62,-1,1)</f>
        <v>0</v>
      </c>
      <c r="O62" s="1289"/>
      <c r="P62" s="1285"/>
      <c r="Q62" s="1285"/>
      <c r="R62" s="1289"/>
      <c r="T62" s="808" cm="1" t="str">
        <f t="array" ref="T62:T62">T61</f>
        <v>false</v>
      </c>
      <c r="AB62" s="663" t="str">
        <f>AB60&amp;".2"</f>
        <v>14.2</v>
      </c>
      <c r="AC62" s="619" t="s">
        <v>1715</v>
      </c>
      <c r="AD62" s="312" t="s">
        <v>810</v>
      </c>
      <c r="AE62" s="615">
        <f>AE60-AE61</f>
        <v>0</v>
      </c>
      <c r="AF62" s="615">
        <f>AF60-AF61</f>
        <v>0</v>
      </c>
      <c r="AG62" s="615">
        <f>AG60-AG61</f>
        <v>0</v>
      </c>
      <c r="AH62" s="310">
        <f>AG62-AF62</f>
        <v>0</v>
      </c>
      <c r="AI62" s="615">
        <f>AI60-AI61</f>
        <v>0</v>
      </c>
      <c r="AJ62" s="615">
        <f>AJ60-AJ61</f>
        <v>0</v>
      </c>
      <c r="AK62" s="615">
        <f>AK60-AK61</f>
        <v>0</v>
      </c>
      <c r="AL62" s="615">
        <f>AL60-AL61</f>
        <v>0</v>
      </c>
      <c r="AM62" s="615">
        <f>AM60-AM61</f>
        <v>0</v>
      </c>
      <c r="AN62" s="615">
        <f>AN60-AN61</f>
        <v>0</v>
      </c>
      <c r="AO62" s="615">
        <f>AO60-AO61</f>
        <v>0</v>
      </c>
      <c r="AP62" s="615">
        <f>AP60-AP61</f>
        <v>0</v>
      </c>
      <c r="AQ62" s="615">
        <f>AQ60-AQ61</f>
        <v>0</v>
      </c>
      <c r="AR62" s="615">
        <f>AR60-AR61</f>
        <v>0</v>
      </c>
      <c r="AS62" s="615">
        <f>AS60-AS61</f>
        <v>0</v>
      </c>
      <c r="AT62" s="615">
        <f>AT60-AT61</f>
        <v>0</v>
      </c>
      <c r="AU62" s="615">
        <f>AU60-AU61</f>
        <v>0</v>
      </c>
      <c r="AV62" s="615">
        <f>AV60-AV61</f>
        <v>0</v>
      </c>
      <c r="AW62" s="615">
        <f>AW60-AW61</f>
        <v>0</v>
      </c>
      <c r="AX62" s="615">
        <f>AX60-AX61</f>
        <v>0</v>
      </c>
      <c r="AY62" s="615">
        <f>AY60-AY61</f>
        <v>0</v>
      </c>
      <c r="AZ62" s="615">
        <f>AZ60-AZ61</f>
        <v>0</v>
      </c>
      <c r="BA62" s="615">
        <f>BA60-BA61</f>
        <v>0</v>
      </c>
      <c r="BB62" s="615">
        <f>BB60-BB61</f>
        <v>0</v>
      </c>
      <c r="BC62" s="657">
        <f>BC60-BC61</f>
        <v>0</v>
      </c>
      <c r="BD62" s="310">
        <f>IF(AI62=0,0,(AT62-AI62)/AI62*100)</f>
        <v>0</v>
      </c>
      <c r="BE62" s="310">
        <f>IF(AT62=0,0,(AU62-AT62)/AT62*100)</f>
        <v>0</v>
      </c>
      <c r="BF62" s="310">
        <f>IF(AU62=0,0,(AV62-AU62)/AU62*100)</f>
        <v>0</v>
      </c>
      <c r="BG62" s="310">
        <f>IF(AV62=0,0,(AW62-AV62)/AV62*100)</f>
        <v>0</v>
      </c>
      <c r="BH62" s="310">
        <f>IF(AW62=0,0,(AX62-AW62)/AW62*100)</f>
        <v>0</v>
      </c>
      <c r="BI62" s="310">
        <f>IF(AX62=0,0,(AY62-AX62)/AX62*100)</f>
        <v>0</v>
      </c>
      <c r="BJ62" s="310">
        <f>IF(AY62=0,0,(AZ62-AY62)/AY62*100)</f>
        <v>0</v>
      </c>
      <c r="BK62" s="310">
        <f>IF(AZ62=0,0,(BA62-AZ62)/AZ62*100)</f>
        <v>0</v>
      </c>
      <c r="BL62" s="310">
        <f>IF(BA62=0,0,(BB62-BA62)/BA62*100)</f>
        <v>0</v>
      </c>
      <c r="BM62" s="310">
        <f>IF(BB62=0,0,(BC62-BB62)/BB62*100)</f>
        <v>0</v>
      </c>
      <c r="BN62" s="73"/>
      <c r="BO62" s="73"/>
      <c r="BP62" s="73"/>
      <c r="BS62" s="1235" t="s">
        <v>1717</v>
      </c>
      <c r="BX62" s="1271"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1" t="s">
        <v>1718</v>
      </c>
      <c r="D63" s="1260" t="s">
        <v>1719</v>
      </c>
      <c r="E63" s="797">
        <v>15</v>
      </c>
      <c r="F63" s="922" cm="1" t="str">
        <f t="array" ref="F63:F63">OFFSET(G63,-1,-1)</f>
        <v>0</v>
      </c>
      <c r="M63" s="1284"/>
      <c r="N63" s="1284" cm="1" t="str">
        <f t="array" ref="N63:N63">OFFSET(M63,-1,1)</f>
        <v>0</v>
      </c>
      <c r="O63" s="1285"/>
      <c r="P63" s="1285"/>
      <c r="Q63" s="1285"/>
      <c r="R63" s="1285"/>
      <c r="T63" s="808" cm="1" t="str">
        <f t="array" ref="T63:T63">T60</f>
        <v>false</v>
      </c>
      <c r="AB63" s="317" t="s">
        <v>1720</v>
      </c>
      <c r="AC63" s="313" t="s">
        <v>1721</v>
      </c>
      <c r="AD63" s="318" t="s">
        <v>599</v>
      </c>
      <c r="AE63" s="1979">
        <f>IF($K27="передача тепловой энергии",_xlfn.SUMIFS('Баланс Тр'!AE$27:AE$43,'Баланс Тр'!$F$27:$F$43,$F63,'Баланс Тр'!$AB$27:$AB$43,"3"),_xlfn.SUMIFS('Баланс Пр'!AE$27:AE$165,'Баланс Пр'!$F$27:$F$165,$F63,'Баланс Пр'!$AB$27:$AB$165,"9.1"))</f>
        <v>0</v>
      </c>
      <c r="AF63" s="616"/>
      <c r="AG63" s="616"/>
      <c r="AH63" s="616"/>
      <c r="AI63" s="1979">
        <f>IF($K27="передача тепловой энергии",_xlfn.SUMIFS('Баланс Тр'!AH$27:AH$43,'Баланс Тр'!$F$27:$F$43,$F63,'Баланс Тр'!$AB$27:$AB$43,"3"),_xlfn.SUMIFS('Баланс Пр'!AH$27:AH$165,'Баланс Пр'!$F$27:$F$165,$F63,'Баланс Пр'!$AB$27:$AB$165,"9.1"))</f>
        <v>0</v>
      </c>
      <c r="AJ63" s="1979">
        <f>IF($K27="передача тепловой энергии",_xlfn.SUMIFS('Баланс Тр'!AI$27:AI$43,'Баланс Тр'!$F$27:$F$43,$F63,'Баланс Тр'!$AB$27:$AB$43,"3"),_xlfn.SUMIFS('Баланс Пр'!AI$27:AI$165,'Баланс Пр'!$F$27:$F$165,$F63,'Баланс Пр'!$AB$27:$AB$165,"9.1"))</f>
        <v>0</v>
      </c>
      <c r="AK63" s="1979">
        <f>IF($K27="передача тепловой энергии",_xlfn.SUMIFS('Баланс Тр'!AJ$27:AJ$43,'Баланс Тр'!$F$27:$F$43,$F63,'Баланс Тр'!$AB$27:$AB$43,"3"),_xlfn.SUMIFS('Баланс Пр'!AJ$27:AJ$165,'Баланс Пр'!$F$27:$F$165,$F63,'Баланс Пр'!$AB$27:$AB$165,"9.1"))</f>
        <v>0</v>
      </c>
      <c r="AL63" s="1979">
        <f>IF($K27="передача тепловой энергии",_xlfn.SUMIFS('Баланс Тр'!AK$27:AK$43,'Баланс Тр'!$F$27:$F$43,$F63,'Баланс Тр'!$AB$27:$AB$43,"3"),_xlfn.SUMIFS('Баланс Пр'!AK$27:AK$165,'Баланс Пр'!$F$27:$F$165,$F63,'Баланс Пр'!$AB$27:$AB$165,"9.1"))</f>
        <v>0</v>
      </c>
      <c r="AM63" s="1979">
        <f>IF($K27="передача тепловой энергии",_xlfn.SUMIFS('Баланс Тр'!AL$27:AL$43,'Баланс Тр'!$F$27:$F$43,$F63,'Баланс Тр'!$AB$27:$AB$43,"3"),_xlfn.SUMIFS('Баланс Пр'!AL$27:AL$165,'Баланс Пр'!$F$27:$F$165,$F63,'Баланс Пр'!$AB$27:$AB$165,"9.1"))</f>
        <v>0</v>
      </c>
      <c r="AN63" s="1979">
        <f>IF($K27="передача тепловой энергии",_xlfn.SUMIFS('Баланс Тр'!AM$27:AM$43,'Баланс Тр'!$F$27:$F$43,$F63,'Баланс Тр'!$AB$27:$AB$43,"3"),_xlfn.SUMIFS('Баланс Пр'!AM$27:AM$165,'Баланс Пр'!$F$27:$F$165,$F63,'Баланс Пр'!$AB$27:$AB$165,"9.1"))</f>
        <v>0</v>
      </c>
      <c r="AO63" s="1979">
        <f>IF($K27="передача тепловой энергии",_xlfn.SUMIFS('Баланс Тр'!AN$27:AN$43,'Баланс Тр'!$F$27:$F$43,$F63,'Баланс Тр'!$AB$27:$AB$43,"3"),_xlfn.SUMIFS('Баланс Пр'!AN$27:AN$165,'Баланс Пр'!$F$27:$F$165,$F63,'Баланс Пр'!$AB$27:$AB$165,"9.1"))</f>
        <v>0</v>
      </c>
      <c r="AP63" s="1979">
        <f>IF($K27="передача тепловой энергии",_xlfn.SUMIFS('Баланс Тр'!AO$27:AO$43,'Баланс Тр'!$F$27:$F$43,$F63,'Баланс Тр'!$AB$27:$AB$43,"3"),_xlfn.SUMIFS('Баланс Пр'!AO$27:AO$165,'Баланс Пр'!$F$27:$F$165,$F63,'Баланс Пр'!$AB$27:$AB$165,"9.1"))</f>
        <v>0</v>
      </c>
      <c r="AQ63" s="1979">
        <f>IF($K27="передача тепловой энергии",_xlfn.SUMIFS('Баланс Тр'!AP$27:AP$43,'Баланс Тр'!$F$27:$F$43,$F63,'Баланс Тр'!$AB$27:$AB$43,"3"),_xlfn.SUMIFS('Баланс Пр'!AP$27:AP$165,'Баланс Пр'!$F$27:$F$165,$F63,'Баланс Пр'!$AB$27:$AB$165,"9.1"))</f>
        <v>0</v>
      </c>
      <c r="AR63" s="1979">
        <f>IF($K27="передача тепловой энергии",_xlfn.SUMIFS('Баланс Тр'!AQ$27:AQ$43,'Баланс Тр'!$F$27:$F$43,$F63,'Баланс Тр'!$AB$27:$AB$43,"3"),_xlfn.SUMIFS('Баланс Пр'!AQ$27:AQ$165,'Баланс Пр'!$F$27:$F$165,$F63,'Баланс Пр'!$AB$27:$AB$165,"9.1"))</f>
        <v>0</v>
      </c>
      <c r="AS63" s="1979">
        <f>IF($K27="передача тепловой энергии",_xlfn.SUMIFS('Баланс Тр'!AR$27:AR$43,'Баланс Тр'!$F$27:$F$43,$F63,'Баланс Тр'!$AB$27:$AB$43,"3"),_xlfn.SUMIFS('Баланс Пр'!AR$27:AR$165,'Баланс Пр'!$F$27:$F$165,$F63,'Баланс Пр'!$AB$27:$AB$165,"9.1"))</f>
        <v>0</v>
      </c>
      <c r="AT63" s="1979">
        <f>IF($K27="передача тепловой энергии",_xlfn.SUMIFS('Баланс Тр'!AS$27:AS$43,'Баланс Тр'!$F$27:$F$43,$F63,'Баланс Тр'!$AB$27:$AB$43,"3"),_xlfn.SUMIFS('Баланс Пр'!AS$27:AS$165,'Баланс Пр'!$F$27:$F$165,$F63,'Баланс Пр'!$AB$27:$AB$165,"9.1"))</f>
        <v>0</v>
      </c>
      <c r="AU63" s="1979">
        <f>IF($K27="передача тепловой энергии",_xlfn.SUMIFS('Баланс Тр'!AT$27:AT$43,'Баланс Тр'!$F$27:$F$43,$F63,'Баланс Тр'!$AB$27:$AB$43,"3"),_xlfn.SUMIFS('Баланс Пр'!AT$27:AT$165,'Баланс Пр'!$F$27:$F$165,$F63,'Баланс Пр'!$AB$27:$AB$165,"9.1"))</f>
        <v>0</v>
      </c>
      <c r="AV63" s="1979">
        <f>IF($K27="передача тепловой энергии",_xlfn.SUMIFS('Баланс Тр'!AU$27:AU$43,'Баланс Тр'!$F$27:$F$43,$F63,'Баланс Тр'!$AB$27:$AB$43,"3"),_xlfn.SUMIFS('Баланс Пр'!AU$27:AU$165,'Баланс Пр'!$F$27:$F$165,$F63,'Баланс Пр'!$AB$27:$AB$165,"9.1"))</f>
        <v>0</v>
      </c>
      <c r="AW63" s="1979">
        <f>IF($K27="передача тепловой энергии",_xlfn.SUMIFS('Баланс Тр'!AV$27:AV$43,'Баланс Тр'!$F$27:$F$43,$F63,'Баланс Тр'!$AB$27:$AB$43,"3"),_xlfn.SUMIFS('Баланс Пр'!AV$27:AV$165,'Баланс Пр'!$F$27:$F$165,$F63,'Баланс Пр'!$AB$27:$AB$165,"9.1"))</f>
        <v>0</v>
      </c>
      <c r="AX63" s="1979">
        <f>IF($K27="передача тепловой энергии",_xlfn.SUMIFS('Баланс Тр'!AW$27:AW$43,'Баланс Тр'!$F$27:$F$43,$F63,'Баланс Тр'!$AB$27:$AB$43,"3"),_xlfn.SUMIFS('Баланс Пр'!AW$27:AW$165,'Баланс Пр'!$F$27:$F$165,$F63,'Баланс Пр'!$AB$27:$AB$165,"9.1"))</f>
        <v>0</v>
      </c>
      <c r="AY63" s="1979">
        <f>IF($K27="передача тепловой энергии",_xlfn.SUMIFS('Баланс Тр'!AX$27:AX$43,'Баланс Тр'!$F$27:$F$43,$F63,'Баланс Тр'!$AB$27:$AB$43,"3"),_xlfn.SUMIFS('Баланс Пр'!AX$27:AX$165,'Баланс Пр'!$F$27:$F$165,$F63,'Баланс Пр'!$AB$27:$AB$165,"9.1"))</f>
        <v>0</v>
      </c>
      <c r="AZ63" s="1979">
        <f>IF($K27="передача тепловой энергии",_xlfn.SUMIFS('Баланс Тр'!AY$27:AY$43,'Баланс Тр'!$F$27:$F$43,$F63,'Баланс Тр'!$AB$27:$AB$43,"3"),_xlfn.SUMIFS('Баланс Пр'!AY$27:AY$165,'Баланс Пр'!$F$27:$F$165,$F63,'Баланс Пр'!$AB$27:$AB$165,"9.1"))</f>
        <v>0</v>
      </c>
      <c r="BA63" s="1979">
        <f>IF($K27="передача тепловой энергии",_xlfn.SUMIFS('Баланс Тр'!AZ$27:AZ$43,'Баланс Тр'!$F$27:$F$43,$F63,'Баланс Тр'!$AB$27:$AB$43,"3"),_xlfn.SUMIFS('Баланс Пр'!AZ$27:AZ$165,'Баланс Пр'!$F$27:$F$165,$F63,'Баланс Пр'!$AB$27:$AB$165,"9.1"))</f>
        <v>0</v>
      </c>
      <c r="BB63" s="1979">
        <f>IF($K27="передача тепловой энергии",_xlfn.SUMIFS('Баланс Тр'!BA$27:BA$43,'Баланс Тр'!$F$27:$F$43,$F63,'Баланс Тр'!$AB$27:$AB$43,"3"),_xlfn.SUMIFS('Баланс Пр'!BA$27:BA$165,'Баланс Пр'!$F$27:$F$165,$F63,'Баланс Пр'!$AB$27:$AB$165,"9.1"))</f>
        <v>0</v>
      </c>
      <c r="BC63" s="1979">
        <f>IF($K27="передача тепловой энергии",_xlfn.SUMIFS('Баланс Тр'!BB$27:BB$43,'Баланс Тр'!$F$27:$F$43,$F63,'Баланс Тр'!$AB$27:$AB$43,"3"),_xlfn.SUMIFS('Баланс Пр'!BB$27:BB$165,'Баланс Пр'!$F$27:$F$165,$F63,'Баланс Пр'!$AB$27:$AB$165,"9.1"))</f>
        <v>0</v>
      </c>
      <c r="BD63" s="666"/>
      <c r="BE63" s="666"/>
      <c r="BF63" s="666"/>
      <c r="BG63" s="666"/>
      <c r="BH63" s="666"/>
      <c r="BI63" s="666"/>
      <c r="BJ63" s="666"/>
      <c r="BK63" s="666"/>
      <c r="BL63" s="666"/>
      <c r="BM63" s="666"/>
      <c r="BN63" s="73"/>
      <c r="BO63" s="73"/>
      <c r="BP63" s="73"/>
      <c r="BS63" s="1235" t="s">
        <v>1722</v>
      </c>
      <c r="BX63" s="1271"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1" t="s">
        <v>1723</v>
      </c>
      <c r="D64" s="1260" t="s">
        <v>1724</v>
      </c>
      <c r="E64" s="797">
        <v>15</v>
      </c>
      <c r="F64" s="922" cm="1" t="str">
        <f t="array" ref="F64:F64">OFFSET(G64,-1,-1)</f>
        <v>0</v>
      </c>
      <c r="G64" s="193" t="s">
        <v>1725</v>
      </c>
      <c r="M64" s="1284"/>
      <c r="N64" s="1284" cm="1" t="str">
        <f t="array" ref="N64:N64">OFFSET(M64,-1,1)</f>
        <v>0</v>
      </c>
      <c r="O64" s="1285" t="s">
        <v>1726</v>
      </c>
      <c r="P64" s="1285"/>
      <c r="Q64" s="1285"/>
      <c r="R64" s="1285"/>
      <c r="T64" s="808" cm="1" t="str">
        <f t="array" ref="T64:T64">T63</f>
        <v>false</v>
      </c>
      <c r="AB64" s="663" t="str">
        <f>AB63&amp;".1"</f>
        <v>15.1</v>
      </c>
      <c r="AC64" s="289" t="s">
        <v>1727</v>
      </c>
      <c r="AD64" s="312" t="s">
        <v>599</v>
      </c>
      <c r="AE64" s="124"/>
      <c r="AF64" s="616"/>
      <c r="AG64" s="616"/>
      <c r="AH64" s="616"/>
      <c r="AI64" s="124"/>
      <c r="AJ64" s="1956"/>
      <c r="AK64" s="124"/>
      <c r="AL64" s="124"/>
      <c r="AM64" s="124"/>
      <c r="AN64" s="124"/>
      <c r="AO64" s="124"/>
      <c r="AP64" s="124"/>
      <c r="AQ64" s="124"/>
      <c r="AR64" s="124"/>
      <c r="AS64" s="124"/>
      <c r="AT64" s="1956"/>
      <c r="AU64" s="124"/>
      <c r="AV64" s="124"/>
      <c r="AW64" s="124"/>
      <c r="AX64" s="124"/>
      <c r="AY64" s="124"/>
      <c r="AZ64" s="124"/>
      <c r="BA64" s="124"/>
      <c r="BB64" s="124"/>
      <c r="BC64" s="124"/>
      <c r="BD64" s="377"/>
      <c r="BE64" s="377"/>
      <c r="BF64" s="377"/>
      <c r="BG64" s="377"/>
      <c r="BH64" s="377"/>
      <c r="BI64" s="377"/>
      <c r="BJ64" s="377"/>
      <c r="BK64" s="377"/>
      <c r="BL64" s="377"/>
      <c r="BM64" s="377"/>
      <c r="BN64" s="73"/>
      <c r="BO64" s="73"/>
      <c r="BP64" s="73"/>
      <c r="BS64" s="1235" t="s">
        <v>1728</v>
      </c>
      <c r="BX64" s="1271"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1" t="s">
        <v>1729</v>
      </c>
      <c r="D65" s="1260" t="s">
        <v>1730</v>
      </c>
      <c r="E65" s="797">
        <v>15</v>
      </c>
      <c r="F65" s="922" cm="1" t="str">
        <f t="array" ref="F65:F65">OFFSET(G65,-1,-1)</f>
        <v>0</v>
      </c>
      <c r="G65" s="193" t="s">
        <v>1731</v>
      </c>
      <c r="M65" s="1284"/>
      <c r="N65" s="1284" cm="1" t="str">
        <f t="array" ref="N65:N65">OFFSET(M65,-1,1)</f>
        <v>0</v>
      </c>
      <c r="O65" s="1285" t="s">
        <v>1726</v>
      </c>
      <c r="P65" s="1285"/>
      <c r="Q65" s="1285"/>
      <c r="R65" s="1285"/>
      <c r="T65" s="808" cm="1" t="str">
        <f t="array" ref="T65:T65">T64</f>
        <v>false</v>
      </c>
      <c r="AB65" s="663" t="str">
        <f>AB63&amp;".2"</f>
        <v>15.2</v>
      </c>
      <c r="AC65" s="289" t="s">
        <v>1732</v>
      </c>
      <c r="AD65" s="312" t="s">
        <v>900</v>
      </c>
      <c r="AE65" s="124"/>
      <c r="AF65" s="616"/>
      <c r="AG65" s="616"/>
      <c r="AH65" s="616"/>
      <c r="AI65" s="124">
        <f>MIN(AE67,AI69)</f>
        <v>0</v>
      </c>
      <c r="AJ65" s="1956">
        <f>MIN(AI67,AJ69)</f>
        <v>0</v>
      </c>
      <c r="AK65" s="124">
        <f>MIN(AJ67,AK69)</f>
        <v>0</v>
      </c>
      <c r="AL65" s="124">
        <f>MIN(AK67,AL69)</f>
        <v>0</v>
      </c>
      <c r="AM65" s="124">
        <f>MIN(AL67,AM69)</f>
        <v>0</v>
      </c>
      <c r="AN65" s="124">
        <f>MIN(AM67,AN69)</f>
        <v>0</v>
      </c>
      <c r="AO65" s="124">
        <f>MIN(AN67,AO69)</f>
        <v>0</v>
      </c>
      <c r="AP65" s="124">
        <f>MIN(AO67,AP69)</f>
        <v>0</v>
      </c>
      <c r="AQ65" s="124">
        <f>MIN(AP67,AQ69)</f>
        <v>0</v>
      </c>
      <c r="AR65" s="124">
        <f>MIN(AQ67,AR69)</f>
        <v>0</v>
      </c>
      <c r="AS65" s="124">
        <f>MIN(AR67,AS69)</f>
        <v>0</v>
      </c>
      <c r="AT65" s="1956">
        <f>MIN(AI67,AT69)</f>
        <v>0</v>
      </c>
      <c r="AU65" s="124">
        <f>MIN(AT67,AU69)</f>
        <v>0</v>
      </c>
      <c r="AV65" s="124">
        <f>MIN(AU67,AV69)</f>
        <v>0</v>
      </c>
      <c r="AW65" s="124">
        <f>MIN(AV67,AW69)</f>
        <v>0</v>
      </c>
      <c r="AX65" s="124">
        <f>MIN(AW67,AX69)</f>
        <v>0</v>
      </c>
      <c r="AY65" s="124">
        <f>MIN(AX67,AY69)</f>
        <v>0</v>
      </c>
      <c r="AZ65" s="124">
        <f>MIN(AY67,AZ69)</f>
        <v>0</v>
      </c>
      <c r="BA65" s="124">
        <f>MIN(AZ67,BA69)</f>
        <v>0</v>
      </c>
      <c r="BB65" s="124">
        <f>MIN(BA67,BB69)</f>
        <v>0</v>
      </c>
      <c r="BC65" s="124">
        <f>MIN(BB67,BC69)</f>
        <v>0</v>
      </c>
      <c r="BD65" s="377"/>
      <c r="BE65" s="377"/>
      <c r="BF65" s="377"/>
      <c r="BG65" s="377"/>
      <c r="BH65" s="377"/>
      <c r="BI65" s="377"/>
      <c r="BJ65" s="377"/>
      <c r="BK65" s="377"/>
      <c r="BL65" s="377"/>
      <c r="BM65" s="377"/>
      <c r="BN65" s="73"/>
      <c r="BO65" s="73"/>
      <c r="BP65" s="73"/>
      <c r="BS65" s="1235" t="s">
        <v>1733</v>
      </c>
      <c r="BX65" s="1271"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1" t="s">
        <v>1723</v>
      </c>
      <c r="D66" s="1260" t="s">
        <v>1724</v>
      </c>
      <c r="E66" s="797">
        <v>15</v>
      </c>
      <c r="F66" s="922" cm="1" t="str">
        <f t="array" ref="F66:F66">OFFSET(G66,-1,-1)</f>
        <v>0</v>
      </c>
      <c r="G66" s="193" t="s">
        <v>1734</v>
      </c>
      <c r="M66" s="1284"/>
      <c r="N66" s="1284" cm="1" t="str">
        <f t="array" ref="N66:N66">OFFSET(M66,-1,1)</f>
        <v>0</v>
      </c>
      <c r="O66" s="1285" t="s">
        <v>1735</v>
      </c>
      <c r="P66" s="1285"/>
      <c r="Q66" s="1285"/>
      <c r="R66" s="1285"/>
      <c r="T66" s="808" cm="1" t="str">
        <f t="array" ref="T66:T66">T65</f>
        <v>false</v>
      </c>
      <c r="AB66" s="663" t="str">
        <f>AB63&amp;".3"</f>
        <v>15.3</v>
      </c>
      <c r="AC66" s="289" t="s">
        <v>1736</v>
      </c>
      <c r="AD66" s="312" t="s">
        <v>599</v>
      </c>
      <c r="AE66" s="615">
        <f>AE63-AE64</f>
        <v>0</v>
      </c>
      <c r="AF66" s="616"/>
      <c r="AG66" s="616"/>
      <c r="AH66" s="616"/>
      <c r="AI66" s="615">
        <f>AI63-AI64</f>
        <v>0</v>
      </c>
      <c r="AJ66" s="615">
        <f>AJ63-AJ64</f>
        <v>0</v>
      </c>
      <c r="AK66" s="615">
        <f>AK63-AK64</f>
        <v>0</v>
      </c>
      <c r="AL66" s="615">
        <f>AL63-AL64</f>
        <v>0</v>
      </c>
      <c r="AM66" s="615">
        <f>AM63-AM64</f>
        <v>0</v>
      </c>
      <c r="AN66" s="615">
        <f>AN63-AN64</f>
        <v>0</v>
      </c>
      <c r="AO66" s="615">
        <f>AO63-AO64</f>
        <v>0</v>
      </c>
      <c r="AP66" s="615">
        <f>AP63-AP64</f>
        <v>0</v>
      </c>
      <c r="AQ66" s="615">
        <f>AQ63-AQ64</f>
        <v>0</v>
      </c>
      <c r="AR66" s="615">
        <f>AR63-AR64</f>
        <v>0</v>
      </c>
      <c r="AS66" s="615">
        <f>AS63-AS64</f>
        <v>0</v>
      </c>
      <c r="AT66" s="615">
        <f>AT63-AT64</f>
        <v>0</v>
      </c>
      <c r="AU66" s="615">
        <f>AU63-AU64</f>
        <v>0</v>
      </c>
      <c r="AV66" s="615">
        <f>AV63-AV64</f>
        <v>0</v>
      </c>
      <c r="AW66" s="615">
        <f>AW63-AW64</f>
        <v>0</v>
      </c>
      <c r="AX66" s="615">
        <f>AX63-AX64</f>
        <v>0</v>
      </c>
      <c r="AY66" s="615">
        <f>AY63-AY64</f>
        <v>0</v>
      </c>
      <c r="AZ66" s="615">
        <f>AZ63-AZ64</f>
        <v>0</v>
      </c>
      <c r="BA66" s="615">
        <f>BA63-BA64</f>
        <v>0</v>
      </c>
      <c r="BB66" s="615">
        <f>BB63-BB64</f>
        <v>0</v>
      </c>
      <c r="BC66" s="615">
        <f>BC63-BC64</f>
        <v>0</v>
      </c>
      <c r="BD66" s="377"/>
      <c r="BE66" s="377"/>
      <c r="BF66" s="377"/>
      <c r="BG66" s="377"/>
      <c r="BH66" s="377"/>
      <c r="BI66" s="377"/>
      <c r="BJ66" s="377"/>
      <c r="BK66" s="377"/>
      <c r="BL66" s="377"/>
      <c r="BM66" s="377"/>
      <c r="BN66" s="73"/>
      <c r="BO66" s="73"/>
      <c r="BP66" s="73"/>
      <c r="BS66" s="1235" t="s">
        <v>1737</v>
      </c>
      <c r="BX66" s="1271"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1" t="s">
        <v>1729</v>
      </c>
      <c r="D67" s="1260" t="s">
        <v>1730</v>
      </c>
      <c r="E67" s="797">
        <v>15</v>
      </c>
      <c r="F67" s="922" cm="1" t="str">
        <f t="array" ref="F67:F67">OFFSET(G67,-1,-1)</f>
        <v>0</v>
      </c>
      <c r="G67" s="193" t="s">
        <v>1738</v>
      </c>
      <c r="M67" s="1284"/>
      <c r="N67" s="1284" cm="1" t="str">
        <f t="array" ref="N67:N67">OFFSET(M67,-1,1)</f>
        <v>0</v>
      </c>
      <c r="O67" s="1285" t="s">
        <v>1735</v>
      </c>
      <c r="P67" s="1285"/>
      <c r="Q67" s="1285"/>
      <c r="R67" s="1285"/>
      <c r="T67" s="808" cm="1" t="str">
        <f t="array" ref="T67:T67">T66</f>
        <v>false</v>
      </c>
      <c r="AB67" s="663" t="str">
        <f>AB63&amp;".4"</f>
        <v>15.4</v>
      </c>
      <c r="AC67" s="289" t="s">
        <v>1739</v>
      </c>
      <c r="AD67" s="312" t="s">
        <v>900</v>
      </c>
      <c r="AE67" s="124"/>
      <c r="AF67" s="616"/>
      <c r="AG67" s="616"/>
      <c r="AH67" s="616"/>
      <c r="AI67" s="124"/>
      <c r="AJ67" s="1956">
        <f>_xlfn.IFERROR((AJ60*1000-AJ64*AJ65)/AJ66,0)</f>
        <v>0</v>
      </c>
      <c r="AK67" s="124">
        <f>_xlfn.IFERROR((AK60*1000-AK64*AK65)/AK66,0)</f>
        <v>0</v>
      </c>
      <c r="AL67" s="124">
        <f>_xlfn.IFERROR((AL60*1000-AL64*AL65)/AL66,0)</f>
        <v>0</v>
      </c>
      <c r="AM67" s="124">
        <f>_xlfn.IFERROR((AM60*1000-AM64*AM65)/AM66,0)</f>
        <v>0</v>
      </c>
      <c r="AN67" s="124">
        <f>_xlfn.IFERROR((AN60*1000-AN64*AN65)/AN66,0)</f>
        <v>0</v>
      </c>
      <c r="AO67" s="124">
        <f>_xlfn.IFERROR((AO60*1000-AO64*AO65)/AO66,0)</f>
        <v>0</v>
      </c>
      <c r="AP67" s="124">
        <f>_xlfn.IFERROR((AP60*1000-AP64*AP65)/AP66,0)</f>
        <v>0</v>
      </c>
      <c r="AQ67" s="124">
        <f>_xlfn.IFERROR((AQ60*1000-AQ64*AQ65)/AQ66,0)</f>
        <v>0</v>
      </c>
      <c r="AR67" s="124">
        <f>_xlfn.IFERROR((AR60*1000-AR64*AR65)/AR66,0)</f>
        <v>0</v>
      </c>
      <c r="AS67" s="124">
        <f>_xlfn.IFERROR((AS60*1000-AS64*AS65)/AS66,0)</f>
        <v>0</v>
      </c>
      <c r="AT67" s="1956">
        <f>_xlfn.IFERROR((AT60*1000-AT64*AT65)/AT66,0)</f>
        <v>0</v>
      </c>
      <c r="AU67" s="124">
        <f>_xlfn.IFERROR((AU60*1000-AU64*AU65)/AU66,0)</f>
        <v>0</v>
      </c>
      <c r="AV67" s="124">
        <f>_xlfn.IFERROR((AV60*1000-AV64*AV65)/AV66,0)</f>
        <v>0</v>
      </c>
      <c r="AW67" s="124">
        <f>_xlfn.IFERROR((AW60*1000-AW64*AW65)/AW66,0)</f>
        <v>0</v>
      </c>
      <c r="AX67" s="124">
        <f>_xlfn.IFERROR((AX60*1000-AX64*AX65)/AX66,0)</f>
        <v>0</v>
      </c>
      <c r="AY67" s="124">
        <f>_xlfn.IFERROR((AY60*1000-AY64*AY65)/AY66,0)</f>
        <v>0</v>
      </c>
      <c r="AZ67" s="124">
        <f>_xlfn.IFERROR((AZ60*1000-AZ64*AZ65)/AZ66,0)</f>
        <v>0</v>
      </c>
      <c r="BA67" s="124">
        <f>_xlfn.IFERROR((BA60*1000-BA64*BA65)/BA66,0)</f>
        <v>0</v>
      </c>
      <c r="BB67" s="124">
        <f>_xlfn.IFERROR((BB60*1000-BB64*BB65)/BB66,0)</f>
        <v>0</v>
      </c>
      <c r="BC67" s="124">
        <f>_xlfn.IFERROR((BC60*1000-BC64*BC65)/BC66,0)</f>
        <v>0</v>
      </c>
      <c r="BD67" s="377"/>
      <c r="BE67" s="377"/>
      <c r="BF67" s="377"/>
      <c r="BG67" s="377"/>
      <c r="BH67" s="377"/>
      <c r="BI67" s="377"/>
      <c r="BJ67" s="377"/>
      <c r="BK67" s="377"/>
      <c r="BL67" s="377"/>
      <c r="BM67" s="377"/>
      <c r="BN67" s="73"/>
      <c r="BO67" s="73"/>
      <c r="BP67" s="73"/>
      <c r="BS67" s="1235" t="s">
        <v>1740</v>
      </c>
      <c r="BX67" s="1271"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1" t="s">
        <v>1741</v>
      </c>
      <c r="D68" s="1260" t="s">
        <v>1742</v>
      </c>
      <c r="E68" s="797">
        <v>15</v>
      </c>
      <c r="F68" s="922" cm="1" t="str">
        <f t="array" ref="F68:F68">OFFSET(G68,-1,-1)</f>
        <v>0</v>
      </c>
      <c r="M68" s="1284"/>
      <c r="N68" s="1284" cm="1" t="str">
        <f t="array" ref="N68:N68">OFFSET(M68,-1,1)</f>
        <v>0</v>
      </c>
      <c r="O68" s="1285"/>
      <c r="P68" s="1285"/>
      <c r="Q68" s="1285"/>
      <c r="R68" s="1285"/>
      <c r="T68" s="808" cm="1" t="str">
        <f t="array" ref="T68:T68">T67</f>
        <v>false</v>
      </c>
      <c r="AB68" s="663" t="str">
        <f>AB63&amp;".5"</f>
        <v>15.5</v>
      </c>
      <c r="AC68" s="315" t="s">
        <v>1743</v>
      </c>
      <c r="AD68" s="312" t="s">
        <v>498</v>
      </c>
      <c r="AE68" s="665">
        <f>_xlfn.IFERROR(AE67/AE65,0)</f>
        <v>0</v>
      </c>
      <c r="AF68" s="616"/>
      <c r="AG68" s="616"/>
      <c r="AH68" s="616"/>
      <c r="AI68" s="665">
        <f>_xlfn.IFERROR(AI67/AI65,0)</f>
        <v>0</v>
      </c>
      <c r="AJ68" s="665">
        <f>_xlfn.IFERROR(AJ67/AJ65,0)</f>
        <v>0</v>
      </c>
      <c r="AK68" s="665">
        <f>_xlfn.IFERROR(AK67/AK65,0)</f>
        <v>0</v>
      </c>
      <c r="AL68" s="665">
        <f>_xlfn.IFERROR(AL67/AL65,0)</f>
        <v>0</v>
      </c>
      <c r="AM68" s="665">
        <f>_xlfn.IFERROR(AM67/AM65,0)</f>
        <v>0</v>
      </c>
      <c r="AN68" s="665">
        <f>_xlfn.IFERROR(AN67/AN65,0)</f>
        <v>0</v>
      </c>
      <c r="AO68" s="665">
        <f>_xlfn.IFERROR(AO67/AO65,0)</f>
        <v>0</v>
      </c>
      <c r="AP68" s="665">
        <f>_xlfn.IFERROR(AP67/AP65,0)</f>
        <v>0</v>
      </c>
      <c r="AQ68" s="665">
        <f>_xlfn.IFERROR(AQ67/AQ65,0)</f>
        <v>0</v>
      </c>
      <c r="AR68" s="665">
        <f>_xlfn.IFERROR(AR67/AR65,0)</f>
        <v>0</v>
      </c>
      <c r="AS68" s="665">
        <f>_xlfn.IFERROR(AS67/AS65,0)</f>
        <v>0</v>
      </c>
      <c r="AT68" s="665">
        <f>_xlfn.IFERROR(AT67/AT65,0)</f>
        <v>0</v>
      </c>
      <c r="AU68" s="665">
        <f>_xlfn.IFERROR(AU67/AU65,0)</f>
        <v>0</v>
      </c>
      <c r="AV68" s="665">
        <f>_xlfn.IFERROR(AV67/AV65,0)</f>
        <v>0</v>
      </c>
      <c r="AW68" s="665">
        <f>_xlfn.IFERROR(AW67/AW65,0)</f>
        <v>0</v>
      </c>
      <c r="AX68" s="665">
        <f>_xlfn.IFERROR(AX67/AX65,0)</f>
        <v>0</v>
      </c>
      <c r="AY68" s="665">
        <f>_xlfn.IFERROR(AY67/AY65,0)</f>
        <v>0</v>
      </c>
      <c r="AZ68" s="665">
        <f>_xlfn.IFERROR(AZ67/AZ65,0)</f>
        <v>0</v>
      </c>
      <c r="BA68" s="665">
        <f>_xlfn.IFERROR(BA67/BA65,0)</f>
        <v>0</v>
      </c>
      <c r="BB68" s="665">
        <f>_xlfn.IFERROR(BB67/BB65,0)</f>
        <v>0</v>
      </c>
      <c r="BC68" s="665">
        <f>_xlfn.IFERROR(BC67/BC65,0)</f>
        <v>0</v>
      </c>
      <c r="BD68" s="377"/>
      <c r="BE68" s="377"/>
      <c r="BF68" s="377"/>
      <c r="BG68" s="377"/>
      <c r="BH68" s="377"/>
      <c r="BI68" s="377"/>
      <c r="BJ68" s="377"/>
      <c r="BK68" s="377"/>
      <c r="BL68" s="377"/>
      <c r="BM68" s="377"/>
      <c r="BN68" s="73"/>
      <c r="BO68" s="73"/>
      <c r="BP68" s="73"/>
      <c r="BS68" s="1235" t="s">
        <v>1744</v>
      </c>
      <c r="BX68" s="1271"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1" t="s">
        <v>1745</v>
      </c>
      <c r="D69" s="1260" t="s">
        <v>1746</v>
      </c>
      <c r="E69" s="797">
        <v>15</v>
      </c>
      <c r="F69" s="922" cm="1" t="str">
        <f t="array" ref="F69:F69">OFFSET(G69,-1,-1)</f>
        <v>0</v>
      </c>
      <c r="M69" s="1284"/>
      <c r="N69" s="1284" cm="1" t="str">
        <f t="array" ref="N69:N69">OFFSET(M69,-1,1)</f>
        <v>0</v>
      </c>
      <c r="O69" s="1285"/>
      <c r="P69" s="1285"/>
      <c r="Q69" s="1285"/>
      <c r="R69" s="1285"/>
      <c r="T69" s="808" cm="1" t="str">
        <f t="array" ref="T69:T69">T68</f>
        <v>false</v>
      </c>
      <c r="AB69" s="663" t="str">
        <f>AB63&amp;".6"</f>
        <v>15.6</v>
      </c>
      <c r="AC69" s="315" t="s">
        <v>1747</v>
      </c>
      <c r="AD69" s="312" t="s">
        <v>900</v>
      </c>
      <c r="AE69" s="615">
        <f>_xlfn.IFERROR(AE60*1000/AE63,0)</f>
        <v>0</v>
      </c>
      <c r="AF69" s="616"/>
      <c r="AG69" s="616"/>
      <c r="AH69" s="616"/>
      <c r="AI69" s="615">
        <f>_xlfn.IFERROR(AI60*1000/AI63,0)</f>
        <v>0</v>
      </c>
      <c r="AJ69" s="615">
        <f>_xlfn.IFERROR(AJ60*1000/AJ63,0)</f>
        <v>0</v>
      </c>
      <c r="AK69" s="615">
        <f>_xlfn.IFERROR(AK60*1000/AK63,0)</f>
        <v>0</v>
      </c>
      <c r="AL69" s="615">
        <f>_xlfn.IFERROR(AL60*1000/AL63,0)</f>
        <v>0</v>
      </c>
      <c r="AM69" s="615">
        <f>_xlfn.IFERROR(AM60*1000/AM63,0)</f>
        <v>0</v>
      </c>
      <c r="AN69" s="615">
        <f>_xlfn.IFERROR(AN60*1000/AN63,0)</f>
        <v>0</v>
      </c>
      <c r="AO69" s="615">
        <f>_xlfn.IFERROR(AO60*1000/AO63,0)</f>
        <v>0</v>
      </c>
      <c r="AP69" s="615">
        <f>_xlfn.IFERROR(AP60*1000/AP63,0)</f>
        <v>0</v>
      </c>
      <c r="AQ69" s="615">
        <f>_xlfn.IFERROR(AQ60*1000/AQ63,0)</f>
        <v>0</v>
      </c>
      <c r="AR69" s="615">
        <f>_xlfn.IFERROR(AR60*1000/AR63,0)</f>
        <v>0</v>
      </c>
      <c r="AS69" s="615">
        <f>_xlfn.IFERROR(AS60*1000/AS63,0)</f>
        <v>0</v>
      </c>
      <c r="AT69" s="615">
        <f>_xlfn.IFERROR(AT60*1000/AT63,0)</f>
        <v>0</v>
      </c>
      <c r="AU69" s="615">
        <f>_xlfn.IFERROR(AU60*1000/AU63,0)</f>
        <v>0</v>
      </c>
      <c r="AV69" s="615">
        <f>_xlfn.IFERROR(AV60*1000/AV63,0)</f>
        <v>0</v>
      </c>
      <c r="AW69" s="615">
        <f>_xlfn.IFERROR(AW60*1000/AW63,0)</f>
        <v>0</v>
      </c>
      <c r="AX69" s="615">
        <f>_xlfn.IFERROR(AX60*1000/AX63,0)</f>
        <v>0</v>
      </c>
      <c r="AY69" s="615">
        <f>_xlfn.IFERROR(AY60*1000/AY63,0)</f>
        <v>0</v>
      </c>
      <c r="AZ69" s="615">
        <f>_xlfn.IFERROR(AZ60*1000/AZ63,0)</f>
        <v>0</v>
      </c>
      <c r="BA69" s="615">
        <f>_xlfn.IFERROR(BA60*1000/BA63,0)</f>
        <v>0</v>
      </c>
      <c r="BB69" s="615">
        <f>_xlfn.IFERROR(BB60*1000/BB63,0)</f>
        <v>0</v>
      </c>
      <c r="BC69" s="615">
        <f>_xlfn.IFERROR(BC60*1000/BC63,0)</f>
        <v>0</v>
      </c>
      <c r="BD69" s="377"/>
      <c r="BE69" s="377"/>
      <c r="BF69" s="377"/>
      <c r="BG69" s="377"/>
      <c r="BH69" s="377"/>
      <c r="BI69" s="377"/>
      <c r="BJ69" s="377"/>
      <c r="BK69" s="377"/>
      <c r="BL69" s="377"/>
      <c r="BM69" s="377"/>
      <c r="BN69" s="73"/>
      <c r="BO69" s="73"/>
      <c r="BP69" s="73"/>
      <c r="BS69" s="1235" t="s">
        <v>1748</v>
      </c>
      <c r="BX69" s="1271"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1" t="s">
        <v>1749</v>
      </c>
      <c r="D70" s="1260" t="s">
        <v>1750</v>
      </c>
      <c r="E70" s="797">
        <v>15</v>
      </c>
      <c r="F70" s="922" cm="1" t="str">
        <f t="array" ref="F70:F70">OFFSET(G70,-1,-1)</f>
        <v>0</v>
      </c>
      <c r="L70" s="193" t="s">
        <v>1712</v>
      </c>
      <c r="M70" s="1284"/>
      <c r="N70" s="1284" cm="1" t="str">
        <f t="array" ref="N70:N70">OFFSET(M70,-1,1)</f>
        <v>0</v>
      </c>
      <c r="O70" s="1285"/>
      <c r="P70" s="1285"/>
      <c r="Q70" s="1285"/>
      <c r="R70" s="1285"/>
      <c r="T70" s="808" cm="1" t="str">
        <f t="array" ref="T70:T70">T61</f>
        <v>false</v>
      </c>
      <c r="AB70" s="317" t="s">
        <v>1751</v>
      </c>
      <c r="AC70" s="889" t="s">
        <v>1752</v>
      </c>
      <c r="AD70" s="667" t="s">
        <v>695</v>
      </c>
      <c r="AE70" s="310">
        <f>_xlfn.SUMIFS('Баланс Пр'!AE$27:AE$165,'Баланс Пр'!$F$27:$F$165,$F70,'Баланс Пр'!$AB$27:$AB$165,"10")</f>
        <v>0</v>
      </c>
      <c r="AF70" s="616"/>
      <c r="AG70" s="616"/>
      <c r="AH70" s="616"/>
      <c r="AI70" s="310">
        <f>_xlfn.SUMIFS('Баланс Пр'!AH$27:AH$165,'Баланс Пр'!$F$27:$F$165,$F70,'Баланс Пр'!$AB$27:$AB$165,"10")</f>
        <v>0</v>
      </c>
      <c r="AJ70" s="310">
        <f>_xlfn.SUMIFS('Баланс Пр'!AI$27:AI$165,'Баланс Пр'!$F$27:$F$165,$F70,'Баланс Пр'!$AB$27:$AB$165,"10")</f>
        <v>0</v>
      </c>
      <c r="AK70" s="310">
        <f>_xlfn.SUMIFS('Баланс Пр'!AJ$27:AJ$165,'Баланс Пр'!$F$27:$F$165,$F70,'Баланс Пр'!$AB$27:$AB$165,"10")</f>
        <v>0</v>
      </c>
      <c r="AL70" s="310">
        <f>_xlfn.SUMIFS('Баланс Пр'!AK$27:AK$165,'Баланс Пр'!$F$27:$F$165,$F70,'Баланс Пр'!$AB$27:$AB$165,"10")</f>
        <v>0</v>
      </c>
      <c r="AM70" s="310">
        <f>_xlfn.SUMIFS('Баланс Пр'!AL$27:AL$165,'Баланс Пр'!$F$27:$F$165,$F70,'Баланс Пр'!$AB$27:$AB$165,"10")</f>
        <v>0</v>
      </c>
      <c r="AN70" s="310">
        <f>_xlfn.SUMIFS('Баланс Пр'!AM$27:AM$165,'Баланс Пр'!$F$27:$F$165,$F70,'Баланс Пр'!$AB$27:$AB$165,"10")</f>
        <v>0</v>
      </c>
      <c r="AO70" s="310">
        <f>_xlfn.SUMIFS('Баланс Пр'!AN$27:AN$165,'Баланс Пр'!$F$27:$F$165,$F70,'Баланс Пр'!$AB$27:$AB$165,"10")</f>
        <v>0</v>
      </c>
      <c r="AP70" s="310">
        <f>_xlfn.SUMIFS('Баланс Пр'!AO$27:AO$165,'Баланс Пр'!$F$27:$F$165,$F70,'Баланс Пр'!$AB$27:$AB$165,"10")</f>
        <v>0</v>
      </c>
      <c r="AQ70" s="310">
        <f>_xlfn.SUMIFS('Баланс Пр'!AP$27:AP$165,'Баланс Пр'!$F$27:$F$165,$F70,'Баланс Пр'!$AB$27:$AB$165,"10")</f>
        <v>0</v>
      </c>
      <c r="AR70" s="310">
        <f>_xlfn.SUMIFS('Баланс Пр'!AQ$27:AQ$165,'Баланс Пр'!$F$27:$F$165,$F70,'Баланс Пр'!$AB$27:$AB$165,"10")</f>
        <v>0</v>
      </c>
      <c r="AS70" s="310">
        <f>_xlfn.SUMIFS('Баланс Пр'!AR$27:AR$165,'Баланс Пр'!$F$27:$F$165,$F70,'Баланс Пр'!$AB$27:$AB$165,"10")</f>
        <v>0</v>
      </c>
      <c r="AT70" s="310">
        <f>_xlfn.SUMIFS('Баланс Пр'!AS$27:AS$165,'Баланс Пр'!$F$27:$F$165,$F70,'Баланс Пр'!$AB$27:$AB$165,"10")</f>
        <v>0</v>
      </c>
      <c r="AU70" s="310">
        <f>_xlfn.SUMIFS('Баланс Пр'!AT$27:AT$165,'Баланс Пр'!$F$27:$F$165,$F70,'Баланс Пр'!$AB$27:$AB$165,"10")</f>
        <v>0</v>
      </c>
      <c r="AV70" s="310">
        <f>_xlfn.SUMIFS('Баланс Пр'!AU$27:AU$165,'Баланс Пр'!$F$27:$F$165,$F70,'Баланс Пр'!$AB$27:$AB$165,"10")</f>
        <v>0</v>
      </c>
      <c r="AW70" s="310">
        <f>_xlfn.SUMIFS('Баланс Пр'!AV$27:AV$165,'Баланс Пр'!$F$27:$F$165,$F70,'Баланс Пр'!$AB$27:$AB$165,"10")</f>
        <v>0</v>
      </c>
      <c r="AX70" s="310">
        <f>_xlfn.SUMIFS('Баланс Пр'!AW$27:AW$165,'Баланс Пр'!$F$27:$F$165,$F70,'Баланс Пр'!$AB$27:$AB$165,"10")</f>
        <v>0</v>
      </c>
      <c r="AY70" s="310">
        <f>_xlfn.SUMIFS('Баланс Пр'!AX$27:AX$165,'Баланс Пр'!$F$27:$F$165,$F70,'Баланс Пр'!$AB$27:$AB$165,"10")</f>
        <v>0</v>
      </c>
      <c r="AZ70" s="310">
        <f>_xlfn.SUMIFS('Баланс Пр'!AY$27:AY$165,'Баланс Пр'!$F$27:$F$165,$F70,'Баланс Пр'!$AB$27:$AB$165,"10")</f>
        <v>0</v>
      </c>
      <c r="BA70" s="310">
        <f>_xlfn.SUMIFS('Баланс Пр'!AZ$27:AZ$165,'Баланс Пр'!$F$27:$F$165,$F70,'Баланс Пр'!$AB$27:$AB$165,"10")</f>
        <v>0</v>
      </c>
      <c r="BB70" s="310">
        <f>_xlfn.SUMIFS('Баланс Пр'!BA$27:BA$165,'Баланс Пр'!$F$27:$F$165,$F70,'Баланс Пр'!$AB$27:$AB$165,"10")</f>
        <v>0</v>
      </c>
      <c r="BC70" s="310">
        <f>_xlfn.SUMIFS('Баланс Пр'!BB$27:BB$165,'Баланс Пр'!$F$27:$F$165,$F70,'Баланс Пр'!$AB$27:$AB$165,"10")</f>
        <v>0</v>
      </c>
      <c r="BD70" s="377"/>
      <c r="BE70" s="377"/>
      <c r="BF70" s="377"/>
      <c r="BG70" s="377"/>
      <c r="BH70" s="377"/>
      <c r="BI70" s="377"/>
      <c r="BJ70" s="377"/>
      <c r="BK70" s="377"/>
      <c r="BL70" s="377"/>
      <c r="BM70" s="377"/>
      <c r="BN70" s="73"/>
      <c r="BO70" s="73"/>
      <c r="BP70" s="73"/>
      <c r="BS70" s="1235" t="s">
        <v>696</v>
      </c>
      <c r="BX70" s="1271"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1" t="s">
        <v>1749</v>
      </c>
      <c r="D71" s="1260" t="s">
        <v>1750</v>
      </c>
      <c r="E71" s="797">
        <v>15</v>
      </c>
      <c r="F71" s="922" cm="1" t="str">
        <f t="array" ref="F71:F71">OFFSET(G71,-1,-1)</f>
        <v>0</v>
      </c>
      <c r="G71" s="193" t="s">
        <v>1753</v>
      </c>
      <c r="L71" s="193" t="s">
        <v>1712</v>
      </c>
      <c r="M71" s="1284"/>
      <c r="N71" s="1284" cm="1" t="str">
        <f t="array" ref="N71:N71">OFFSET(M71,-1,1)</f>
        <v>0</v>
      </c>
      <c r="O71" s="1285" t="s">
        <v>1726</v>
      </c>
      <c r="P71" s="1285"/>
      <c r="Q71" s="1285"/>
      <c r="R71" s="1285"/>
      <c r="T71" s="808" cm="1" t="str">
        <f t="array" ref="T71:T71">T70</f>
        <v>false</v>
      </c>
      <c r="AB71" s="663" t="str">
        <f>AB70&amp;".1"</f>
        <v>16.1</v>
      </c>
      <c r="AC71" s="723" t="s">
        <v>1754</v>
      </c>
      <c r="AD71" s="623" t="s">
        <v>695</v>
      </c>
      <c r="AE71" s="124" cm="1" t="str">
        <f t="array" ref="AE71:AE71">AE70</f>
        <v>0</v>
      </c>
      <c r="AF71" s="616"/>
      <c r="AG71" s="616"/>
      <c r="AH71" s="616"/>
      <c r="AI71" s="124" cm="1" t="str">
        <f t="array" ref="AI71:AI71">AI70</f>
        <v>0</v>
      </c>
      <c r="AJ71" s="1956" cm="1" t="str">
        <f t="array" ref="AJ71:AJ71">AJ70</f>
        <v>0</v>
      </c>
      <c r="AK71" s="124" cm="1" t="str">
        <f t="array" ref="AK71:AK71">AK70</f>
        <v>0</v>
      </c>
      <c r="AL71" s="124" cm="1" t="str">
        <f t="array" ref="AL71:AL71">AL70</f>
        <v>0</v>
      </c>
      <c r="AM71" s="124" cm="1" t="str">
        <f t="array" ref="AM71:AM71">AM70</f>
        <v>0</v>
      </c>
      <c r="AN71" s="124" cm="1" t="str">
        <f t="array" ref="AN71:AN71">AN70</f>
        <v>0</v>
      </c>
      <c r="AO71" s="124" cm="1" t="str">
        <f t="array" ref="AO71:AO71">AO70</f>
        <v>0</v>
      </c>
      <c r="AP71" s="124" cm="1" t="str">
        <f t="array" ref="AP71:AP71">AP70</f>
        <v>0</v>
      </c>
      <c r="AQ71" s="124" cm="1" t="str">
        <f t="array" ref="AQ71:AQ71">AQ70</f>
        <v>0</v>
      </c>
      <c r="AR71" s="124" cm="1" t="str">
        <f t="array" ref="AR71:AR71">AR70</f>
        <v>0</v>
      </c>
      <c r="AS71" s="124" cm="1" t="str">
        <f t="array" ref="AS71:AS71">AS70</f>
        <v>0</v>
      </c>
      <c r="AT71" s="1956" cm="1" t="str">
        <f t="array" ref="AT71:AT71">AT70</f>
        <v>0</v>
      </c>
      <c r="AU71" s="124" cm="1" t="str">
        <f t="array" ref="AU71:AU71">AU70</f>
        <v>0</v>
      </c>
      <c r="AV71" s="124" cm="1" t="str">
        <f t="array" ref="AV71:AV71">AV70</f>
        <v>0</v>
      </c>
      <c r="AW71" s="124" cm="1" t="str">
        <f t="array" ref="AW71:AW71">AW70</f>
        <v>0</v>
      </c>
      <c r="AX71" s="124" cm="1" t="str">
        <f t="array" ref="AX71:AX71">AX70</f>
        <v>0</v>
      </c>
      <c r="AY71" s="124" cm="1" t="str">
        <f t="array" ref="AY71:AY71">AY70</f>
        <v>0</v>
      </c>
      <c r="AZ71" s="124" cm="1" t="str">
        <f t="array" ref="AZ71:AZ71">AZ70</f>
        <v>0</v>
      </c>
      <c r="BA71" s="124" cm="1" t="str">
        <f t="array" ref="BA71:BA71">BA70</f>
        <v>0</v>
      </c>
      <c r="BB71" s="124" cm="1" t="str">
        <f t="array" ref="BB71:BB71">BB70</f>
        <v>0</v>
      </c>
      <c r="BC71" s="124" cm="1" t="str">
        <f t="array" ref="BC71:BC71">BC70</f>
        <v>0</v>
      </c>
      <c r="BD71" s="377"/>
      <c r="BE71" s="377"/>
      <c r="BF71" s="377"/>
      <c r="BG71" s="377"/>
      <c r="BH71" s="377"/>
      <c r="BI71" s="377"/>
      <c r="BJ71" s="377"/>
      <c r="BK71" s="377"/>
      <c r="BL71" s="377"/>
      <c r="BM71" s="377"/>
      <c r="BN71" s="73"/>
      <c r="BO71" s="73"/>
      <c r="BP71" s="73"/>
      <c r="BS71" s="1235" t="s">
        <v>1755</v>
      </c>
      <c r="BX71" s="1271"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1" t="s">
        <v>1749</v>
      </c>
      <c r="D72" s="1260" t="s">
        <v>1750</v>
      </c>
      <c r="E72" s="797">
        <v>15</v>
      </c>
      <c r="F72" s="922" cm="1" t="str">
        <f t="array" ref="F72:F72">OFFSET(G72,-1,-1)</f>
        <v>0</v>
      </c>
      <c r="G72" s="193" t="s">
        <v>1756</v>
      </c>
      <c r="L72" s="193" t="s">
        <v>1712</v>
      </c>
      <c r="M72" s="1284"/>
      <c r="N72" s="1284" cm="1" t="str">
        <f t="array" ref="N72:N72">OFFSET(M72,-1,1)</f>
        <v>0</v>
      </c>
      <c r="O72" s="1285" t="s">
        <v>1735</v>
      </c>
      <c r="P72" s="1285"/>
      <c r="Q72" s="1285"/>
      <c r="R72" s="1285"/>
      <c r="T72" s="808" cm="1" t="str">
        <f t="array" ref="T72:T72">T71</f>
        <v>false</v>
      </c>
      <c r="AB72" s="663" t="str">
        <f>AB70&amp;".2"</f>
        <v>16.2</v>
      </c>
      <c r="AC72" s="723" t="s">
        <v>1757</v>
      </c>
      <c r="AD72" s="623" t="s">
        <v>695</v>
      </c>
      <c r="AE72" s="124" cm="1" t="str">
        <f t="array" ref="AE72:AE72">AE70</f>
        <v>0</v>
      </c>
      <c r="AF72" s="616"/>
      <c r="AG72" s="616"/>
      <c r="AH72" s="616"/>
      <c r="AI72" s="124" cm="1" t="str">
        <f t="array" ref="AI72:AI72">AI70</f>
        <v>0</v>
      </c>
      <c r="AJ72" s="1956" cm="1" t="str">
        <f t="array" ref="AJ72:AJ72">AJ70</f>
        <v>0</v>
      </c>
      <c r="AK72" s="124" cm="1" t="str">
        <f t="array" ref="AK72:AK72">AK70</f>
        <v>0</v>
      </c>
      <c r="AL72" s="124" cm="1" t="str">
        <f t="array" ref="AL72:AL72">AL70</f>
        <v>0</v>
      </c>
      <c r="AM72" s="124" cm="1" t="str">
        <f t="array" ref="AM72:AM72">AM70</f>
        <v>0</v>
      </c>
      <c r="AN72" s="124" cm="1" t="str">
        <f t="array" ref="AN72:AN72">AN70</f>
        <v>0</v>
      </c>
      <c r="AO72" s="124" cm="1" t="str">
        <f t="array" ref="AO72:AO72">AO70</f>
        <v>0</v>
      </c>
      <c r="AP72" s="124" cm="1" t="str">
        <f t="array" ref="AP72:AP72">AP70</f>
        <v>0</v>
      </c>
      <c r="AQ72" s="124" cm="1" t="str">
        <f t="array" ref="AQ72:AQ72">AQ70</f>
        <v>0</v>
      </c>
      <c r="AR72" s="124" cm="1" t="str">
        <f t="array" ref="AR72:AR72">AR70</f>
        <v>0</v>
      </c>
      <c r="AS72" s="124" cm="1" t="str">
        <f t="array" ref="AS72:AS72">AS70</f>
        <v>0</v>
      </c>
      <c r="AT72" s="1956" cm="1" t="str">
        <f t="array" ref="AT72:AT72">AT70</f>
        <v>0</v>
      </c>
      <c r="AU72" s="124" cm="1" t="str">
        <f t="array" ref="AU72:AU72">AU70</f>
        <v>0</v>
      </c>
      <c r="AV72" s="124" cm="1" t="str">
        <f t="array" ref="AV72:AV72">AV70</f>
        <v>0</v>
      </c>
      <c r="AW72" s="124" cm="1" t="str">
        <f t="array" ref="AW72:AW72">AW70</f>
        <v>0</v>
      </c>
      <c r="AX72" s="124" cm="1" t="str">
        <f t="array" ref="AX72:AX72">AX70</f>
        <v>0</v>
      </c>
      <c r="AY72" s="124" cm="1" t="str">
        <f t="array" ref="AY72:AY72">AY70</f>
        <v>0</v>
      </c>
      <c r="AZ72" s="124" cm="1" t="str">
        <f t="array" ref="AZ72:AZ72">AZ70</f>
        <v>0</v>
      </c>
      <c r="BA72" s="124" cm="1" t="str">
        <f t="array" ref="BA72:BA72">BA70</f>
        <v>0</v>
      </c>
      <c r="BB72" s="124" cm="1" t="str">
        <f t="array" ref="BB72:BB72">BB70</f>
        <v>0</v>
      </c>
      <c r="BC72" s="124" cm="1" t="str">
        <f t="array" ref="BC72:BC72">BC70</f>
        <v>0</v>
      </c>
      <c r="BD72" s="377"/>
      <c r="BE72" s="377"/>
      <c r="BF72" s="377"/>
      <c r="BG72" s="377"/>
      <c r="BH72" s="377"/>
      <c r="BI72" s="377"/>
      <c r="BJ72" s="377"/>
      <c r="BK72" s="377"/>
      <c r="BL72" s="377"/>
      <c r="BM72" s="377"/>
      <c r="BN72" s="73"/>
      <c r="BO72" s="73"/>
      <c r="BP72" s="73"/>
      <c r="BS72" s="1235" t="s">
        <v>1758</v>
      </c>
      <c r="BX72" s="1271"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1"/>
      <c r="D73" s="1260"/>
      <c r="E73" s="797">
        <v>15</v>
      </c>
      <c r="F73" s="922" cm="1" t="str">
        <f t="array" ref="F73:F73">OFFSET(G73,-1,-1)</f>
        <v>0</v>
      </c>
      <c r="L73" s="193" t="s">
        <v>1712</v>
      </c>
      <c r="M73" s="1284"/>
      <c r="N73" s="1284" cm="1" t="str">
        <f t="array" ref="N73:N73">OFFSET(M73,-1,1)</f>
        <v>0</v>
      </c>
      <c r="O73" s="1285"/>
      <c r="P73" s="1285"/>
      <c r="Q73" s="1285"/>
      <c r="R73" s="1285"/>
      <c r="T73" s="808" cm="1" t="str">
        <f t="array" ref="T73:T73">T72</f>
        <v>false</v>
      </c>
      <c r="AB73" s="662" t="s">
        <v>1759</v>
      </c>
      <c r="AC73" s="621" t="s">
        <v>1760</v>
      </c>
      <c r="AD73" s="622"/>
      <c r="AE73" s="616"/>
      <c r="AF73" s="616"/>
      <c r="AG73" s="616"/>
      <c r="AH73" s="616"/>
      <c r="AI73" s="616"/>
      <c r="AJ73" s="616"/>
      <c r="AK73" s="616"/>
      <c r="AL73" s="616"/>
      <c r="AM73" s="616"/>
      <c r="AN73" s="616"/>
      <c r="AO73" s="616"/>
      <c r="AP73" s="616"/>
      <c r="AQ73" s="616"/>
      <c r="AR73" s="616"/>
      <c r="AS73" s="616"/>
      <c r="AT73" s="616"/>
      <c r="AU73" s="616"/>
      <c r="AV73" s="616"/>
      <c r="AW73" s="616"/>
      <c r="AX73" s="616"/>
      <c r="AY73" s="616"/>
      <c r="AZ73" s="616"/>
      <c r="BA73" s="616"/>
      <c r="BB73" s="616"/>
      <c r="BC73" s="616"/>
      <c r="BD73" s="377"/>
      <c r="BE73" s="377"/>
      <c r="BF73" s="377"/>
      <c r="BG73" s="377"/>
      <c r="BH73" s="377"/>
      <c r="BI73" s="377"/>
      <c r="BJ73" s="377"/>
      <c r="BK73" s="377"/>
      <c r="BL73" s="377"/>
      <c r="BM73" s="377"/>
      <c r="BN73" s="73"/>
      <c r="BO73" s="73"/>
      <c r="BP73" s="73"/>
      <c r="BS73" s="1235" t="s">
        <v>1761</v>
      </c>
      <c r="BX73" s="1339"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1" t="s">
        <v>1762</v>
      </c>
      <c r="D74" s="1260" t="s">
        <v>1763</v>
      </c>
      <c r="E74" s="797">
        <v>15</v>
      </c>
      <c r="F74" s="922" cm="1" t="str">
        <f t="array" ref="F74:F74">OFFSET(G74,-1,-1)</f>
        <v>0</v>
      </c>
      <c r="G74" s="193" t="s">
        <v>1764</v>
      </c>
      <c r="L74" s="193" t="s">
        <v>1712</v>
      </c>
      <c r="M74" s="1284"/>
      <c r="N74" s="1284" cm="1" t="str">
        <f t="array" ref="N74:N74">OFFSET(M74,-1,1)</f>
        <v>0</v>
      </c>
      <c r="O74" s="1285" t="s">
        <v>1726</v>
      </c>
      <c r="P74" s="1285"/>
      <c r="Q74" s="1285"/>
      <c r="R74" s="1285"/>
      <c r="T74" s="808" cm="1" t="str">
        <f t="array" ref="T74:T74">T73</f>
        <v>false</v>
      </c>
      <c r="AB74" s="663" t="str">
        <f>AB73&amp;".1"</f>
        <v>17.1</v>
      </c>
      <c r="AC74" s="1349" t="s">
        <v>1765</v>
      </c>
      <c r="AD74" s="520" t="s">
        <v>900</v>
      </c>
      <c r="AE74" s="124"/>
      <c r="AF74" s="616"/>
      <c r="AG74" s="616"/>
      <c r="AH74" s="616"/>
      <c r="AI74" s="124">
        <f>MIN(AE75,_xlfn.IFERROR(AI61*1000/AI63,0))</f>
        <v>0</v>
      </c>
      <c r="AJ74" s="1956">
        <f>MIN(AI75,_xlfn.IFERROR(AJ61*1000/AJ63,0))</f>
        <v>0</v>
      </c>
      <c r="AK74" s="124">
        <f>MIN(AJ75,_xlfn.IFERROR(AK61*1000/AK63,0))</f>
        <v>0</v>
      </c>
      <c r="AL74" s="124">
        <f>MIN(AK75,_xlfn.IFERROR(AL61*1000/AL63,0))</f>
        <v>0</v>
      </c>
      <c r="AM74" s="124">
        <f>MIN(AL75,_xlfn.IFERROR(AM61*1000/AM63,0))</f>
        <v>0</v>
      </c>
      <c r="AN74" s="124">
        <f>MIN(AM75,_xlfn.IFERROR(AN61*1000/AN63,0))</f>
        <v>0</v>
      </c>
      <c r="AO74" s="124">
        <f>MIN(AN75,_xlfn.IFERROR(AO61*1000/AO63,0))</f>
        <v>0</v>
      </c>
      <c r="AP74" s="124">
        <f>MIN(AO75,_xlfn.IFERROR(AP61*1000/AP63,0))</f>
        <v>0</v>
      </c>
      <c r="AQ74" s="124">
        <f>MIN(AP75,_xlfn.IFERROR(AQ61*1000/AQ63,0))</f>
        <v>0</v>
      </c>
      <c r="AR74" s="124">
        <f>MIN(AQ75,_xlfn.IFERROR(AR61*1000/AR63,0))</f>
        <v>0</v>
      </c>
      <c r="AS74" s="124">
        <f>MIN(AR75,_xlfn.IFERROR(AS61*1000/AS63,0))</f>
        <v>0</v>
      </c>
      <c r="AT74" s="1956">
        <f>MIN(AI75,_xlfn.IFERROR(AT61*1000/AT63,0))</f>
        <v>0</v>
      </c>
      <c r="AU74" s="124">
        <f>MIN(AT75,_xlfn.IFERROR(AU61*1000/AU63,0))</f>
        <v>0</v>
      </c>
      <c r="AV74" s="124">
        <f>MIN(AU75,_xlfn.IFERROR(AV61*1000/AV63,0))</f>
        <v>0</v>
      </c>
      <c r="AW74" s="124">
        <f>MIN(AV75,_xlfn.IFERROR(AW61*1000/AW63,0))</f>
        <v>0</v>
      </c>
      <c r="AX74" s="124">
        <f>MIN(AW75,_xlfn.IFERROR(AX61*1000/AX63,0))</f>
        <v>0</v>
      </c>
      <c r="AY74" s="124">
        <f>MIN(AX75,_xlfn.IFERROR(AY61*1000/AY63,0))</f>
        <v>0</v>
      </c>
      <c r="AZ74" s="124">
        <f>MIN(AY75,_xlfn.IFERROR(AZ61*1000/AZ63,0))</f>
        <v>0</v>
      </c>
      <c r="BA74" s="124">
        <f>MIN(AZ75,_xlfn.IFERROR(BA61*1000/BA63,0))</f>
        <v>0</v>
      </c>
      <c r="BB74" s="124">
        <f>MIN(BA75,_xlfn.IFERROR(BB61*1000/BB63,0))</f>
        <v>0</v>
      </c>
      <c r="BC74" s="124">
        <f>MIN(BB75,_xlfn.IFERROR(BC61*1000/BC63,0))</f>
        <v>0</v>
      </c>
      <c r="BD74" s="377"/>
      <c r="BE74" s="377"/>
      <c r="BF74" s="377"/>
      <c r="BG74" s="377"/>
      <c r="BH74" s="377"/>
      <c r="BI74" s="377"/>
      <c r="BJ74" s="377"/>
      <c r="BK74" s="377"/>
      <c r="BL74" s="377"/>
      <c r="BM74" s="377"/>
      <c r="BN74" s="73"/>
      <c r="BO74" s="73"/>
      <c r="BP74" s="73"/>
      <c r="BS74" s="1235" t="s">
        <v>1766</v>
      </c>
      <c r="BX74" s="1271"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1" t="s">
        <v>1762</v>
      </c>
      <c r="D75" s="1260" t="s">
        <v>1763</v>
      </c>
      <c r="E75" s="797">
        <v>15</v>
      </c>
      <c r="F75" s="922" cm="1" t="str">
        <f t="array" ref="F75:F75">OFFSET(G75,-1,-1)</f>
        <v>0</v>
      </c>
      <c r="G75" s="193" t="s">
        <v>1767</v>
      </c>
      <c r="L75" s="193" t="s">
        <v>1712</v>
      </c>
      <c r="M75" s="1284"/>
      <c r="N75" s="1284" cm="1" t="str">
        <f t="array" ref="N75:N75">OFFSET(M75,-1,1)</f>
        <v>0</v>
      </c>
      <c r="O75" s="1285" t="s">
        <v>1735</v>
      </c>
      <c r="P75" s="1285"/>
      <c r="Q75" s="1285"/>
      <c r="R75" s="1285"/>
      <c r="T75" s="808" cm="1" t="str">
        <f t="array" ref="T75:T75">T74</f>
        <v>false</v>
      </c>
      <c r="AB75" s="663" t="str">
        <f>AB73&amp;".2"</f>
        <v>17.2</v>
      </c>
      <c r="AC75" s="1349" t="s">
        <v>1768</v>
      </c>
      <c r="AD75" s="520" t="s">
        <v>900</v>
      </c>
      <c r="AE75" s="615">
        <f>_xlfn.IFERROR((AE61*1000-AE64*AE74)/AE66,0)</f>
        <v>0</v>
      </c>
      <c r="AF75" s="616"/>
      <c r="AG75" s="616"/>
      <c r="AH75" s="616"/>
      <c r="AI75" s="615">
        <f>_xlfn.IFERROR((AI61*1000-AI64*AI74)/AI66,0)</f>
        <v>0</v>
      </c>
      <c r="AJ75" s="615">
        <f>_xlfn.IFERROR((AJ61*1000-AJ64*AJ74)/AJ66,0)</f>
        <v>0</v>
      </c>
      <c r="AK75" s="615">
        <f>_xlfn.IFERROR((AK61*1000-AK64*AK74)/AK66,0)</f>
        <v>0</v>
      </c>
      <c r="AL75" s="615">
        <f>_xlfn.IFERROR((AL61*1000-AL64*AL74)/AL66,0)</f>
        <v>0</v>
      </c>
      <c r="AM75" s="615">
        <f>_xlfn.IFERROR((AM61*1000-AM64*AM74)/AM66,0)</f>
        <v>0</v>
      </c>
      <c r="AN75" s="615">
        <f>_xlfn.IFERROR((AN61*1000-AN64*AN74)/AN66,0)</f>
        <v>0</v>
      </c>
      <c r="AO75" s="615">
        <f>_xlfn.IFERROR((AO61*1000-AO64*AO74)/AO66,0)</f>
        <v>0</v>
      </c>
      <c r="AP75" s="615">
        <f>_xlfn.IFERROR((AP61*1000-AP64*AP74)/AP66,0)</f>
        <v>0</v>
      </c>
      <c r="AQ75" s="615">
        <f>_xlfn.IFERROR((AQ61*1000-AQ64*AQ74)/AQ66,0)</f>
        <v>0</v>
      </c>
      <c r="AR75" s="615">
        <f>_xlfn.IFERROR((AR61*1000-AR64*AR74)/AR66,0)</f>
        <v>0</v>
      </c>
      <c r="AS75" s="615">
        <f>_xlfn.IFERROR((AS61*1000-AS64*AS74)/AS66,0)</f>
        <v>0</v>
      </c>
      <c r="AT75" s="615">
        <f>_xlfn.IFERROR((AT61*1000-AT64*AT74)/AT66,0)</f>
        <v>0</v>
      </c>
      <c r="AU75" s="615">
        <f>_xlfn.IFERROR((AU61*1000-AU64*AU74)/AU66,0)</f>
        <v>0</v>
      </c>
      <c r="AV75" s="615">
        <f>_xlfn.IFERROR((AV61*1000-AV64*AV74)/AV66,0)</f>
        <v>0</v>
      </c>
      <c r="AW75" s="615">
        <f>_xlfn.IFERROR((AW61*1000-AW64*AW74)/AW66,0)</f>
        <v>0</v>
      </c>
      <c r="AX75" s="615">
        <f>_xlfn.IFERROR((AX61*1000-AX64*AX74)/AX66,0)</f>
        <v>0</v>
      </c>
      <c r="AY75" s="615">
        <f>_xlfn.IFERROR((AY61*1000-AY64*AY74)/AY66,0)</f>
        <v>0</v>
      </c>
      <c r="AZ75" s="615">
        <f>_xlfn.IFERROR((AZ61*1000-AZ64*AZ74)/AZ66,0)</f>
        <v>0</v>
      </c>
      <c r="BA75" s="615">
        <f>_xlfn.IFERROR((BA61*1000-BA64*BA74)/BA66,0)</f>
        <v>0</v>
      </c>
      <c r="BB75" s="615">
        <f>_xlfn.IFERROR((BB61*1000-BB64*BB74)/BB66,0)</f>
        <v>0</v>
      </c>
      <c r="BC75" s="615">
        <f>_xlfn.IFERROR((BC61*1000-BC64*BC74)/BC66,0)</f>
        <v>0</v>
      </c>
      <c r="BD75" s="377"/>
      <c r="BE75" s="377"/>
      <c r="BF75" s="377"/>
      <c r="BG75" s="377"/>
      <c r="BH75" s="377"/>
      <c r="BI75" s="377"/>
      <c r="BJ75" s="377"/>
      <c r="BK75" s="377"/>
      <c r="BL75" s="377"/>
      <c r="BM75" s="377"/>
      <c r="BN75" s="73"/>
      <c r="BO75" s="73"/>
      <c r="BP75" s="73"/>
      <c r="BS75" s="1235" t="s">
        <v>1769</v>
      </c>
      <c r="BX75" s="1271"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1" t="s">
        <v>1770</v>
      </c>
      <c r="D76" s="1260" t="s">
        <v>1771</v>
      </c>
      <c r="E76" s="797">
        <v>15</v>
      </c>
      <c r="F76" s="922" cm="1" t="str">
        <f t="array" ref="F76:F76">OFFSET(G76,-1,-1)</f>
        <v>0</v>
      </c>
      <c r="L76" s="193" t="s">
        <v>1712</v>
      </c>
      <c r="M76" s="1284"/>
      <c r="N76" s="1284" cm="1" t="str">
        <f t="array" ref="N76:N76">OFFSET(M76,-1,1)</f>
        <v>0</v>
      </c>
      <c r="O76" s="1285"/>
      <c r="P76" s="1285" t="s">
        <v>1772</v>
      </c>
      <c r="Q76" s="1285"/>
      <c r="R76" s="1285"/>
      <c r="T76" s="808" cm="1" t="str">
        <f t="array" ref="T76:T76">T75</f>
        <v>false</v>
      </c>
      <c r="AB76" s="663" t="str">
        <f>AB73&amp;".3"</f>
        <v>17.3</v>
      </c>
      <c r="AC76" s="315" t="s">
        <v>1773</v>
      </c>
      <c r="AD76" s="520" t="s">
        <v>498</v>
      </c>
      <c r="AE76" s="665">
        <f>_xlfn.IFERROR(AE75/AE74,0)</f>
        <v>0</v>
      </c>
      <c r="AF76" s="616"/>
      <c r="AG76" s="616"/>
      <c r="AH76" s="616"/>
      <c r="AI76" s="665">
        <f>_xlfn.IFERROR(AI75/AI74,0)</f>
        <v>0</v>
      </c>
      <c r="AJ76" s="665">
        <f>_xlfn.IFERROR(AJ75/AJ74,0)</f>
        <v>0</v>
      </c>
      <c r="AK76" s="665">
        <f>_xlfn.IFERROR(AK75/AK74,0)</f>
        <v>0</v>
      </c>
      <c r="AL76" s="665">
        <f>_xlfn.IFERROR(AL75/AL74,0)</f>
        <v>0</v>
      </c>
      <c r="AM76" s="665">
        <f>_xlfn.IFERROR(AM75/AM74,0)</f>
        <v>0</v>
      </c>
      <c r="AN76" s="665">
        <f>_xlfn.IFERROR(AN75/AN74,0)</f>
        <v>0</v>
      </c>
      <c r="AO76" s="665">
        <f>_xlfn.IFERROR(AO75/AO74,0)</f>
        <v>0</v>
      </c>
      <c r="AP76" s="665">
        <f>_xlfn.IFERROR(AP75/AP74,0)</f>
        <v>0</v>
      </c>
      <c r="AQ76" s="665">
        <f>_xlfn.IFERROR(AQ75/AQ74,0)</f>
        <v>0</v>
      </c>
      <c r="AR76" s="665">
        <f>_xlfn.IFERROR(AR75/AR74,0)</f>
        <v>0</v>
      </c>
      <c r="AS76" s="665">
        <f>_xlfn.IFERROR(AS75/AS74,0)</f>
        <v>0</v>
      </c>
      <c r="AT76" s="665">
        <f>_xlfn.IFERROR(AT75/AT74,0)</f>
        <v>0</v>
      </c>
      <c r="AU76" s="665">
        <f>_xlfn.IFERROR(AU75/AU74,0)</f>
        <v>0</v>
      </c>
      <c r="AV76" s="665">
        <f>_xlfn.IFERROR(AV75/AV74,0)</f>
        <v>0</v>
      </c>
      <c r="AW76" s="665">
        <f>_xlfn.IFERROR(AW75/AW74,0)</f>
        <v>0</v>
      </c>
      <c r="AX76" s="665">
        <f>_xlfn.IFERROR(AX75/AX74,0)</f>
        <v>0</v>
      </c>
      <c r="AY76" s="665">
        <f>_xlfn.IFERROR(AY75/AY74,0)</f>
        <v>0</v>
      </c>
      <c r="AZ76" s="665">
        <f>_xlfn.IFERROR(AZ75/AZ74,0)</f>
        <v>0</v>
      </c>
      <c r="BA76" s="665">
        <f>_xlfn.IFERROR(BA75/BA74,0)</f>
        <v>0</v>
      </c>
      <c r="BB76" s="665">
        <f>_xlfn.IFERROR(BB75/BB74,0)</f>
        <v>0</v>
      </c>
      <c r="BC76" s="665">
        <f>_xlfn.IFERROR(BC75/BC74,0)</f>
        <v>0</v>
      </c>
      <c r="BD76" s="377"/>
      <c r="BE76" s="377"/>
      <c r="BF76" s="377"/>
      <c r="BG76" s="377"/>
      <c r="BH76" s="377"/>
      <c r="BI76" s="377"/>
      <c r="BJ76" s="377"/>
      <c r="BK76" s="377"/>
      <c r="BL76" s="377"/>
      <c r="BM76" s="377"/>
      <c r="BN76" s="73"/>
      <c r="BO76" s="73"/>
      <c r="BP76" s="73"/>
      <c r="BS76" s="1235" t="s">
        <v>1774</v>
      </c>
      <c r="BX76" s="1271"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1"/>
      <c r="D77" s="1260"/>
      <c r="E77" s="797">
        <v>33</v>
      </c>
      <c r="F77" s="922" cm="1" t="str">
        <f t="array" ref="F77:F77">OFFSET(G77,-1,-1)</f>
        <v>0</v>
      </c>
      <c r="L77" s="193" t="s">
        <v>1712</v>
      </c>
      <c r="M77" s="1284"/>
      <c r="N77" s="1284" cm="1" t="str">
        <f t="array" ref="N77:N77">OFFSET(M77,-1,1)</f>
        <v>0</v>
      </c>
      <c r="O77" s="1285"/>
      <c r="P77" s="1285"/>
      <c r="Q77" s="1285"/>
      <c r="R77" s="1285"/>
      <c r="T77" s="808" cm="1" t="str">
        <f t="array" ref="T77:T77">T76</f>
        <v>false</v>
      </c>
      <c r="AB77" s="286" t="s">
        <v>561</v>
      </c>
      <c r="AC77" s="621" t="s">
        <v>1775</v>
      </c>
      <c r="AD77" s="622"/>
      <c r="AE77" s="616"/>
      <c r="AF77" s="616"/>
      <c r="AG77" s="616"/>
      <c r="AH77" s="616"/>
      <c r="AI77" s="616"/>
      <c r="AJ77" s="616"/>
      <c r="AK77" s="616"/>
      <c r="AL77" s="616"/>
      <c r="AM77" s="616"/>
      <c r="AN77" s="616"/>
      <c r="AO77" s="616"/>
      <c r="AP77" s="616"/>
      <c r="AQ77" s="616"/>
      <c r="AR77" s="616"/>
      <c r="AS77" s="616"/>
      <c r="AT77" s="616"/>
      <c r="AU77" s="616"/>
      <c r="AV77" s="616"/>
      <c r="AW77" s="616"/>
      <c r="AX77" s="616"/>
      <c r="AY77" s="616"/>
      <c r="AZ77" s="616"/>
      <c r="BA77" s="616"/>
      <c r="BB77" s="616"/>
      <c r="BC77" s="616"/>
      <c r="BD77" s="377"/>
      <c r="BE77" s="377"/>
      <c r="BF77" s="377"/>
      <c r="BG77" s="377"/>
      <c r="BH77" s="377"/>
      <c r="BI77" s="377"/>
      <c r="BJ77" s="377"/>
      <c r="BK77" s="377"/>
      <c r="BL77" s="377"/>
      <c r="BM77" s="377"/>
      <c r="BN77" s="73"/>
      <c r="BO77" s="73"/>
      <c r="BP77" s="73"/>
      <c r="BS77" s="1235" t="s">
        <v>1776</v>
      </c>
      <c r="BX77" s="1339"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1" t="s">
        <v>1777</v>
      </c>
      <c r="D78" s="1260" t="s">
        <v>1778</v>
      </c>
      <c r="E78" s="797">
        <v>33</v>
      </c>
      <c r="F78" s="922" cm="1" t="str">
        <f t="array" ref="F78:F78">OFFSET(G78,-1,-1)</f>
        <v>0</v>
      </c>
      <c r="G78" s="193" t="s">
        <v>1779</v>
      </c>
      <c r="L78" s="193" t="s">
        <v>1712</v>
      </c>
      <c r="M78" s="1284"/>
      <c r="N78" s="1284" cm="1" t="str">
        <f t="array" ref="N78:N78">OFFSET(M78,-1,1)</f>
        <v>0</v>
      </c>
      <c r="O78" s="1285" t="s">
        <v>1726</v>
      </c>
      <c r="P78" s="1285"/>
      <c r="Q78" s="1285"/>
      <c r="R78" s="1285"/>
      <c r="T78" s="808" cm="1" t="str">
        <f t="array" ref="T78:T78">T77</f>
        <v>false</v>
      </c>
      <c r="AB78" s="663" t="str">
        <f>AB77&amp;".1"</f>
        <v>18.1</v>
      </c>
      <c r="AC78" s="164" t="s">
        <v>1780</v>
      </c>
      <c r="AD78" s="520" t="s">
        <v>1781</v>
      </c>
      <c r="AE78" s="98"/>
      <c r="AF78" s="377"/>
      <c r="AG78" s="377"/>
      <c r="AH78" s="377"/>
      <c r="AI78" s="124">
        <f>MIN(AE79,_xlfn.IFERROR(AI62/AI70/12,0))</f>
        <v>0</v>
      </c>
      <c r="AJ78" s="1956">
        <f>MIN(AI79,_xlfn.IFERROR(AJ62/AJ70/12,0))</f>
        <v>0</v>
      </c>
      <c r="AK78" s="124">
        <f>MIN(AJ79,_xlfn.IFERROR(AK62/AK70/12,0))</f>
        <v>0</v>
      </c>
      <c r="AL78" s="124">
        <f>MIN(AK79,_xlfn.IFERROR(AL62/AL70/12,0))</f>
        <v>0</v>
      </c>
      <c r="AM78" s="124">
        <f>MIN(AL79,_xlfn.IFERROR(AM62/AM70/12,0))</f>
        <v>0</v>
      </c>
      <c r="AN78" s="124">
        <f>MIN(AM79,_xlfn.IFERROR(AN62/AN70/12,0))</f>
        <v>0</v>
      </c>
      <c r="AO78" s="124">
        <f>MIN(AN79,_xlfn.IFERROR(AO62/AO70/12,0))</f>
        <v>0</v>
      </c>
      <c r="AP78" s="124">
        <f>MIN(AO79,_xlfn.IFERROR(AP62/AP70/12,0))</f>
        <v>0</v>
      </c>
      <c r="AQ78" s="124">
        <f>MIN(AP79,_xlfn.IFERROR(AQ62/AQ70/12,0))</f>
        <v>0</v>
      </c>
      <c r="AR78" s="124">
        <f>MIN(AQ79,_xlfn.IFERROR(AR62/AR70/12,0))</f>
        <v>0</v>
      </c>
      <c r="AS78" s="124">
        <f>MIN(AR79,_xlfn.IFERROR(AS62/AS70/12,0))</f>
        <v>0</v>
      </c>
      <c r="AT78" s="1956">
        <f>MIN(AI79,_xlfn.IFERROR(AT62/AT70/12,0))</f>
        <v>0</v>
      </c>
      <c r="AU78" s="124">
        <f>MIN(AT79,_xlfn.IFERROR(AU62/AU70/12,0))</f>
        <v>0</v>
      </c>
      <c r="AV78" s="124">
        <f>MIN(AU79,_xlfn.IFERROR(AV62/AV70/12,0))</f>
        <v>0</v>
      </c>
      <c r="AW78" s="124">
        <f>MIN(AV79,_xlfn.IFERROR(AW62/AW70/12,0))</f>
        <v>0</v>
      </c>
      <c r="AX78" s="124">
        <f>MIN(AW79,_xlfn.IFERROR(AX62/AX70/12,0))</f>
        <v>0</v>
      </c>
      <c r="AY78" s="124">
        <f>MIN(AX79,_xlfn.IFERROR(AY62/AY70/12,0))</f>
        <v>0</v>
      </c>
      <c r="AZ78" s="124">
        <f>MIN(AY79,_xlfn.IFERROR(AZ62/AZ70/12,0))</f>
        <v>0</v>
      </c>
      <c r="BA78" s="124">
        <f>MIN(AZ79,_xlfn.IFERROR(BA62/BA70/12,0))</f>
        <v>0</v>
      </c>
      <c r="BB78" s="124">
        <f>MIN(BA79,_xlfn.IFERROR(BB62/BB70/12,0))</f>
        <v>0</v>
      </c>
      <c r="BC78" s="124">
        <f>MIN(BB79,_xlfn.IFERROR(BC62/BC70/12,0))</f>
        <v>0</v>
      </c>
      <c r="BD78" s="377"/>
      <c r="BE78" s="377"/>
      <c r="BF78" s="377"/>
      <c r="BG78" s="377"/>
      <c r="BH78" s="377"/>
      <c r="BI78" s="377"/>
      <c r="BJ78" s="377"/>
      <c r="BK78" s="377"/>
      <c r="BL78" s="377"/>
      <c r="BM78" s="377"/>
      <c r="BN78" s="73"/>
      <c r="BO78" s="73"/>
      <c r="BP78" s="73"/>
      <c r="BS78" s="1235" t="s">
        <v>1782</v>
      </c>
      <c r="BX78" s="1271"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1" t="s">
        <v>1777</v>
      </c>
      <c r="D79" s="1260" t="s">
        <v>1778</v>
      </c>
      <c r="E79" s="797">
        <v>33</v>
      </c>
      <c r="F79" s="922" cm="1" t="str">
        <f t="array" ref="F79:F79">OFFSET(G79,-1,-1)</f>
        <v>0</v>
      </c>
      <c r="G79" s="193" t="s">
        <v>1783</v>
      </c>
      <c r="L79" s="193" t="s">
        <v>1712</v>
      </c>
      <c r="M79" s="1284"/>
      <c r="N79" s="1284" cm="1" t="str">
        <f t="array" ref="N79:N79">OFFSET(M79,-1,1)</f>
        <v>0</v>
      </c>
      <c r="O79" s="1285" t="s">
        <v>1735</v>
      </c>
      <c r="P79" s="1285"/>
      <c r="Q79" s="1285"/>
      <c r="R79" s="1285"/>
      <c r="T79" s="808" cm="1" t="str">
        <f t="array" ref="T79:T79">T78</f>
        <v>false</v>
      </c>
      <c r="AB79" s="663" t="str">
        <f>AB77&amp;".2"</f>
        <v>18.2</v>
      </c>
      <c r="AC79" s="164" t="s">
        <v>1784</v>
      </c>
      <c r="AD79" s="520" t="s">
        <v>1781</v>
      </c>
      <c r="AE79" s="310">
        <f>_xlfn.IFERROR((AE62-AE71*6*AE78)/AE72/6,0)</f>
        <v>0</v>
      </c>
      <c r="AF79" s="377"/>
      <c r="AG79" s="377"/>
      <c r="AH79" s="377"/>
      <c r="AI79" s="310">
        <f>_xlfn.IFERROR((AI62-AI71*6*AI78)/AI72/6,0)</f>
        <v>0</v>
      </c>
      <c r="AJ79" s="310">
        <f>_xlfn.IFERROR((AJ62-AJ71*IF(god=2026,9,6)*AJ78)/AJ72/IF(god=2026,3,6),0)</f>
        <v>0</v>
      </c>
      <c r="AK79" s="310">
        <f>_xlfn.IFERROR((AK62-AK71*IF(god=2025,9,6)*AK78)/AK72/IF(god=2025,3,6),0)</f>
        <v>0</v>
      </c>
      <c r="AL79" s="310">
        <f>_xlfn.IFERROR((AL62-AL71*6*AL78)/AL72/6,0)</f>
        <v>0</v>
      </c>
      <c r="AM79" s="310">
        <f>_xlfn.IFERROR((AM62-AM71*6*AM78)/AM72/6,0)</f>
        <v>0</v>
      </c>
      <c r="AN79" s="310">
        <f>_xlfn.IFERROR((AN62-AN71*6*AN78)/AN72/6,0)</f>
        <v>0</v>
      </c>
      <c r="AO79" s="310">
        <f>_xlfn.IFERROR((AO62-AO71*6*AO78)/AO72/6,0)</f>
        <v>0</v>
      </c>
      <c r="AP79" s="310">
        <f>_xlfn.IFERROR((AP62-AP71*6*AP78)/AP72/6,0)</f>
        <v>0</v>
      </c>
      <c r="AQ79" s="310">
        <f>_xlfn.IFERROR((AQ62-AQ71*6*AQ78)/AQ72/6,0)</f>
        <v>0</v>
      </c>
      <c r="AR79" s="310">
        <f>_xlfn.IFERROR((AR62-AR71*6*AR78)/AR72/6,0)</f>
        <v>0</v>
      </c>
      <c r="AS79" s="310">
        <f>_xlfn.IFERROR((AS62-AS71*6*AS78)/AS72/6,0)</f>
        <v>0</v>
      </c>
      <c r="AT79" s="310">
        <f>_xlfn.IFERROR((AT62-AT71*IF(god=2026,9,6)*AT78)/AT72/IF(god=2026,3,6),0)</f>
        <v>0</v>
      </c>
      <c r="AU79" s="310">
        <f>_xlfn.IFERROR((AU62-AU71*IF(god=2025,9,6)*AU78)/AU72/IF(god=2025,3,6),0)</f>
        <v>0</v>
      </c>
      <c r="AV79" s="310">
        <f>_xlfn.IFERROR((AV62-AV71*6*AV78)/AV72/6,0)</f>
        <v>0</v>
      </c>
      <c r="AW79" s="310">
        <f>_xlfn.IFERROR((AW62-AW71*6*AW78)/AW72/6,0)</f>
        <v>0</v>
      </c>
      <c r="AX79" s="310">
        <f>_xlfn.IFERROR((AX62-AX71*6*AX78)/AX72/6,0)</f>
        <v>0</v>
      </c>
      <c r="AY79" s="310">
        <f>_xlfn.IFERROR((AY62-AY71*6*AY78)/AY72/6,0)</f>
        <v>0</v>
      </c>
      <c r="AZ79" s="310">
        <f>_xlfn.IFERROR((AZ62-AZ71*6*AZ78)/AZ72/6,0)</f>
        <v>0</v>
      </c>
      <c r="BA79" s="310">
        <f>_xlfn.IFERROR((BA62-BA71*6*BA78)/BA72/6,0)</f>
        <v>0</v>
      </c>
      <c r="BB79" s="310">
        <f>_xlfn.IFERROR((BB62-BB71*6*BB78)/BB72/6,0)</f>
        <v>0</v>
      </c>
      <c r="BC79" s="310">
        <f>_xlfn.IFERROR((BC62-BC71*6*BC78)/BC72/6,0)</f>
        <v>0</v>
      </c>
      <c r="BD79" s="377"/>
      <c r="BE79" s="377"/>
      <c r="BF79" s="377"/>
      <c r="BG79" s="377"/>
      <c r="BH79" s="377"/>
      <c r="BI79" s="377"/>
      <c r="BJ79" s="377"/>
      <c r="BK79" s="377"/>
      <c r="BL79" s="377"/>
      <c r="BM79" s="377"/>
      <c r="BN79" s="73"/>
      <c r="BO79" s="73"/>
      <c r="BP79" s="73"/>
      <c r="BS79" s="1235" t="s">
        <v>1785</v>
      </c>
      <c r="BX79" s="1271"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1" t="s">
        <v>1770</v>
      </c>
      <c r="D80" s="1260" t="s">
        <v>1771</v>
      </c>
      <c r="E80" s="797">
        <v>15</v>
      </c>
      <c r="F80" s="922" cm="1" t="str">
        <f t="array" ref="F80:F80">OFFSET(G80,-1,-1)</f>
        <v>0</v>
      </c>
      <c r="L80" s="193" t="s">
        <v>1712</v>
      </c>
      <c r="M80" s="1284"/>
      <c r="N80" s="1284" cm="1" t="str">
        <f t="array" ref="N80:N80">OFFSET(M80,-1,1)</f>
        <v>0</v>
      </c>
      <c r="O80" s="1285"/>
      <c r="P80" s="1285"/>
      <c r="Q80" s="1285" t="s">
        <v>1786</v>
      </c>
      <c r="R80" s="1285"/>
      <c r="T80" s="808" cm="1" t="str">
        <f t="array" ref="T80:T80">T79</f>
        <v>false</v>
      </c>
      <c r="AB80" s="663" t="str">
        <f>AB77&amp;".3"</f>
        <v>18.3</v>
      </c>
      <c r="AC80" s="315" t="s">
        <v>1787</v>
      </c>
      <c r="AD80" s="720" t="s">
        <v>498</v>
      </c>
      <c r="AE80" s="1064">
        <f>_xlfn.IFERROR(AE79/AE78,0)</f>
        <v>0</v>
      </c>
      <c r="AF80" s="377"/>
      <c r="AG80" s="377"/>
      <c r="AH80" s="1065"/>
      <c r="AI80" s="665">
        <f>_xlfn.IFERROR(AI79/AI78,0)</f>
        <v>0</v>
      </c>
      <c r="AJ80" s="665">
        <f>_xlfn.IFERROR(AJ79/AJ78,0)</f>
        <v>0</v>
      </c>
      <c r="AK80" s="665">
        <f>_xlfn.IFERROR(AK79/AK78,0)</f>
        <v>0</v>
      </c>
      <c r="AL80" s="665">
        <f>_xlfn.IFERROR(AL79/AL78,0)</f>
        <v>0</v>
      </c>
      <c r="AM80" s="665">
        <f>_xlfn.IFERROR(AM79/AM78,0)</f>
        <v>0</v>
      </c>
      <c r="AN80" s="665">
        <f>_xlfn.IFERROR(AN79/AN78,0)</f>
        <v>0</v>
      </c>
      <c r="AO80" s="665">
        <f>_xlfn.IFERROR(AO79/AO78,0)</f>
        <v>0</v>
      </c>
      <c r="AP80" s="665">
        <f>_xlfn.IFERROR(AP79/AP78,0)</f>
        <v>0</v>
      </c>
      <c r="AQ80" s="665">
        <f>_xlfn.IFERROR(AQ79/AQ78,0)</f>
        <v>0</v>
      </c>
      <c r="AR80" s="665">
        <f>_xlfn.IFERROR(AR79/AR78,0)</f>
        <v>0</v>
      </c>
      <c r="AS80" s="665">
        <f>_xlfn.IFERROR(AS79/AS78,0)</f>
        <v>0</v>
      </c>
      <c r="AT80" s="665">
        <f>_xlfn.IFERROR(AT79/AT78,0)</f>
        <v>0</v>
      </c>
      <c r="AU80" s="665">
        <f>_xlfn.IFERROR(AU79/AU78,0)</f>
        <v>0</v>
      </c>
      <c r="AV80" s="665">
        <f>_xlfn.IFERROR(AV79/AV78,0)</f>
        <v>0</v>
      </c>
      <c r="AW80" s="665">
        <f>_xlfn.IFERROR(AW79/AW78,0)</f>
        <v>0</v>
      </c>
      <c r="AX80" s="665">
        <f>_xlfn.IFERROR(AX79/AX78,0)</f>
        <v>0</v>
      </c>
      <c r="AY80" s="665">
        <f>_xlfn.IFERROR(AY79/AY78,0)</f>
        <v>0</v>
      </c>
      <c r="AZ80" s="665">
        <f>_xlfn.IFERROR(AZ79/AZ78,0)</f>
        <v>0</v>
      </c>
      <c r="BA80" s="665">
        <f>_xlfn.IFERROR(BA79/BA78,0)</f>
        <v>0</v>
      </c>
      <c r="BB80" s="665">
        <f>_xlfn.IFERROR(BB79/BB78,0)</f>
        <v>0</v>
      </c>
      <c r="BC80" s="665">
        <f>_xlfn.IFERROR(BC79/BC78,0)</f>
        <v>0</v>
      </c>
      <c r="BD80" s="377"/>
      <c r="BE80" s="377"/>
      <c r="BF80" s="377"/>
      <c r="BG80" s="377"/>
      <c r="BH80" s="377"/>
      <c r="BI80" s="377"/>
      <c r="BJ80" s="377"/>
      <c r="BK80" s="377"/>
      <c r="BL80" s="377"/>
      <c r="BM80" s="377"/>
      <c r="BN80" s="73"/>
      <c r="BO80" s="73"/>
      <c r="BP80" s="73"/>
      <c r="BS80" s="1235" t="s">
        <v>1788</v>
      </c>
      <c r="BX80" s="1271"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1" t="s">
        <v>1789</v>
      </c>
      <c r="D81" s="1260" t="s">
        <v>1790</v>
      </c>
      <c r="E81" s="797">
        <v>30</v>
      </c>
      <c r="F81" s="922" cm="1" t="str">
        <f t="array" ref="F81:F81">OFFSET(G81,-1,-1)</f>
        <v>0</v>
      </c>
      <c r="M81" s="1284"/>
      <c r="N81" s="1284" cm="1" t="str">
        <f t="array" ref="N81:N81">OFFSET(M81,-1,1)</f>
        <v>0</v>
      </c>
      <c r="O81" s="1285"/>
      <c r="P81" s="1285"/>
      <c r="Q81" s="1285"/>
      <c r="R81" s="1285"/>
      <c r="T81" s="808" cm="1" t="str">
        <f t="array" ref="T81:T81">T60</f>
        <v>false</v>
      </c>
      <c r="AB81" s="288" t="s">
        <v>1791</v>
      </c>
      <c r="AC81" s="1062" t="s">
        <v>1792</v>
      </c>
      <c r="AD81" s="580" t="s">
        <v>1023</v>
      </c>
      <c r="AE81" s="98"/>
      <c r="AF81" s="98"/>
      <c r="AG81" s="138"/>
      <c r="AH81" s="310">
        <f>AG81-AF81</f>
        <v>0</v>
      </c>
      <c r="AI81" s="139"/>
      <c r="AJ81" s="1980"/>
      <c r="AK81" s="139"/>
      <c r="AL81" s="139"/>
      <c r="AM81" s="139"/>
      <c r="AN81" s="139"/>
      <c r="AO81" s="139"/>
      <c r="AP81" s="139"/>
      <c r="AQ81" s="139"/>
      <c r="AR81" s="139"/>
      <c r="AS81" s="139"/>
      <c r="AT81" s="1980"/>
      <c r="AU81" s="139"/>
      <c r="AV81" s="139"/>
      <c r="AW81" s="139"/>
      <c r="AX81" s="139"/>
      <c r="AY81" s="139"/>
      <c r="AZ81" s="139"/>
      <c r="BA81" s="139"/>
      <c r="BB81" s="139"/>
      <c r="BC81" s="139"/>
      <c r="BD81" s="310">
        <f>IF(AI81=0,0,(AT81-AI81)/AI81*100)</f>
        <v>0</v>
      </c>
      <c r="BE81" s="310">
        <f>IF(AT81=0,0,(AU81-AT81)/AT81*100)</f>
        <v>0</v>
      </c>
      <c r="BF81" s="310">
        <f>IF(AU81=0,0,(AV81-AU81)/AU81*100)</f>
        <v>0</v>
      </c>
      <c r="BG81" s="310">
        <f>IF(AV81=0,0,(AW81-AV81)/AV81*100)</f>
        <v>0</v>
      </c>
      <c r="BH81" s="310">
        <f>IF(AW81=0,0,(AX81-AW81)/AW81*100)</f>
        <v>0</v>
      </c>
      <c r="BI81" s="310">
        <f>IF(AX81=0,0,(AY81-AX81)/AX81*100)</f>
        <v>0</v>
      </c>
      <c r="BJ81" s="310">
        <f>IF(AY81=0,0,(AZ81-AY81)/AY81*100)</f>
        <v>0</v>
      </c>
      <c r="BK81" s="310">
        <f>IF(AZ81=0,0,(BA81-AZ81)/AZ81*100)</f>
        <v>0</v>
      </c>
      <c r="BL81" s="310">
        <f>IF(BA81=0,0,(BB81-BA81)/BA81*100)</f>
        <v>0</v>
      </c>
      <c r="BM81" s="310">
        <f>IF(BB81=0,0,(BC81-BB81)/BB81*100)</f>
        <v>0</v>
      </c>
      <c r="BN81" s="73"/>
      <c r="BO81" s="73"/>
      <c r="BP81" s="73"/>
      <c r="BS81" s="1235" t="s">
        <v>1793</v>
      </c>
      <c r="BX81" s="1271"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81" customFormat="1" customHeight="1" ht="16.5">
      <c r="A82" s="220"/>
      <c r="B82" s="220"/>
      <c r="C82" s="1324"/>
      <c r="D82" s="1255"/>
      <c r="E82" s="797">
        <v>17.1</v>
      </c>
      <c r="F82" s="922" cm="1" t="str">
        <f t="array" ref="F82:F82">X82</f>
        <v>1</v>
      </c>
      <c r="G82" s="739" cm="1" t="str">
        <f t="array" ref="G82:G82">INDEX('Общие сведения'!$AK$169:$AK$202,MATCH($F82,'Общие сведения'!$Z$169:$Z$202,0))</f>
        <v>одноставочный</v>
      </c>
      <c r="H82" s="220"/>
      <c r="I82" s="213" cm="1" t="str">
        <f t="array" ref="I82:I82">INDEX('Общие сведения'!$AE$169:$AE$202,MATCH($F82,'Общие сведения'!$Z$169:$Z$202,0))</f>
        <v>Теплоснабжение</v>
      </c>
      <c r="J82" s="220"/>
      <c r="K82" s="213"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0"/>
      <c r="M82" s="1273"/>
      <c r="N82" s="1273"/>
      <c r="O82" s="1283"/>
      <c r="P82" s="1283"/>
      <c r="Q82" s="1283"/>
      <c r="R82" s="1283"/>
      <c r="S82" s="1982"/>
      <c r="T82" s="808">
        <f>X82&gt;0</f>
        <v>1</v>
      </c>
      <c r="U82" s="220"/>
      <c r="V82" s="175" cm="1" t="str">
        <f t="array" ref="V82:V82">'Корр Факт'!$AB$75</f>
        <v>Тариф 1 (Теплоснабжение) - Тариф на тепловую энергию (мощность), поставляемую потребителям (Не определено)</v>
      </c>
      <c r="W82" s="220"/>
      <c r="X82" s="175" t="s">
        <v>336</v>
      </c>
      <c r="Y82" s="220"/>
      <c r="Z82" s="220"/>
      <c r="AA82" s="220"/>
      <c r="AB82" s="330"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1"/>
      <c r="AD82" s="331"/>
      <c r="AE82" s="331"/>
      <c r="AF82" s="331"/>
      <c r="AG82" s="331"/>
      <c r="AH82" s="331"/>
      <c r="AI82" s="331"/>
      <c r="AJ82" s="331"/>
      <c r="AK82" s="331"/>
      <c r="AL82" s="331"/>
      <c r="AM82" s="331"/>
      <c r="AN82" s="331"/>
      <c r="AO82" s="331"/>
      <c r="AP82" s="331"/>
      <c r="AQ82" s="331"/>
      <c r="AR82" s="331"/>
      <c r="AS82" s="331"/>
      <c r="AT82" s="331"/>
      <c r="AU82" s="331"/>
      <c r="AV82" s="331"/>
      <c r="AW82" s="331"/>
      <c r="AX82" s="331"/>
      <c r="AY82" s="331"/>
      <c r="AZ82" s="331"/>
      <c r="BA82" s="331"/>
      <c r="BB82" s="331"/>
      <c r="BC82" s="331"/>
      <c r="BD82" s="331"/>
      <c r="BE82" s="331"/>
      <c r="BF82" s="331"/>
      <c r="BG82" s="331"/>
      <c r="BH82" s="331"/>
      <c r="BI82" s="331"/>
      <c r="BJ82" s="331"/>
      <c r="BK82" s="331"/>
      <c r="BL82" s="331"/>
      <c r="BM82" s="331"/>
      <c r="BN82" s="331"/>
      <c r="BO82" s="331"/>
      <c r="BP82" s="331"/>
      <c r="BQ82" s="220"/>
      <c r="BR82" s="220"/>
      <c r="BS82" s="1184"/>
      <c r="BT82" s="1184"/>
      <c r="BU82" s="1184"/>
      <c r="BV82" s="1187"/>
      <c r="BW82" s="1187"/>
      <c r="BX82" s="1299"/>
    </row>
    <row s="1632" customFormat="1" customHeight="1" ht="16.5">
      <c r="A83" s="228"/>
      <c r="B83" s="927"/>
      <c r="C83" s="1301" t="s">
        <v>1588</v>
      </c>
      <c r="D83" s="1260" t="s">
        <v>1589</v>
      </c>
      <c r="E83" s="797">
        <v>17.1</v>
      </c>
      <c r="F83" s="922" cm="1" t="str">
        <f t="array" ref="F83:F83">OFFSET(G83,-1,-1)</f>
        <v>1</v>
      </c>
      <c r="G83" s="193" t="s">
        <v>1294</v>
      </c>
      <c r="H83" s="230"/>
      <c r="I83" s="230"/>
      <c r="J83" s="230"/>
      <c r="K83" s="230"/>
      <c r="L83" s="193"/>
      <c r="M83" s="1284"/>
      <c r="N83" s="1284" cm="1" t="str">
        <f t="array" ref="N83:N83">INDEX('Общие сведения'!$N$169:$N$202,MATCH($F83,'Общие сведения'!$Z$169:$Z$202,0)+1)</f>
        <v>ТЭ.42.28873685.0002</v>
      </c>
      <c r="O83" s="1285"/>
      <c r="P83" s="1285"/>
      <c r="Q83" s="1285"/>
      <c r="R83" s="1285"/>
      <c r="S83" s="0"/>
      <c r="T83" s="808" cm="1" t="str">
        <f t="array" ref="T83:T83">T82</f>
        <v>true</v>
      </c>
      <c r="U83" s="1582"/>
      <c r="V83" s="1582"/>
      <c r="W83" s="1582"/>
      <c r="X83" s="1582"/>
      <c r="Y83" s="1582"/>
      <c r="Z83" s="1582"/>
      <c r="AA83" s="230"/>
      <c r="AB83" s="160" t="s">
        <v>336</v>
      </c>
      <c r="AC83" s="741" t="s">
        <v>1346</v>
      </c>
      <c r="AD83" s="488" t="s">
        <v>1023</v>
      </c>
      <c r="AE83" s="615">
        <f>_xlfn.SUMIFS('Операционные (5.1)'!AE$26:AE$75,'Операционные (5.1)'!$F$26:$F$75,$F83,'Операционные (5.1)'!$G$26:$G$75,$G83)</f>
        <v>13072.26</v>
      </c>
      <c r="AF83" s="615">
        <f>_xlfn.SUMIFS('Операционные (5.1)'!AF$26:AF$75,'Операционные (5.1)'!$F$26:$F$75,$F83,'Операционные (5.1)'!$G$26:$G$75,$G83)</f>
        <v>18281.53</v>
      </c>
      <c r="AG83" s="615">
        <f>_xlfn.SUMIFS('Операционные (5.1)'!AG$26:AG$75,'Операционные (5.1)'!$F$26:$F$75,$F83,'Операционные (5.1)'!$G$26:$G$75,$G83)</f>
        <v>14992.48</v>
      </c>
      <c r="AH83" s="310">
        <f>AG83-AF83</f>
        <v>-3289.05</v>
      </c>
      <c r="AI83" s="615">
        <f>_xlfn.SUMIFS('Операционные (5.1)'!AI$26:AI$75,'Операционные (5.1)'!$F$26:$F$75,$F83,'Операционные (5.1)'!$G$26:$G$75,$G83)</f>
        <v>13692.15</v>
      </c>
      <c r="AJ83" s="740">
        <f>_xlfn.SUMIFS(INDEX('Операционные (5.2)'!$AJ$26:$BC$45,,MATCH(AJ$8,'Операционные (5.2)'!$AJ$8:$BC$8,0)),'Операционные (5.2)'!$F$26:$F$45,$F83,'Операционные (5.2)'!$G$26:$G$45,$G83)</f>
        <v>26597.17024</v>
      </c>
      <c r="AK83" s="740">
        <f>_xlfn.SUMIFS(INDEX('Операционные (5.2)'!$AJ$26:$BC$45,,MATCH(AK$8,'Операционные (5.2)'!$AJ$8:$BC$8,0)),'Операционные (5.2)'!$F$26:$F$45,$F83,'Операционные (5.2)'!$G$26:$G$45,$G83)</f>
        <v>26331.1985376</v>
      </c>
      <c r="AL83" s="740">
        <f>_xlfn.SUMIFS(INDEX('Операционные (5.2)'!$AJ$26:$BC$45,,MATCH(AL$8,'Операционные (5.2)'!$AJ$8:$BC$8,0)),'Операционные (5.2)'!$F$26:$F$45,$F83,'Операционные (5.2)'!$G$26:$G$45,$G83)</f>
        <v>26067.886552224</v>
      </c>
      <c r="AM83" s="740">
        <f>_xlfn.SUMIFS(INDEX('Операционные (5.2)'!$AJ$26:$BC$45,,MATCH(AM$8,'Операционные (5.2)'!$AJ$8:$BC$8,0)),'Операционные (5.2)'!$F$26:$F$45,$F83,'Операционные (5.2)'!$G$26:$G$45,$G83)</f>
        <v>25807.2076867018</v>
      </c>
      <c r="AN83" s="740">
        <f>_xlfn.SUMIFS(INDEX('Операционные (5.2)'!$AJ$26:$BC$45,,MATCH(AN$8,'Операционные (5.2)'!$AJ$8:$BC$8,0)),'Операционные (5.2)'!$F$26:$F$45,$F83,'Операционные (5.2)'!$G$26:$G$45,$G83)</f>
        <v>25549.1356098348</v>
      </c>
      <c r="AO83" s="740">
        <f>_xlfn.SUMIFS(INDEX('Операционные (5.2)'!$AJ$26:$BC$45,,MATCH(AO$8,'Операционные (5.2)'!$AJ$8:$BC$8,0)),'Операционные (5.2)'!$F$26:$F$45,$F83,'Операционные (5.2)'!$G$26:$G$45,$G83)</f>
        <v>25293.6442537365</v>
      </c>
      <c r="AP83" s="740">
        <f>_xlfn.SUMIFS(INDEX('Операционные (5.2)'!$AJ$26:$BC$45,,MATCH(AP$8,'Операционные (5.2)'!$AJ$8:$BC$8,0)),'Операционные (5.2)'!$F$26:$F$45,$F83,'Операционные (5.2)'!$G$26:$G$45,$G83)</f>
        <v>25040.7078111991</v>
      </c>
      <c r="AQ83" s="740">
        <f>_xlfn.SUMIFS(INDEX('Операционные (5.2)'!$AJ$26:$BC$45,,MATCH(AQ$8,'Операционные (5.2)'!$AJ$8:$BC$8,0)),'Операционные (5.2)'!$F$26:$F$45,$F83,'Операционные (5.2)'!$G$26:$G$45,$G83)</f>
        <v>24790.3007330871</v>
      </c>
      <c r="AR83" s="740">
        <f>_xlfn.SUMIFS(INDEX('Операционные (5.2)'!$AJ$26:$BC$45,,MATCH(AR$8,'Операционные (5.2)'!$AJ$8:$BC$8,0)),'Операционные (5.2)'!$F$26:$F$45,$F83,'Операционные (5.2)'!$G$26:$G$45,$G83)</f>
        <v>24542.3977257562</v>
      </c>
      <c r="AS83" s="740">
        <f>_xlfn.SUMIFS(INDEX('Операционные (5.2)'!$AJ$26:$BC$45,,MATCH(AS$8,'Операционные (5.2)'!$AJ$8:$BC$8,0)),'Операционные (5.2)'!$F$26:$F$45,$F83,'Операционные (5.2)'!$G$26:$G$45,$G83)</f>
        <v>24296.9737484986</v>
      </c>
      <c r="AT83" s="740">
        <f>_xlfn.SUMIFS(INDEX('Операционные (5.2)'!$AJ$26:$BC$45,,MATCH(AT$8,'Операционные (5.2)'!$AJ$8:$BC$8,0)),'Операционные (5.2)'!$F$26:$F$45,$F83,'Операционные (5.2)'!$G$26:$G$45,$G83)</f>
        <v>14246.54184</v>
      </c>
      <c r="AU83" s="740">
        <f>_xlfn.SUMIFS(INDEX('Операционные (5.2)'!$AJ$26:$BC$45,,MATCH(AU$8,'Операционные (5.2)'!$AJ$8:$BC$8,0)),'Операционные (5.2)'!$F$26:$F$45,$F83,'Операционные (5.2)'!$G$26:$G$45,$G83)</f>
        <v>14104.0764216</v>
      </c>
      <c r="AV83" s="740">
        <f>_xlfn.SUMIFS(INDEX('Операционные (5.2)'!$AJ$26:$BC$45,,MATCH(AV$8,'Операционные (5.2)'!$AJ$8:$BC$8,0)),'Операционные (5.2)'!$F$26:$F$45,$F83,'Операционные (5.2)'!$G$26:$G$45,$G83)</f>
        <v>13963.035657384</v>
      </c>
      <c r="AW83" s="740">
        <f>_xlfn.SUMIFS(INDEX('Операционные (5.2)'!$AJ$26:$BC$45,,MATCH(AW$8,'Операционные (5.2)'!$AJ$8:$BC$8,0)),'Операционные (5.2)'!$F$26:$F$45,$F83,'Операционные (5.2)'!$G$26:$G$45,$G83)</f>
        <v>13823.4053008102</v>
      </c>
      <c r="AX83" s="740">
        <f>_xlfn.SUMIFS(INDEX('Операционные (5.2)'!$AJ$26:$BC$45,,MATCH(AX$8,'Операционные (5.2)'!$AJ$8:$BC$8,0)),'Операционные (5.2)'!$F$26:$F$45,$F83,'Операционные (5.2)'!$G$26:$G$45,$G83)</f>
        <v>13685.1712478021</v>
      </c>
      <c r="AY83" s="740">
        <f>_xlfn.SUMIFS(INDEX('Операционные (5.2)'!$AJ$26:$BC$45,,MATCH(AY$8,'Операционные (5.2)'!$AJ$8:$BC$8,0)),'Операционные (5.2)'!$F$26:$F$45,$F83,'Операционные (5.2)'!$G$26:$G$45,$G83)</f>
        <v>13548.3195353241</v>
      </c>
      <c r="AZ83" s="740">
        <f>_xlfn.SUMIFS(INDEX('Операционные (5.2)'!$AJ$26:$BC$45,,MATCH(AZ$8,'Операционные (5.2)'!$AJ$8:$BC$8,0)),'Операционные (5.2)'!$F$26:$F$45,$F83,'Операционные (5.2)'!$G$26:$G$45,$G83)</f>
        <v>13412.8363399709</v>
      </c>
      <c r="BA83" s="740">
        <f>_xlfn.SUMIFS(INDEX('Операционные (5.2)'!$AJ$26:$BC$45,,MATCH(BA$8,'Операционные (5.2)'!$AJ$8:$BC$8,0)),'Операционные (5.2)'!$F$26:$F$45,$F83,'Операционные (5.2)'!$G$26:$G$45,$G83)</f>
        <v>13278.7079765712</v>
      </c>
      <c r="BB83" s="740">
        <f>_xlfn.SUMIFS(INDEX('Операционные (5.2)'!$AJ$26:$BC$45,,MATCH(BB$8,'Операционные (5.2)'!$AJ$8:$BC$8,0)),'Операционные (5.2)'!$F$26:$F$45,$F83,'Операционные (5.2)'!$G$26:$G$45,$G83)</f>
        <v>13145.9208968055</v>
      </c>
      <c r="BC83" s="740">
        <f>_xlfn.SUMIFS(INDEX('Операционные (5.2)'!$AJ$26:$BC$45,,MATCH(BC$8,'Операционные (5.2)'!$AJ$8:$BC$8,0)),'Операционные (5.2)'!$F$26:$F$45,$F83,'Операционные (5.2)'!$G$26:$G$45,$G83)</f>
        <v>13014.4616878374</v>
      </c>
      <c r="BD83" s="310">
        <f>IF(AI83=0,0,(AT83-AI83)/AI83*100)</f>
        <v>4.04897580000219</v>
      </c>
      <c r="BE83" s="310">
        <f>IF(AT83=0,0,(AU83-AT83)/AT83*100)</f>
        <v>-0.99999999999999</v>
      </c>
      <c r="BF83" s="310">
        <f>IF(AU83=0,0,(AV83-AU83)/AU83*100)</f>
        <v>-1</v>
      </c>
      <c r="BG83" s="310">
        <f>IF(AV83=0,0,(AW83-AV83)/AV83*100)</f>
        <v>-0.99999999999971</v>
      </c>
      <c r="BH83" s="310">
        <f>IF(AW83=0,0,(AX83-AW83)/AW83*100)</f>
        <v>-0.99999999999999</v>
      </c>
      <c r="BI83" s="310">
        <f>IF(AX83=0,0,(AY83-AX83)/AX83*100)</f>
        <v>-0.99999999999984</v>
      </c>
      <c r="BJ83" s="310">
        <f>IF(AY83=0,0,(AZ83-AY83)/AY83*100)</f>
        <v>-0.99999999999971</v>
      </c>
      <c r="BK83" s="310">
        <f>IF(AZ83=0,0,(BA83-AZ83)/AZ83*100)</f>
        <v>-0.99999999999993</v>
      </c>
      <c r="BL83" s="310">
        <f>IF(BA83=0,0,(BB83-BA83)/BA83*100)</f>
        <v>-0.99999999999991</v>
      </c>
      <c r="BM83" s="310">
        <f>IF(BB83=0,0,(BC83-BB83)/BB83*100)</f>
        <v>-1.0000000000003</v>
      </c>
      <c r="BN83" s="1719"/>
      <c r="BO83" s="1719"/>
      <c r="BP83" s="1719"/>
      <c r="BQ83" s="230"/>
      <c r="BR83" s="230"/>
      <c r="BS83" s="1235" t="s">
        <v>1590</v>
      </c>
      <c r="BT83" s="1235"/>
      <c r="BU83" s="1235"/>
      <c r="BV83" s="1236"/>
      <c r="BW83" s="1236"/>
      <c r="BX83" s="1271"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M10746::ТЭ.42.28873685.0002::Неопределено::Неопределено::Неопределено::Неопределено::Неопределено</v>
      </c>
    </row>
    <row s="1632" customFormat="1" customHeight="1" ht="16.5">
      <c r="A84" s="228"/>
      <c r="B84" s="927"/>
      <c r="C84" s="1301" t="s">
        <v>1591</v>
      </c>
      <c r="D84" s="1260" t="s">
        <v>1592</v>
      </c>
      <c r="E84" s="797">
        <v>17.1</v>
      </c>
      <c r="F84" s="922" cm="1" t="str">
        <f t="array" ref="F84:F84">OFFSET(G84,-1,-1)</f>
        <v>1</v>
      </c>
      <c r="G84" s="193" t="s">
        <v>1352</v>
      </c>
      <c r="H84" s="230"/>
      <c r="I84" s="230"/>
      <c r="J84" s="230"/>
      <c r="K84" s="230"/>
      <c r="L84" s="193"/>
      <c r="M84" s="1284"/>
      <c r="N84" s="1284" cm="1" t="str">
        <f t="array" ref="N84:N84">OFFSET(M84,-1,1)</f>
        <v>ТЭ.42.28873685.0002</v>
      </c>
      <c r="O84" s="1285"/>
      <c r="P84" s="1285"/>
      <c r="Q84" s="1285"/>
      <c r="R84" s="1285"/>
      <c r="S84" s="0"/>
      <c r="T84" s="808" cm="1" t="str">
        <f t="array" ref="T84:T84">T83</f>
        <v>true</v>
      </c>
      <c r="U84" s="1582"/>
      <c r="V84" s="1582"/>
      <c r="W84" s="1582"/>
      <c r="X84" s="1582"/>
      <c r="Y84" s="1582"/>
      <c r="Z84" s="1582"/>
      <c r="AA84" s="230"/>
      <c r="AB84" s="160" t="s">
        <v>426</v>
      </c>
      <c r="AC84" s="652" t="s">
        <v>1593</v>
      </c>
      <c r="AD84" s="488" t="s">
        <v>1023</v>
      </c>
      <c r="AE84" s="615">
        <f>_xlfn.SUMIFS('Неподконтрольные (5.3)'!AE$26:AE$67,'Неподконтрольные (5.3)'!$F$26:$F$67,$F84,'Неподконтрольные (5.3)'!$G$26:$G$67,$G84)</f>
        <v>3916.9</v>
      </c>
      <c r="AF84" s="615">
        <f>_xlfn.SUMIFS('Неподконтрольные (5.3)'!AF$26:AF$67,'Неподконтрольные (5.3)'!$F$26:$F$67,$F84,'Неподконтрольные (5.3)'!$G$26:$G$67,$G84)</f>
        <v>3947.28</v>
      </c>
      <c r="AG84" s="615">
        <f>_xlfn.SUMIFS('Неподконтрольные (5.3)'!AG$26:AG$67,'Неподконтрольные (5.3)'!$F$26:$F$67,$F84,'Неподконтрольные (5.3)'!$G$26:$G$67,$G84)</f>
        <v>3932.28</v>
      </c>
      <c r="AH84" s="310">
        <f>AG84-AF84</f>
        <v>-15</v>
      </c>
      <c r="AI84" s="615">
        <f>_xlfn.SUMIFS('Неподконтрольные (5.3)'!AI$26:AI$67,'Неподконтрольные (5.3)'!$F$26:$F$67,$F84,'Неподконтрольные (5.3)'!$G$26:$G$67,$G84)</f>
        <v>4109.41</v>
      </c>
      <c r="AJ84" s="615">
        <f>_xlfn.SUMIFS('Неподконтрольные (5.3)'!AJ$26:AJ$67,'Неподконтрольные (5.3)'!$F$26:$F$67,$F84,'Неподконтрольные (5.3)'!$G$26:$G$67,$G84)</f>
        <v>6539.63</v>
      </c>
      <c r="AK84" s="615">
        <f>_xlfn.SUMIFS('Неподконтрольные (5.3)'!AK$26:AK$67,'Неподконтрольные (5.3)'!$F$26:$F$67,$F84,'Неподконтрольные (5.3)'!$G$26:$G$67,$G84)</f>
        <v>1103.3</v>
      </c>
      <c r="AL84" s="615">
        <f>_xlfn.SUMIFS('Неподконтрольные (5.3)'!AL$26:AL$67,'Неподконтрольные (5.3)'!$F$26:$F$67,$F84,'Неподконтрольные (5.3)'!$G$26:$G$67,$G84)</f>
        <v>0</v>
      </c>
      <c r="AM84" s="615">
        <f>_xlfn.SUMIFS('Неподконтрольные (5.3)'!AM$26:AM$67,'Неподконтрольные (5.3)'!$F$26:$F$67,$F84,'Неподконтрольные (5.3)'!$G$26:$G$67,$G84)</f>
        <v>0</v>
      </c>
      <c r="AN84" s="615">
        <f>_xlfn.SUMIFS('Неподконтрольные (5.3)'!AN$26:AN$67,'Неподконтрольные (5.3)'!$F$26:$F$67,$F84,'Неподконтрольные (5.3)'!$G$26:$G$67,$G84)</f>
        <v>0</v>
      </c>
      <c r="AO84" s="615">
        <f>_xlfn.SUMIFS('Неподконтрольные (5.3)'!AO$26:AO$67,'Неподконтрольные (5.3)'!$F$26:$F$67,$F84,'Неподконтрольные (5.3)'!$G$26:$G$67,$G84)</f>
        <v>0</v>
      </c>
      <c r="AP84" s="615">
        <f>_xlfn.SUMIFS('Неподконтрольные (5.3)'!AP$26:AP$67,'Неподконтрольные (5.3)'!$F$26:$F$67,$F84,'Неподконтрольные (5.3)'!$G$26:$G$67,$G84)</f>
        <v>0</v>
      </c>
      <c r="AQ84" s="615">
        <f>_xlfn.SUMIFS('Неподконтрольные (5.3)'!AQ$26:AQ$67,'Неподконтрольные (5.3)'!$F$26:$F$67,$F84,'Неподконтрольные (5.3)'!$G$26:$G$67,$G84)</f>
        <v>0</v>
      </c>
      <c r="AR84" s="615">
        <f>_xlfn.SUMIFS('Неподконтрольные (5.3)'!AR$26:AR$67,'Неподконтрольные (5.3)'!$F$26:$F$67,$F84,'Неподконтрольные (5.3)'!$G$26:$G$67,$G84)</f>
        <v>0</v>
      </c>
      <c r="AS84" s="615">
        <f>_xlfn.SUMIFS('Неподконтрольные (5.3)'!AS$26:AS$67,'Неподконтрольные (5.3)'!$F$26:$F$67,$F84,'Неподконтрольные (5.3)'!$G$26:$G$67,$G84)</f>
        <v>0</v>
      </c>
      <c r="AT84" s="615">
        <f>_xlfn.SUMIFS('Неподконтрольные (5.3)'!AT$26:AT$67,'Неподконтрольные (5.3)'!$F$26:$F$67,$F84,'Неподконтрольные (5.3)'!$G$26:$G$67,$G84)</f>
        <v>4189.59</v>
      </c>
      <c r="AU84" s="615">
        <f>_xlfn.SUMIFS('Неподконтрольные (5.3)'!AU$26:AU$67,'Неподконтрольные (5.3)'!$F$26:$F$67,$F84,'Неподконтрольные (5.3)'!$G$26:$G$67,$G84)</f>
        <v>0</v>
      </c>
      <c r="AV84" s="615">
        <f>_xlfn.SUMIFS('Неподконтрольные (5.3)'!AV$26:AV$67,'Неподконтрольные (5.3)'!$F$26:$F$67,$F84,'Неподконтрольные (5.3)'!$G$26:$G$67,$G84)</f>
        <v>0</v>
      </c>
      <c r="AW84" s="615">
        <f>_xlfn.SUMIFS('Неподконтрольные (5.3)'!AW$26:AW$67,'Неподконтрольные (5.3)'!$F$26:$F$67,$F84,'Неподконтрольные (5.3)'!$G$26:$G$67,$G84)</f>
        <v>0</v>
      </c>
      <c r="AX84" s="615">
        <f>_xlfn.SUMIFS('Неподконтрольные (5.3)'!AX$26:AX$67,'Неподконтрольные (5.3)'!$F$26:$F$67,$F84,'Неподконтрольные (5.3)'!$G$26:$G$67,$G84)</f>
        <v>0</v>
      </c>
      <c r="AY84" s="615">
        <f>_xlfn.SUMIFS('Неподконтрольные (5.3)'!AY$26:AY$67,'Неподконтрольные (5.3)'!$F$26:$F$67,$F84,'Неподконтрольные (5.3)'!$G$26:$G$67,$G84)</f>
        <v>0</v>
      </c>
      <c r="AZ84" s="615">
        <f>_xlfn.SUMIFS('Неподконтрольные (5.3)'!AZ$26:AZ$67,'Неподконтрольные (5.3)'!$F$26:$F$67,$F84,'Неподконтрольные (5.3)'!$G$26:$G$67,$G84)</f>
        <v>0</v>
      </c>
      <c r="BA84" s="615">
        <f>_xlfn.SUMIFS('Неподконтрольные (5.3)'!BA$26:BA$67,'Неподконтрольные (5.3)'!$F$26:$F$67,$F84,'Неподконтрольные (5.3)'!$G$26:$G$67,$G84)</f>
        <v>0</v>
      </c>
      <c r="BB84" s="615">
        <f>_xlfn.SUMIFS('Неподконтрольные (5.3)'!BB$26:BB$67,'Неподконтрольные (5.3)'!$F$26:$F$67,$F84,'Неподконтрольные (5.3)'!$G$26:$G$67,$G84)</f>
        <v>0</v>
      </c>
      <c r="BC84" s="615">
        <f>_xlfn.SUMIFS('Неподконтрольные (5.3)'!BC$26:BC$67,'Неподконтрольные (5.3)'!$F$26:$F$67,$F84,'Неподконтрольные (5.3)'!$G$26:$G$67,$G84)</f>
        <v>0</v>
      </c>
      <c r="BD84" s="310">
        <f>IF(AI84=0,0,(AT84-AI84)/AI84*100)</f>
        <v>1.95113167096981</v>
      </c>
      <c r="BE84" s="310">
        <f>IF(AT84=0,0,(AU84-AT84)/AT84*100)</f>
        <v>-100</v>
      </c>
      <c r="BF84" s="310">
        <f>IF(AU84=0,0,(AV84-AU84)/AU84*100)</f>
        <v>0</v>
      </c>
      <c r="BG84" s="310">
        <f>IF(AV84=0,0,(AW84-AV84)/AV84*100)</f>
        <v>0</v>
      </c>
      <c r="BH84" s="310">
        <f>IF(AW84=0,0,(AX84-AW84)/AW84*100)</f>
        <v>0</v>
      </c>
      <c r="BI84" s="310">
        <f>IF(AX84=0,0,(AY84-AX84)/AX84*100)</f>
        <v>0</v>
      </c>
      <c r="BJ84" s="310">
        <f>IF(AY84=0,0,(AZ84-AY84)/AY84*100)</f>
        <v>0</v>
      </c>
      <c r="BK84" s="310">
        <f>IF(AZ84=0,0,(BA84-AZ84)/AZ84*100)</f>
        <v>0</v>
      </c>
      <c r="BL84" s="310">
        <f>IF(BA84=0,0,(BB84-BA84)/BA84*100)</f>
        <v>0</v>
      </c>
      <c r="BM84" s="310">
        <f>IF(BB84=0,0,(BC84-BB84)/BB84*100)</f>
        <v>0</v>
      </c>
      <c r="BN84" s="1719"/>
      <c r="BO84" s="1719"/>
      <c r="BP84" s="1719"/>
      <c r="BQ84" s="230"/>
      <c r="BR84" s="230"/>
      <c r="BS84" s="1235" t="s">
        <v>1594</v>
      </c>
      <c r="BT84" s="1235"/>
      <c r="BU84" s="1235"/>
      <c r="BV84" s="1236"/>
      <c r="BW84" s="1236"/>
      <c r="BX84" s="1271"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M10747::ТЭ.42.28873685.0002::Неопределено::Неопределено::Неопределено::Неопределено::Неопределено</v>
      </c>
    </row>
    <row s="1632" customFormat="1" customHeight="1" ht="25.5">
      <c r="A85" s="228"/>
      <c r="B85" s="927"/>
      <c r="C85" s="1301" t="s">
        <v>1595</v>
      </c>
      <c r="D85" s="1260" t="s">
        <v>1596</v>
      </c>
      <c r="E85" s="797">
        <v>26.3</v>
      </c>
      <c r="F85" s="922" cm="1" t="str">
        <f t="array" ref="F85:F85">OFFSET(G85,-1,-1)</f>
        <v>1</v>
      </c>
      <c r="G85" s="193" t="s">
        <v>1394</v>
      </c>
      <c r="H85" s="230"/>
      <c r="I85" s="230"/>
      <c r="J85" s="230"/>
      <c r="K85" s="230"/>
      <c r="L85" s="193"/>
      <c r="M85" s="1284"/>
      <c r="N85" s="1284" cm="1" t="str">
        <f t="array" ref="N85:N85">OFFSET(M85,-1,1)</f>
        <v>ТЭ.42.28873685.0002</v>
      </c>
      <c r="O85" s="1285"/>
      <c r="P85" s="1285"/>
      <c r="Q85" s="1285"/>
      <c r="R85" s="1285"/>
      <c r="S85" s="0"/>
      <c r="T85" s="808" cm="1" t="str">
        <f t="array" ref="T85:T85">T84</f>
        <v>true</v>
      </c>
      <c r="U85" s="1582"/>
      <c r="V85" s="1582"/>
      <c r="W85" s="1582"/>
      <c r="X85" s="1582"/>
      <c r="Y85" s="1582"/>
      <c r="Z85" s="1582"/>
      <c r="AA85" s="230"/>
      <c r="AB85" s="160" t="s">
        <v>429</v>
      </c>
      <c r="AC85" s="652" t="s">
        <v>1597</v>
      </c>
      <c r="AD85" s="488" t="s">
        <v>1023</v>
      </c>
      <c r="AE85" s="615">
        <f>_xlfn.SUMIFS('Ресурсы (5.4)'!AE$26:AE$47,'Ресурсы (5.4)'!$F$26:$F$47,$F85,'Ресурсы (5.4)'!$G$26:$G$47,$G85)</f>
        <v>9435.32235</v>
      </c>
      <c r="AF85" s="615">
        <f>_xlfn.SUMIFS('Ресурсы (5.4)'!AF$26:AF$47,'Ресурсы (5.4)'!$F$26:$F$47,$F85,'Ресурсы (5.4)'!$G$26:$G$47,$G85)</f>
        <v>11710.47</v>
      </c>
      <c r="AG85" s="615">
        <f>_xlfn.SUMIFS('Ресурсы (5.4)'!AG$26:AG$47,'Ресурсы (5.4)'!$F$26:$F$47,$F85,'Ресурсы (5.4)'!$G$26:$G$47,$G85)</f>
        <v>9811.10571428572</v>
      </c>
      <c r="AH85" s="310">
        <f>AG85-AF85</f>
        <v>-1899.36428571428</v>
      </c>
      <c r="AI85" s="615">
        <f>_xlfn.SUMIFS('Ресурсы (5.4)'!AI$26:AI$47,'Ресурсы (5.4)'!$F$26:$F$47,$F85,'Ресурсы (5.4)'!$G$26:$G$47,$G85)</f>
        <v>8812.1897414</v>
      </c>
      <c r="AJ85" s="615">
        <f>_xlfn.SUMIFS('Ресурсы (5.4)'!AJ$26:AJ$47,'Ресурсы (5.4)'!$F$26:$F$47,$F85,'Ресурсы (5.4)'!$G$26:$G$47,$G85)</f>
        <v>10096.411685</v>
      </c>
      <c r="AK85" s="615">
        <f>_xlfn.SUMIFS('Ресурсы (5.4)'!AK$26:AK$47,'Ресурсы (5.4)'!$F$26:$F$47,$F85,'Ресурсы (5.4)'!$G$26:$G$47,$G85)</f>
        <v>0</v>
      </c>
      <c r="AL85" s="615">
        <f>_xlfn.SUMIFS('Ресурсы (5.4)'!AL$26:AL$47,'Ресурсы (5.4)'!$F$26:$F$47,$F85,'Ресурсы (5.4)'!$G$26:$G$47,$G85)</f>
        <v>0</v>
      </c>
      <c r="AM85" s="615">
        <f>_xlfn.SUMIFS('Ресурсы (5.4)'!AM$26:AM$47,'Ресурсы (5.4)'!$F$26:$F$47,$F85,'Ресурсы (5.4)'!$G$26:$G$47,$G85)</f>
        <v>0</v>
      </c>
      <c r="AN85" s="615">
        <f>_xlfn.SUMIFS('Ресурсы (5.4)'!AN$26:AN$47,'Ресурсы (5.4)'!$F$26:$F$47,$F85,'Ресурсы (5.4)'!$G$26:$G$47,$G85)</f>
        <v>0</v>
      </c>
      <c r="AO85" s="615">
        <f>_xlfn.SUMIFS('Ресурсы (5.4)'!AO$26:AO$47,'Ресурсы (5.4)'!$F$26:$F$47,$F85,'Ресурсы (5.4)'!$G$26:$G$47,$G85)</f>
        <v>0</v>
      </c>
      <c r="AP85" s="615">
        <f>_xlfn.SUMIFS('Ресурсы (5.4)'!AP$26:AP$47,'Ресурсы (5.4)'!$F$26:$F$47,$F85,'Ресурсы (5.4)'!$G$26:$G$47,$G85)</f>
        <v>0</v>
      </c>
      <c r="AQ85" s="615">
        <f>_xlfn.SUMIFS('Ресурсы (5.4)'!AQ$26:AQ$47,'Ресурсы (5.4)'!$F$26:$F$47,$F85,'Ресурсы (5.4)'!$G$26:$G$47,$G85)</f>
        <v>0</v>
      </c>
      <c r="AR85" s="615">
        <f>_xlfn.SUMIFS('Ресурсы (5.4)'!AR$26:AR$47,'Ресурсы (5.4)'!$F$26:$F$47,$F85,'Ресурсы (5.4)'!$G$26:$G$47,$G85)</f>
        <v>0</v>
      </c>
      <c r="AS85" s="615">
        <f>_xlfn.SUMIFS('Ресурсы (5.4)'!AS$26:AS$47,'Ресурсы (5.4)'!$F$26:$F$47,$F85,'Ресурсы (5.4)'!$G$26:$G$47,$G85)</f>
        <v>0</v>
      </c>
      <c r="AT85" s="615">
        <f>_xlfn.SUMIFS('Ресурсы (5.4)'!AT$26:AT$47,'Ресурсы (5.4)'!$F$26:$F$47,$F85,'Ресурсы (5.4)'!$G$26:$G$47,$G85)</f>
        <v>9372.61470933618</v>
      </c>
      <c r="AU85" s="615">
        <f>_xlfn.SUMIFS('Ресурсы (5.4)'!AU$26:AU$47,'Ресурсы (5.4)'!$F$26:$F$47,$F85,'Ресурсы (5.4)'!$G$26:$G$47,$G85)</f>
        <v>0</v>
      </c>
      <c r="AV85" s="615">
        <f>_xlfn.SUMIFS('Ресурсы (5.4)'!AV$26:AV$47,'Ресурсы (5.4)'!$F$26:$F$47,$F85,'Ресурсы (5.4)'!$G$26:$G$47,$G85)</f>
        <v>0</v>
      </c>
      <c r="AW85" s="615">
        <f>_xlfn.SUMIFS('Ресурсы (5.4)'!AW$26:AW$47,'Ресурсы (5.4)'!$F$26:$F$47,$F85,'Ресурсы (5.4)'!$G$26:$G$47,$G85)</f>
        <v>0</v>
      </c>
      <c r="AX85" s="615">
        <f>_xlfn.SUMIFS('Ресурсы (5.4)'!AX$26:AX$47,'Ресурсы (5.4)'!$F$26:$F$47,$F85,'Ресурсы (5.4)'!$G$26:$G$47,$G85)</f>
        <v>0</v>
      </c>
      <c r="AY85" s="615">
        <f>_xlfn.SUMIFS('Ресурсы (5.4)'!AY$26:AY$47,'Ресурсы (5.4)'!$F$26:$F$47,$F85,'Ресурсы (5.4)'!$G$26:$G$47,$G85)</f>
        <v>0</v>
      </c>
      <c r="AZ85" s="615">
        <f>_xlfn.SUMIFS('Ресурсы (5.4)'!AZ$26:AZ$47,'Ресурсы (5.4)'!$F$26:$F$47,$F85,'Ресурсы (5.4)'!$G$26:$G$47,$G85)</f>
        <v>0</v>
      </c>
      <c r="BA85" s="615">
        <f>_xlfn.SUMIFS('Ресурсы (5.4)'!BA$26:BA$47,'Ресурсы (5.4)'!$F$26:$F$47,$F85,'Ресурсы (5.4)'!$G$26:$G$47,$G85)</f>
        <v>0</v>
      </c>
      <c r="BB85" s="615">
        <f>_xlfn.SUMIFS('Ресурсы (5.4)'!BB$26:BB$47,'Ресурсы (5.4)'!$F$26:$F$47,$F85,'Ресурсы (5.4)'!$G$26:$G$47,$G85)</f>
        <v>0</v>
      </c>
      <c r="BC85" s="615">
        <f>_xlfn.SUMIFS('Ресурсы (5.4)'!BC$26:BC$47,'Ресурсы (5.4)'!$F$26:$F$47,$F85,'Ресурсы (5.4)'!$G$26:$G$47,$G85)</f>
        <v>0</v>
      </c>
      <c r="BD85" s="310">
        <f>IF(AI85=0,0,(AT85-AI85)/AI85*100)</f>
        <v>6.35965616245509</v>
      </c>
      <c r="BE85" s="310">
        <f>IF(AT85=0,0,(AU85-AT85)/AT85*100)</f>
        <v>-100</v>
      </c>
      <c r="BF85" s="310">
        <f>IF(AU85=0,0,(AV85-AU85)/AU85*100)</f>
        <v>0</v>
      </c>
      <c r="BG85" s="310">
        <f>IF(AV85=0,0,(AW85-AV85)/AV85*100)</f>
        <v>0</v>
      </c>
      <c r="BH85" s="310">
        <f>IF(AW85=0,0,(AX85-AW85)/AW85*100)</f>
        <v>0</v>
      </c>
      <c r="BI85" s="310">
        <f>IF(AX85=0,0,(AY85-AX85)/AX85*100)</f>
        <v>0</v>
      </c>
      <c r="BJ85" s="310">
        <f>IF(AY85=0,0,(AZ85-AY85)/AY85*100)</f>
        <v>0</v>
      </c>
      <c r="BK85" s="310">
        <f>IF(AZ85=0,0,(BA85-AZ85)/AZ85*100)</f>
        <v>0</v>
      </c>
      <c r="BL85" s="310">
        <f>IF(BA85=0,0,(BB85-BA85)/BA85*100)</f>
        <v>0</v>
      </c>
      <c r="BM85" s="310">
        <f>IF(BB85=0,0,(BC85-BB85)/BB85*100)</f>
        <v>0</v>
      </c>
      <c r="BN85" s="1719"/>
      <c r="BO85" s="1719"/>
      <c r="BP85" s="1719"/>
      <c r="BQ85" s="230"/>
      <c r="BR85" s="230"/>
      <c r="BS85" s="1235" t="s">
        <v>1598</v>
      </c>
      <c r="BT85" s="1235"/>
      <c r="BU85" s="1235"/>
      <c r="BV85" s="1236"/>
      <c r="BW85" s="1236"/>
      <c r="BX85" s="1271"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M10748::ТЭ.42.28873685.0002::Неопределено::Неопределено::Неопределено::Неопределено::Неопределено</v>
      </c>
    </row>
    <row s="1632" customFormat="1" customHeight="1" ht="16.5" hidden="1">
      <c r="A86" s="228"/>
      <c r="B86" s="927"/>
      <c r="C86" s="1301" t="s">
        <v>1599</v>
      </c>
      <c r="D86" s="1260" t="s">
        <v>1600</v>
      </c>
      <c r="E86" s="797">
        <v>17.1</v>
      </c>
      <c r="F86" s="922" cm="1" t="str">
        <f t="array" ref="F86:F86">OFFSET(G86,-1,-1)</f>
        <v>1</v>
      </c>
      <c r="G86" s="230"/>
      <c r="H86" s="230"/>
      <c r="I86" s="230"/>
      <c r="J86" s="230"/>
      <c r="K86" s="230"/>
      <c r="L86" s="193"/>
      <c r="M86" s="1284"/>
      <c r="N86" s="1284" cm="1" t="str">
        <f t="array" ref="N86:N86">OFFSET(M86,-1,1)</f>
        <v>ТЭ.42.28873685.0002</v>
      </c>
      <c r="O86" s="1285"/>
      <c r="P86" s="1285"/>
      <c r="Q86" s="1285"/>
      <c r="R86" s="1285"/>
      <c r="S86" s="0"/>
      <c r="T86" s="808">
        <f>AND(F86&gt;0,method_reg="Метод обеспечения доходности инвестированного капитала")</f>
        <v>0</v>
      </c>
      <c r="U86" s="1582"/>
      <c r="V86" s="1582"/>
      <c r="W86" s="1582"/>
      <c r="X86" s="1582"/>
      <c r="Y86" s="1582"/>
      <c r="Z86" s="1582"/>
      <c r="AA86" s="230"/>
      <c r="AB86" s="314" t="s">
        <v>432</v>
      </c>
      <c r="AC86" s="842" t="s">
        <v>1601</v>
      </c>
      <c r="AD86" s="312" t="s">
        <v>810</v>
      </c>
      <c r="AE86" s="124"/>
      <c r="AF86" s="124"/>
      <c r="AG86" s="124"/>
      <c r="AH86" s="310">
        <f>AG86-AF86</f>
        <v>0</v>
      </c>
      <c r="AI86" s="124"/>
      <c r="AJ86" s="1956"/>
      <c r="AK86" s="124"/>
      <c r="AL86" s="124"/>
      <c r="AM86" s="124"/>
      <c r="AN86" s="124"/>
      <c r="AO86" s="124"/>
      <c r="AP86" s="124"/>
      <c r="AQ86" s="124"/>
      <c r="AR86" s="124"/>
      <c r="AS86" s="124"/>
      <c r="AT86" s="1956"/>
      <c r="AU86" s="124"/>
      <c r="AV86" s="124"/>
      <c r="AW86" s="124"/>
      <c r="AX86" s="124"/>
      <c r="AY86" s="124"/>
      <c r="AZ86" s="124"/>
      <c r="BA86" s="124"/>
      <c r="BB86" s="124"/>
      <c r="BC86" s="124"/>
      <c r="BD86" s="310">
        <f>IF(AI86=0,0,(AT86-AI86)/AI86*100)</f>
        <v>0</v>
      </c>
      <c r="BE86" s="310">
        <f>IF(AT86=0,0,(AU86-AT86)/AT86*100)</f>
        <v>0</v>
      </c>
      <c r="BF86" s="310">
        <f>IF(AU86=0,0,(AV86-AU86)/AU86*100)</f>
        <v>0</v>
      </c>
      <c r="BG86" s="310">
        <f>IF(AV86=0,0,(AW86-AV86)/AV86*100)</f>
        <v>0</v>
      </c>
      <c r="BH86" s="310">
        <f>IF(AW86=0,0,(AX86-AW86)/AW86*100)</f>
        <v>0</v>
      </c>
      <c r="BI86" s="310">
        <f>IF(AX86=0,0,(AY86-AX86)/AX86*100)</f>
        <v>0</v>
      </c>
      <c r="BJ86" s="310">
        <f>IF(AY86=0,0,(AZ86-AY86)/AY86*100)</f>
        <v>0</v>
      </c>
      <c r="BK86" s="310">
        <f>IF(AZ86=0,0,(BA86-AZ86)/AZ86*100)</f>
        <v>0</v>
      </c>
      <c r="BL86" s="310">
        <f>IF(BA86=0,0,(BB86-BA86)/BA86*100)</f>
        <v>0</v>
      </c>
      <c r="BM86" s="310">
        <f>IF(BB86=0,0,(BC86-BB86)/BB86*100)</f>
        <v>0</v>
      </c>
      <c r="BN86" s="73"/>
      <c r="BO86" s="73"/>
      <c r="BP86" s="73"/>
      <c r="BQ86" s="230"/>
      <c r="BR86" s="230"/>
      <c r="BS86" s="1235" t="s">
        <v>1602</v>
      </c>
      <c r="BT86" s="1235"/>
      <c r="BU86" s="1235"/>
      <c r="BV86" s="1236"/>
      <c r="BW86" s="1236"/>
      <c r="BX86" s="1271"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M11483::ТЭ.42.28873685.0002::Неопределено::Неопределено::Неопределено::Неопределено::Неопределено</v>
      </c>
    </row>
    <row s="1632" customFormat="1" customHeight="1" ht="16.5" hidden="1">
      <c r="A87" s="228"/>
      <c r="B87" s="927"/>
      <c r="C87" s="1301" t="s">
        <v>1603</v>
      </c>
      <c r="D87" s="1260" t="s">
        <v>1604</v>
      </c>
      <c r="E87" s="797">
        <v>17.1</v>
      </c>
      <c r="F87" s="922" cm="1" t="str">
        <f t="array" ref="F87:F87">OFFSET(G87,-1,-1)</f>
        <v>1</v>
      </c>
      <c r="G87" s="230"/>
      <c r="H87" s="230"/>
      <c r="I87" s="230"/>
      <c r="J87" s="230"/>
      <c r="K87" s="230"/>
      <c r="L87" s="193"/>
      <c r="M87" s="1284"/>
      <c r="N87" s="1284" cm="1" t="str">
        <f t="array" ref="N87:N87">OFFSET(M87,-1,1)</f>
        <v>ТЭ.42.28873685.0002</v>
      </c>
      <c r="O87" s="1285"/>
      <c r="P87" s="1285"/>
      <c r="Q87" s="1285"/>
      <c r="R87" s="1285"/>
      <c r="S87" s="0"/>
      <c r="T87" s="808">
        <f>AND(F87&gt;0,method_reg="Метод обеспечения доходности инвестированного капитала")</f>
        <v>0</v>
      </c>
      <c r="U87" s="1582"/>
      <c r="V87" s="1582"/>
      <c r="W87" s="1582"/>
      <c r="X87" s="1582"/>
      <c r="Y87" s="1582"/>
      <c r="Z87" s="1582"/>
      <c r="AA87" s="230"/>
      <c r="AB87" s="314" t="s">
        <v>751</v>
      </c>
      <c r="AC87" s="315" t="s">
        <v>1605</v>
      </c>
      <c r="AD87" s="312" t="s">
        <v>810</v>
      </c>
      <c r="AE87" s="124"/>
      <c r="AF87" s="124"/>
      <c r="AG87" s="124"/>
      <c r="AH87" s="310">
        <f>AG87-AF87</f>
        <v>0</v>
      </c>
      <c r="AI87" s="124"/>
      <c r="AJ87" s="1956"/>
      <c r="AK87" s="124"/>
      <c r="AL87" s="124"/>
      <c r="AM87" s="124"/>
      <c r="AN87" s="124"/>
      <c r="AO87" s="124"/>
      <c r="AP87" s="124"/>
      <c r="AQ87" s="124"/>
      <c r="AR87" s="124"/>
      <c r="AS87" s="124"/>
      <c r="AT87" s="1956"/>
      <c r="AU87" s="124"/>
      <c r="AV87" s="124"/>
      <c r="AW87" s="124"/>
      <c r="AX87" s="124"/>
      <c r="AY87" s="124"/>
      <c r="AZ87" s="124"/>
      <c r="BA87" s="124"/>
      <c r="BB87" s="124"/>
      <c r="BC87" s="124"/>
      <c r="BD87" s="310">
        <f>IF(AI87=0,0,(AT87-AI87)/AI87*100)</f>
        <v>0</v>
      </c>
      <c r="BE87" s="310">
        <f>IF(AT87=0,0,(AU87-AT87)/AT87*100)</f>
        <v>0</v>
      </c>
      <c r="BF87" s="310">
        <f>IF(AU87=0,0,(AV87-AU87)/AU87*100)</f>
        <v>0</v>
      </c>
      <c r="BG87" s="310">
        <f>IF(AV87=0,0,(AW87-AV87)/AV87*100)</f>
        <v>0</v>
      </c>
      <c r="BH87" s="310">
        <f>IF(AW87=0,0,(AX87-AW87)/AW87*100)</f>
        <v>0</v>
      </c>
      <c r="BI87" s="310">
        <f>IF(AX87=0,0,(AY87-AX87)/AX87*100)</f>
        <v>0</v>
      </c>
      <c r="BJ87" s="310">
        <f>IF(AY87=0,0,(AZ87-AY87)/AY87*100)</f>
        <v>0</v>
      </c>
      <c r="BK87" s="310">
        <f>IF(AZ87=0,0,(BA87-AZ87)/AZ87*100)</f>
        <v>0</v>
      </c>
      <c r="BL87" s="310">
        <f>IF(BA87=0,0,(BB87-BA87)/BA87*100)</f>
        <v>0</v>
      </c>
      <c r="BM87" s="310">
        <f>IF(BB87=0,0,(BC87-BB87)/BB87*100)</f>
        <v>0</v>
      </c>
      <c r="BN87" s="73"/>
      <c r="BO87" s="73"/>
      <c r="BP87" s="73"/>
      <c r="BQ87" s="230"/>
      <c r="BR87" s="230"/>
      <c r="BS87" s="1235" t="s">
        <v>1606</v>
      </c>
      <c r="BT87" s="1235"/>
      <c r="BU87" s="1235"/>
      <c r="BV87" s="1236"/>
      <c r="BW87" s="1236"/>
      <c r="BX87" s="1271"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M11484::ТЭ.42.28873685.0002::Неопределено::Неопределено::Неопределено::Неопределено::Неопределено</v>
      </c>
    </row>
    <row s="1632" customFormat="1" customHeight="1" ht="16.5" hidden="1">
      <c r="A88" s="228"/>
      <c r="B88" s="927"/>
      <c r="C88" s="1301" t="s">
        <v>1607</v>
      </c>
      <c r="D88" s="1260" t="s">
        <v>1608</v>
      </c>
      <c r="E88" s="797">
        <v>17.1</v>
      </c>
      <c r="F88" s="922" cm="1" t="str">
        <f t="array" ref="F88:F88">OFFSET(G88,-1,-1)</f>
        <v>1</v>
      </c>
      <c r="G88" s="230"/>
      <c r="H88" s="230"/>
      <c r="I88" s="230"/>
      <c r="J88" s="230"/>
      <c r="K88" s="230"/>
      <c r="L88" s="193"/>
      <c r="M88" s="1284"/>
      <c r="N88" s="1284" cm="1" t="str">
        <f t="array" ref="N88:N88">OFFSET(M88,-1,1)</f>
        <v>ТЭ.42.28873685.0002</v>
      </c>
      <c r="O88" s="1285"/>
      <c r="P88" s="1285"/>
      <c r="Q88" s="1285"/>
      <c r="R88" s="1285"/>
      <c r="S88" s="0"/>
      <c r="T88" s="808">
        <f>AND(F88&gt;0,method_reg="Метод обеспечения доходности инвестированного капитала")</f>
        <v>0</v>
      </c>
      <c r="U88" s="1582"/>
      <c r="V88" s="1582"/>
      <c r="W88" s="1582"/>
      <c r="X88" s="1582"/>
      <c r="Y88" s="1582"/>
      <c r="Z88" s="1582"/>
      <c r="AA88" s="230"/>
      <c r="AB88" s="314" t="s">
        <v>1609</v>
      </c>
      <c r="AC88" s="315" t="s">
        <v>1610</v>
      </c>
      <c r="AD88" s="312" t="s">
        <v>1611</v>
      </c>
      <c r="AE88" s="124"/>
      <c r="AF88" s="124"/>
      <c r="AG88" s="124"/>
      <c r="AH88" s="310">
        <f>AG88-AF88</f>
        <v>0</v>
      </c>
      <c r="AI88" s="124"/>
      <c r="AJ88" s="1956"/>
      <c r="AK88" s="124"/>
      <c r="AL88" s="124"/>
      <c r="AM88" s="124"/>
      <c r="AN88" s="124"/>
      <c r="AO88" s="124"/>
      <c r="AP88" s="124"/>
      <c r="AQ88" s="124"/>
      <c r="AR88" s="124"/>
      <c r="AS88" s="124"/>
      <c r="AT88" s="1956"/>
      <c r="AU88" s="124"/>
      <c r="AV88" s="124"/>
      <c r="AW88" s="124"/>
      <c r="AX88" s="124"/>
      <c r="AY88" s="124"/>
      <c r="AZ88" s="124"/>
      <c r="BA88" s="124"/>
      <c r="BB88" s="124"/>
      <c r="BC88" s="124"/>
      <c r="BD88" s="310">
        <f>IF(AI88=0,0,(AT88-AI88)/AI88*100)</f>
        <v>0</v>
      </c>
      <c r="BE88" s="310">
        <f>IF(AT88=0,0,(AU88-AT88)/AT88*100)</f>
        <v>0</v>
      </c>
      <c r="BF88" s="310">
        <f>IF(AU88=0,0,(AV88-AU88)/AU88*100)</f>
        <v>0</v>
      </c>
      <c r="BG88" s="310">
        <f>IF(AV88=0,0,(AW88-AV88)/AV88*100)</f>
        <v>0</v>
      </c>
      <c r="BH88" s="310">
        <f>IF(AW88=0,0,(AX88-AW88)/AW88*100)</f>
        <v>0</v>
      </c>
      <c r="BI88" s="310">
        <f>IF(AX88=0,0,(AY88-AX88)/AX88*100)</f>
        <v>0</v>
      </c>
      <c r="BJ88" s="310">
        <f>IF(AY88=0,0,(AZ88-AY88)/AY88*100)</f>
        <v>0</v>
      </c>
      <c r="BK88" s="310">
        <f>IF(AZ88=0,0,(BA88-AZ88)/AZ88*100)</f>
        <v>0</v>
      </c>
      <c r="BL88" s="310">
        <f>IF(BA88=0,0,(BB88-BA88)/BA88*100)</f>
        <v>0</v>
      </c>
      <c r="BM88" s="310">
        <f>IF(BB88=0,0,(BC88-BB88)/BB88*100)</f>
        <v>0</v>
      </c>
      <c r="BN88" s="73"/>
      <c r="BO88" s="73"/>
      <c r="BP88" s="73"/>
      <c r="BQ88" s="230"/>
      <c r="BR88" s="230"/>
      <c r="BS88" s="1235" t="s">
        <v>1612</v>
      </c>
      <c r="BT88" s="1235"/>
      <c r="BU88" s="1235"/>
      <c r="BV88" s="1236"/>
      <c r="BW88" s="1236"/>
      <c r="BX88" s="1271"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M11485::ТЭ.42.28873685.0002::Неопределено::Неопределено::Неопределено::Неопределено::Неопределено</v>
      </c>
    </row>
    <row s="1632" customFormat="1" customHeight="1" ht="16.5" hidden="1">
      <c r="A89" s="228"/>
      <c r="B89" s="927"/>
      <c r="C89" s="1301" t="s">
        <v>1613</v>
      </c>
      <c r="D89" s="1260" t="s">
        <v>1614</v>
      </c>
      <c r="E89" s="797">
        <v>17.1</v>
      </c>
      <c r="F89" s="922" cm="1" t="str">
        <f t="array" ref="F89:F89">OFFSET(G89,-1,-1)</f>
        <v>1</v>
      </c>
      <c r="G89" s="230"/>
      <c r="H89" s="230"/>
      <c r="I89" s="230"/>
      <c r="J89" s="230"/>
      <c r="K89" s="230"/>
      <c r="L89" s="193"/>
      <c r="M89" s="1284"/>
      <c r="N89" s="1284" cm="1" t="str">
        <f t="array" ref="N89:N89">OFFSET(M89,-1,1)</f>
        <v>ТЭ.42.28873685.0002</v>
      </c>
      <c r="O89" s="1285"/>
      <c r="P89" s="1285"/>
      <c r="Q89" s="1285"/>
      <c r="R89" s="1285"/>
      <c r="S89" s="0"/>
      <c r="T89" s="808">
        <f>AND(F89&gt;0,method_reg="Метод обеспечения доходности инвестированного капитала")</f>
        <v>0</v>
      </c>
      <c r="U89" s="1582"/>
      <c r="V89" s="1582"/>
      <c r="W89" s="1582"/>
      <c r="X89" s="1582"/>
      <c r="Y89" s="1582"/>
      <c r="Z89" s="1582"/>
      <c r="AA89" s="230"/>
      <c r="AB89" s="314" t="s">
        <v>435</v>
      </c>
      <c r="AC89" s="842" t="s">
        <v>1615</v>
      </c>
      <c r="AD89" s="312" t="s">
        <v>810</v>
      </c>
      <c r="AE89" s="124"/>
      <c r="AF89" s="124"/>
      <c r="AG89" s="124"/>
      <c r="AH89" s="310">
        <f>AG89-AF89</f>
        <v>0</v>
      </c>
      <c r="AI89" s="124"/>
      <c r="AJ89" s="1956"/>
      <c r="AK89" s="124"/>
      <c r="AL89" s="124"/>
      <c r="AM89" s="124"/>
      <c r="AN89" s="124"/>
      <c r="AO89" s="124"/>
      <c r="AP89" s="124"/>
      <c r="AQ89" s="124"/>
      <c r="AR89" s="124"/>
      <c r="AS89" s="124"/>
      <c r="AT89" s="1956"/>
      <c r="AU89" s="124"/>
      <c r="AV89" s="124"/>
      <c r="AW89" s="124"/>
      <c r="AX89" s="124"/>
      <c r="AY89" s="124"/>
      <c r="AZ89" s="124"/>
      <c r="BA89" s="124"/>
      <c r="BB89" s="124"/>
      <c r="BC89" s="124"/>
      <c r="BD89" s="310">
        <f>IF(AI89=0,0,(AT89-AI89)/AI89*100)</f>
        <v>0</v>
      </c>
      <c r="BE89" s="310">
        <f>IF(AT89=0,0,(AU89-AT89)/AT89*100)</f>
        <v>0</v>
      </c>
      <c r="BF89" s="310">
        <f>IF(AU89=0,0,(AV89-AU89)/AU89*100)</f>
        <v>0</v>
      </c>
      <c r="BG89" s="310">
        <f>IF(AV89=0,0,(AW89-AV89)/AV89*100)</f>
        <v>0</v>
      </c>
      <c r="BH89" s="310">
        <f>IF(AW89=0,0,(AX89-AW89)/AW89*100)</f>
        <v>0</v>
      </c>
      <c r="BI89" s="310">
        <f>IF(AX89=0,0,(AY89-AX89)/AX89*100)</f>
        <v>0</v>
      </c>
      <c r="BJ89" s="310">
        <f>IF(AY89=0,0,(AZ89-AY89)/AY89*100)</f>
        <v>0</v>
      </c>
      <c r="BK89" s="310">
        <f>IF(AZ89=0,0,(BA89-AZ89)/AZ89*100)</f>
        <v>0</v>
      </c>
      <c r="BL89" s="310">
        <f>IF(BA89=0,0,(BB89-BA89)/BA89*100)</f>
        <v>0</v>
      </c>
      <c r="BM89" s="310">
        <f>IF(BB89=0,0,(BC89-BB89)/BB89*100)</f>
        <v>0</v>
      </c>
      <c r="BN89" s="73"/>
      <c r="BO89" s="73"/>
      <c r="BP89" s="73"/>
      <c r="BQ89" s="230"/>
      <c r="BR89" s="230"/>
      <c r="BS89" s="1235" t="s">
        <v>1616</v>
      </c>
      <c r="BT89" s="1235"/>
      <c r="BU89" s="1235"/>
      <c r="BV89" s="1236"/>
      <c r="BW89" s="1236"/>
      <c r="BX89" s="1271"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M11486::ТЭ.42.28873685.0002::Неопределено::Неопределено::Неопределено::Неопределено::Неопределено</v>
      </c>
    </row>
    <row s="1632" customFormat="1" customHeight="1" ht="16.5" hidden="1">
      <c r="A90" s="228"/>
      <c r="B90" s="927"/>
      <c r="C90" s="1301" t="s">
        <v>1617</v>
      </c>
      <c r="D90" s="1260" t="s">
        <v>1618</v>
      </c>
      <c r="E90" s="797">
        <v>17.1</v>
      </c>
      <c r="F90" s="922" cm="1" t="str">
        <f t="array" ref="F90:F90">OFFSET(G90,-1,-1)</f>
        <v>1</v>
      </c>
      <c r="G90" s="230"/>
      <c r="H90" s="230"/>
      <c r="I90" s="230"/>
      <c r="J90" s="230"/>
      <c r="K90" s="230"/>
      <c r="L90" s="193"/>
      <c r="M90" s="1284"/>
      <c r="N90" s="1284" cm="1" t="str">
        <f t="array" ref="N90:N90">OFFSET(M90,-1,1)</f>
        <v>ТЭ.42.28873685.0002</v>
      </c>
      <c r="O90" s="1285"/>
      <c r="P90" s="1285"/>
      <c r="Q90" s="1285"/>
      <c r="R90" s="1285"/>
      <c r="S90" s="0"/>
      <c r="T90" s="808">
        <f>AND(F90&gt;0,method_reg="Метод обеспечения доходности инвестированного капитала")</f>
        <v>0</v>
      </c>
      <c r="U90" s="1582"/>
      <c r="V90" s="1582"/>
      <c r="W90" s="1582"/>
      <c r="X90" s="1582"/>
      <c r="Y90" s="1582"/>
      <c r="Z90" s="1582"/>
      <c r="AA90" s="230"/>
      <c r="AB90" s="314" t="s">
        <v>756</v>
      </c>
      <c r="AC90" s="315" t="s">
        <v>1619</v>
      </c>
      <c r="AD90" s="312" t="s">
        <v>810</v>
      </c>
      <c r="AE90" s="124"/>
      <c r="AF90" s="124"/>
      <c r="AG90" s="124"/>
      <c r="AH90" s="310">
        <f>AG90-AF90</f>
        <v>0</v>
      </c>
      <c r="AI90" s="124"/>
      <c r="AJ90" s="1956"/>
      <c r="AK90" s="124"/>
      <c r="AL90" s="124"/>
      <c r="AM90" s="124"/>
      <c r="AN90" s="124"/>
      <c r="AO90" s="124"/>
      <c r="AP90" s="124"/>
      <c r="AQ90" s="124"/>
      <c r="AR90" s="124"/>
      <c r="AS90" s="124"/>
      <c r="AT90" s="1956"/>
      <c r="AU90" s="124"/>
      <c r="AV90" s="124"/>
      <c r="AW90" s="124"/>
      <c r="AX90" s="124"/>
      <c r="AY90" s="124"/>
      <c r="AZ90" s="124"/>
      <c r="BA90" s="124"/>
      <c r="BB90" s="124"/>
      <c r="BC90" s="124"/>
      <c r="BD90" s="310">
        <f>IF(AI90=0,0,(AT90-AI90)/AI90*100)</f>
        <v>0</v>
      </c>
      <c r="BE90" s="310">
        <f>IF(AT90=0,0,(AU90-AT90)/AT90*100)</f>
        <v>0</v>
      </c>
      <c r="BF90" s="310">
        <f>IF(AU90=0,0,(AV90-AU90)/AU90*100)</f>
        <v>0</v>
      </c>
      <c r="BG90" s="310">
        <f>IF(AV90=0,0,(AW90-AV90)/AV90*100)</f>
        <v>0</v>
      </c>
      <c r="BH90" s="310">
        <f>IF(AW90=0,0,(AX90-AW90)/AW90*100)</f>
        <v>0</v>
      </c>
      <c r="BI90" s="310">
        <f>IF(AX90=0,0,(AY90-AX90)/AX90*100)</f>
        <v>0</v>
      </c>
      <c r="BJ90" s="310">
        <f>IF(AY90=0,0,(AZ90-AY90)/AY90*100)</f>
        <v>0</v>
      </c>
      <c r="BK90" s="310">
        <f>IF(AZ90=0,0,(BA90-AZ90)/AZ90*100)</f>
        <v>0</v>
      </c>
      <c r="BL90" s="310">
        <f>IF(BA90=0,0,(BB90-BA90)/BA90*100)</f>
        <v>0</v>
      </c>
      <c r="BM90" s="310">
        <f>IF(BB90=0,0,(BC90-BB90)/BB90*100)</f>
        <v>0</v>
      </c>
      <c r="BN90" s="73"/>
      <c r="BO90" s="73"/>
      <c r="BP90" s="73"/>
      <c r="BQ90" s="230"/>
      <c r="BR90" s="230"/>
      <c r="BS90" s="1235" t="s">
        <v>1620</v>
      </c>
      <c r="BT90" s="1235"/>
      <c r="BU90" s="1235"/>
      <c r="BV90" s="1236"/>
      <c r="BW90" s="1236"/>
      <c r="BX90" s="1271"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M11487::ТЭ.42.28873685.0002::Неопределено::Неопределено::Неопределено::Неопределено::Неопределено</v>
      </c>
    </row>
    <row s="1632" customFormat="1" customHeight="1" ht="16.5" hidden="1">
      <c r="A91" s="228"/>
      <c r="B91" s="927"/>
      <c r="C91" s="1301" t="s">
        <v>1621</v>
      </c>
      <c r="D91" s="1260" t="s">
        <v>1622</v>
      </c>
      <c r="E91" s="797">
        <v>17.1</v>
      </c>
      <c r="F91" s="922" cm="1" t="str">
        <f t="array" ref="F91:F91">OFFSET(G91,-1,-1)</f>
        <v>1</v>
      </c>
      <c r="G91" s="230"/>
      <c r="H91" s="230"/>
      <c r="I91" s="230"/>
      <c r="J91" s="230"/>
      <c r="K91" s="230"/>
      <c r="L91" s="193"/>
      <c r="M91" s="1284"/>
      <c r="N91" s="1284" cm="1" t="str">
        <f t="array" ref="N91:N91">OFFSET(M91,-1,1)</f>
        <v>ТЭ.42.28873685.0002</v>
      </c>
      <c r="O91" s="1285"/>
      <c r="P91" s="1285"/>
      <c r="Q91" s="1285"/>
      <c r="R91" s="1285"/>
      <c r="S91" s="0"/>
      <c r="T91" s="808">
        <f>AND(F91&gt;0,method_reg="Метод обеспечения доходности инвестированного капитала")</f>
        <v>0</v>
      </c>
      <c r="U91" s="1582"/>
      <c r="V91" s="1582"/>
      <c r="W91" s="1582"/>
      <c r="X91" s="1582"/>
      <c r="Y91" s="1582"/>
      <c r="Z91" s="1582"/>
      <c r="AA91" s="230"/>
      <c r="AB91" s="314" t="s">
        <v>1308</v>
      </c>
      <c r="AC91" s="315" t="s">
        <v>1623</v>
      </c>
      <c r="AD91" s="312" t="s">
        <v>498</v>
      </c>
      <c r="AE91" s="124"/>
      <c r="AF91" s="124"/>
      <c r="AG91" s="124"/>
      <c r="AH91" s="310">
        <f>AG91-AF91</f>
        <v>0</v>
      </c>
      <c r="AI91" s="124"/>
      <c r="AJ91" s="1956"/>
      <c r="AK91" s="124"/>
      <c r="AL91" s="124"/>
      <c r="AM91" s="124"/>
      <c r="AN91" s="124"/>
      <c r="AO91" s="124"/>
      <c r="AP91" s="124"/>
      <c r="AQ91" s="124"/>
      <c r="AR91" s="124"/>
      <c r="AS91" s="124"/>
      <c r="AT91" s="1956"/>
      <c r="AU91" s="124"/>
      <c r="AV91" s="124"/>
      <c r="AW91" s="124"/>
      <c r="AX91" s="124"/>
      <c r="AY91" s="124"/>
      <c r="AZ91" s="124"/>
      <c r="BA91" s="124"/>
      <c r="BB91" s="124"/>
      <c r="BC91" s="124"/>
      <c r="BD91" s="310">
        <f>IF(AI91=0,0,(AT91-AI91)/AI91*100)</f>
        <v>0</v>
      </c>
      <c r="BE91" s="310">
        <f>IF(AT91=0,0,(AU91-AT91)/AT91*100)</f>
        <v>0</v>
      </c>
      <c r="BF91" s="310">
        <f>IF(AU91=0,0,(AV91-AU91)/AU91*100)</f>
        <v>0</v>
      </c>
      <c r="BG91" s="310">
        <f>IF(AV91=0,0,(AW91-AV91)/AV91*100)</f>
        <v>0</v>
      </c>
      <c r="BH91" s="310">
        <f>IF(AW91=0,0,(AX91-AW91)/AW91*100)</f>
        <v>0</v>
      </c>
      <c r="BI91" s="310">
        <f>IF(AX91=0,0,(AY91-AX91)/AX91*100)</f>
        <v>0</v>
      </c>
      <c r="BJ91" s="310">
        <f>IF(AY91=0,0,(AZ91-AY91)/AY91*100)</f>
        <v>0</v>
      </c>
      <c r="BK91" s="310">
        <f>IF(AZ91=0,0,(BA91-AZ91)/AZ91*100)</f>
        <v>0</v>
      </c>
      <c r="BL91" s="310">
        <f>IF(BA91=0,0,(BB91-BA91)/BA91*100)</f>
        <v>0</v>
      </c>
      <c r="BM91" s="310">
        <f>IF(BB91=0,0,(BC91-BB91)/BB91*100)</f>
        <v>0</v>
      </c>
      <c r="BN91" s="73"/>
      <c r="BO91" s="73"/>
      <c r="BP91" s="73"/>
      <c r="BQ91" s="230"/>
      <c r="BR91" s="230"/>
      <c r="BS91" s="1235" t="s">
        <v>1624</v>
      </c>
      <c r="BT91" s="1235"/>
      <c r="BU91" s="1235"/>
      <c r="BV91" s="1236"/>
      <c r="BW91" s="1236"/>
      <c r="BX91" s="1271"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M11488::ТЭ.42.28873685.0002::Неопределено::Неопределено::Неопределено::Неопределено::Неопределено</v>
      </c>
    </row>
    <row s="1632" customFormat="1" customHeight="1" ht="16.5" hidden="1">
      <c r="A92" s="228"/>
      <c r="B92" s="927"/>
      <c r="C92" s="1301" t="s">
        <v>1625</v>
      </c>
      <c r="D92" s="1260" t="s">
        <v>1626</v>
      </c>
      <c r="E92" s="797">
        <v>17.1</v>
      </c>
      <c r="F92" s="922" cm="1" t="str">
        <f t="array" ref="F92:F92">OFFSET(G92,-1,-1)</f>
        <v>1</v>
      </c>
      <c r="G92" s="230"/>
      <c r="H92" s="230"/>
      <c r="I92" s="230"/>
      <c r="J92" s="230"/>
      <c r="K92" s="230"/>
      <c r="L92" s="193"/>
      <c r="M92" s="1284"/>
      <c r="N92" s="1284" cm="1" t="str">
        <f t="array" ref="N92:N92">OFFSET(M92,-1,1)</f>
        <v>ТЭ.42.28873685.0002</v>
      </c>
      <c r="O92" s="1285"/>
      <c r="P92" s="1285"/>
      <c r="Q92" s="1285"/>
      <c r="R92" s="1285"/>
      <c r="S92" s="0"/>
      <c r="T92" s="808">
        <f>AND(F92&gt;0,method_reg="Метод обеспечения доходности инвестированного капитала")</f>
        <v>0</v>
      </c>
      <c r="U92" s="1582"/>
      <c r="V92" s="1582"/>
      <c r="W92" s="1582"/>
      <c r="X92" s="1582"/>
      <c r="Y92" s="1582"/>
      <c r="Z92" s="1582"/>
      <c r="AA92" s="230"/>
      <c r="AB92" s="314" t="s">
        <v>1311</v>
      </c>
      <c r="AC92" s="130" t="s">
        <v>1627</v>
      </c>
      <c r="AD92" s="312" t="s">
        <v>810</v>
      </c>
      <c r="AE92" s="124"/>
      <c r="AF92" s="124"/>
      <c r="AG92" s="124"/>
      <c r="AH92" s="310">
        <f>AG92-AF92</f>
        <v>0</v>
      </c>
      <c r="AI92" s="124"/>
      <c r="AJ92" s="1956"/>
      <c r="AK92" s="124"/>
      <c r="AL92" s="124"/>
      <c r="AM92" s="124"/>
      <c r="AN92" s="124"/>
      <c r="AO92" s="124"/>
      <c r="AP92" s="124"/>
      <c r="AQ92" s="124"/>
      <c r="AR92" s="124"/>
      <c r="AS92" s="124"/>
      <c r="AT92" s="1956"/>
      <c r="AU92" s="124"/>
      <c r="AV92" s="124"/>
      <c r="AW92" s="124"/>
      <c r="AX92" s="124"/>
      <c r="AY92" s="124"/>
      <c r="AZ92" s="124"/>
      <c r="BA92" s="124"/>
      <c r="BB92" s="124"/>
      <c r="BC92" s="124"/>
      <c r="BD92" s="310">
        <f>IF(AI92=0,0,(AT92-AI92)/AI92*100)</f>
        <v>0</v>
      </c>
      <c r="BE92" s="310">
        <f>IF(AT92=0,0,(AU92-AT92)/AT92*100)</f>
        <v>0</v>
      </c>
      <c r="BF92" s="310">
        <f>IF(AU92=0,0,(AV92-AU92)/AU92*100)</f>
        <v>0</v>
      </c>
      <c r="BG92" s="310">
        <f>IF(AV92=0,0,(AW92-AV92)/AV92*100)</f>
        <v>0</v>
      </c>
      <c r="BH92" s="310">
        <f>IF(AW92=0,0,(AX92-AW92)/AW92*100)</f>
        <v>0</v>
      </c>
      <c r="BI92" s="310">
        <f>IF(AX92=0,0,(AY92-AX92)/AX92*100)</f>
        <v>0</v>
      </c>
      <c r="BJ92" s="310">
        <f>IF(AY92=0,0,(AZ92-AY92)/AY92*100)</f>
        <v>0</v>
      </c>
      <c r="BK92" s="310">
        <f>IF(AZ92=0,0,(BA92-AZ92)/AZ92*100)</f>
        <v>0</v>
      </c>
      <c r="BL92" s="310">
        <f>IF(BA92=0,0,(BB92-BA92)/BA92*100)</f>
        <v>0</v>
      </c>
      <c r="BM92" s="310">
        <f>IF(BB92=0,0,(BC92-BB92)/BB92*100)</f>
        <v>0</v>
      </c>
      <c r="BN92" s="73"/>
      <c r="BO92" s="73"/>
      <c r="BP92" s="73"/>
      <c r="BQ92" s="230"/>
      <c r="BR92" s="230"/>
      <c r="BS92" s="1235" t="s">
        <v>1628</v>
      </c>
      <c r="BT92" s="1235"/>
      <c r="BU92" s="1235"/>
      <c r="BV92" s="1236"/>
      <c r="BW92" s="1236"/>
      <c r="BX92" s="1271"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M11489::ТЭ.42.28873685.0002::Неопределено::Неопределено::Неопределено::Неопределено::Неопределено</v>
      </c>
    </row>
    <row s="1632" customFormat="1" customHeight="1" ht="16.5" hidden="1">
      <c r="A93" s="228"/>
      <c r="B93" s="927"/>
      <c r="C93" s="1301" t="s">
        <v>1629</v>
      </c>
      <c r="D93" s="1260" t="s">
        <v>1630</v>
      </c>
      <c r="E93" s="797">
        <v>17.1</v>
      </c>
      <c r="F93" s="922" cm="1" t="str">
        <f t="array" ref="F93:F93">OFFSET(G93,-1,-1)</f>
        <v>1</v>
      </c>
      <c r="G93" s="230"/>
      <c r="H93" s="230"/>
      <c r="I93" s="230"/>
      <c r="J93" s="230"/>
      <c r="K93" s="230"/>
      <c r="L93" s="193"/>
      <c r="M93" s="1284"/>
      <c r="N93" s="1284" cm="1" t="str">
        <f t="array" ref="N93:N93">OFFSET(M93,-1,1)</f>
        <v>ТЭ.42.28873685.0002</v>
      </c>
      <c r="O93" s="1285"/>
      <c r="P93" s="1285"/>
      <c r="Q93" s="1285"/>
      <c r="R93" s="1285"/>
      <c r="S93" s="0"/>
      <c r="T93" s="808">
        <f>AND(F93&gt;0,method_reg="Метод обеспечения доходности инвестированного капитала")</f>
        <v>0</v>
      </c>
      <c r="U93" s="1582"/>
      <c r="V93" s="1582"/>
      <c r="W93" s="1582"/>
      <c r="X93" s="1582"/>
      <c r="Y93" s="1582"/>
      <c r="Z93" s="1582"/>
      <c r="AA93" s="230"/>
      <c r="AB93" s="314" t="s">
        <v>1314</v>
      </c>
      <c r="AC93" s="130" t="s">
        <v>1631</v>
      </c>
      <c r="AD93" s="312" t="s">
        <v>810</v>
      </c>
      <c r="AE93" s="124"/>
      <c r="AF93" s="124"/>
      <c r="AG93" s="124"/>
      <c r="AH93" s="310">
        <f>AG93-AF93</f>
        <v>0</v>
      </c>
      <c r="AI93" s="124"/>
      <c r="AJ93" s="1956"/>
      <c r="AK93" s="124"/>
      <c r="AL93" s="124"/>
      <c r="AM93" s="124"/>
      <c r="AN93" s="124"/>
      <c r="AO93" s="124"/>
      <c r="AP93" s="124"/>
      <c r="AQ93" s="124"/>
      <c r="AR93" s="124"/>
      <c r="AS93" s="124"/>
      <c r="AT93" s="1956"/>
      <c r="AU93" s="124"/>
      <c r="AV93" s="124"/>
      <c r="AW93" s="124"/>
      <c r="AX93" s="124"/>
      <c r="AY93" s="124"/>
      <c r="AZ93" s="124"/>
      <c r="BA93" s="124"/>
      <c r="BB93" s="124"/>
      <c r="BC93" s="124"/>
      <c r="BD93" s="310">
        <f>IF(AI93=0,0,(AT93-AI93)/AI93*100)</f>
        <v>0</v>
      </c>
      <c r="BE93" s="310">
        <f>IF(AT93=0,0,(AU93-AT93)/AT93*100)</f>
        <v>0</v>
      </c>
      <c r="BF93" s="310">
        <f>IF(AU93=0,0,(AV93-AU93)/AU93*100)</f>
        <v>0</v>
      </c>
      <c r="BG93" s="310">
        <f>IF(AV93=0,0,(AW93-AV93)/AV93*100)</f>
        <v>0</v>
      </c>
      <c r="BH93" s="310">
        <f>IF(AW93=0,0,(AX93-AW93)/AW93*100)</f>
        <v>0</v>
      </c>
      <c r="BI93" s="310">
        <f>IF(AX93=0,0,(AY93-AX93)/AX93*100)</f>
        <v>0</v>
      </c>
      <c r="BJ93" s="310">
        <f>IF(AY93=0,0,(AZ93-AY93)/AY93*100)</f>
        <v>0</v>
      </c>
      <c r="BK93" s="310">
        <f>IF(AZ93=0,0,(BA93-AZ93)/AZ93*100)</f>
        <v>0</v>
      </c>
      <c r="BL93" s="310">
        <f>IF(BA93=0,0,(BB93-BA93)/BA93*100)</f>
        <v>0</v>
      </c>
      <c r="BM93" s="310">
        <f>IF(BB93=0,0,(BC93-BB93)/BB93*100)</f>
        <v>0</v>
      </c>
      <c r="BN93" s="73"/>
      <c r="BO93" s="73"/>
      <c r="BP93" s="73"/>
      <c r="BQ93" s="230"/>
      <c r="BR93" s="230"/>
      <c r="BS93" s="1235" t="s">
        <v>1632</v>
      </c>
      <c r="BT93" s="1235"/>
      <c r="BU93" s="1235"/>
      <c r="BV93" s="1236"/>
      <c r="BW93" s="1236"/>
      <c r="BX93" s="1271"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M11490::ТЭ.42.28873685.0002::Неопределено::Неопределено::Неопределено::Неопределено::Неопределено</v>
      </c>
    </row>
    <row s="1632" customFormat="1" customHeight="1" ht="16.5" hidden="1">
      <c r="A94" s="228"/>
      <c r="B94" s="927"/>
      <c r="C94" s="1301" t="s">
        <v>1633</v>
      </c>
      <c r="D94" s="1260" t="s">
        <v>1634</v>
      </c>
      <c r="E94" s="797">
        <v>17.1</v>
      </c>
      <c r="F94" s="922" cm="1" t="str">
        <f t="array" ref="F94:F94">OFFSET(G94,-1,-1)</f>
        <v>1</v>
      </c>
      <c r="G94" s="230"/>
      <c r="H94" s="230"/>
      <c r="I94" s="230"/>
      <c r="J94" s="230"/>
      <c r="K94" s="230"/>
      <c r="L94" s="193"/>
      <c r="M94" s="1284"/>
      <c r="N94" s="1284" cm="1" t="str">
        <f t="array" ref="N94:N94">OFFSET(M94,-1,1)</f>
        <v>ТЭ.42.28873685.0002</v>
      </c>
      <c r="O94" s="1285"/>
      <c r="P94" s="1285"/>
      <c r="Q94" s="1285"/>
      <c r="R94" s="1285"/>
      <c r="S94" s="0"/>
      <c r="T94" s="808">
        <f>AND(F94&gt;0,method_reg="Метод обеспечения доходности инвестированного капитала")</f>
        <v>0</v>
      </c>
      <c r="U94" s="1582"/>
      <c r="V94" s="1582"/>
      <c r="W94" s="1582"/>
      <c r="X94" s="1582"/>
      <c r="Y94" s="1582"/>
      <c r="Z94" s="1582"/>
      <c r="AA94" s="230"/>
      <c r="AB94" s="314" t="s">
        <v>1635</v>
      </c>
      <c r="AC94" s="131" t="s">
        <v>1636</v>
      </c>
      <c r="AD94" s="312" t="s">
        <v>498</v>
      </c>
      <c r="AE94" s="124"/>
      <c r="AF94" s="124"/>
      <c r="AG94" s="124"/>
      <c r="AH94" s="310">
        <f>AG94-AF94</f>
        <v>0</v>
      </c>
      <c r="AI94" s="124"/>
      <c r="AJ94" s="1956"/>
      <c r="AK94" s="124"/>
      <c r="AL94" s="124"/>
      <c r="AM94" s="124"/>
      <c r="AN94" s="124"/>
      <c r="AO94" s="124"/>
      <c r="AP94" s="124"/>
      <c r="AQ94" s="124"/>
      <c r="AR94" s="124"/>
      <c r="AS94" s="124"/>
      <c r="AT94" s="1956"/>
      <c r="AU94" s="124"/>
      <c r="AV94" s="124"/>
      <c r="AW94" s="124"/>
      <c r="AX94" s="124"/>
      <c r="AY94" s="124"/>
      <c r="AZ94" s="124"/>
      <c r="BA94" s="124"/>
      <c r="BB94" s="124"/>
      <c r="BC94" s="124"/>
      <c r="BD94" s="310">
        <f>IF(AI94=0,0,(AT94-AI94)/AI94*100)</f>
        <v>0</v>
      </c>
      <c r="BE94" s="310">
        <f>IF(AT94=0,0,(AU94-AT94)/AT94*100)</f>
        <v>0</v>
      </c>
      <c r="BF94" s="310">
        <f>IF(AU94=0,0,(AV94-AU94)/AU94*100)</f>
        <v>0</v>
      </c>
      <c r="BG94" s="310">
        <f>IF(AV94=0,0,(AW94-AV94)/AV94*100)</f>
        <v>0</v>
      </c>
      <c r="BH94" s="310">
        <f>IF(AW94=0,0,(AX94-AW94)/AW94*100)</f>
        <v>0</v>
      </c>
      <c r="BI94" s="310">
        <f>IF(AX94=0,0,(AY94-AX94)/AX94*100)</f>
        <v>0</v>
      </c>
      <c r="BJ94" s="310">
        <f>IF(AY94=0,0,(AZ94-AY94)/AY94*100)</f>
        <v>0</v>
      </c>
      <c r="BK94" s="310">
        <f>IF(AZ94=0,0,(BA94-AZ94)/AZ94*100)</f>
        <v>0</v>
      </c>
      <c r="BL94" s="310">
        <f>IF(BA94=0,0,(BB94-BA94)/BA94*100)</f>
        <v>0</v>
      </c>
      <c r="BM94" s="310">
        <f>IF(BB94=0,0,(BC94-BB94)/BB94*100)</f>
        <v>0</v>
      </c>
      <c r="BN94" s="73"/>
      <c r="BO94" s="73"/>
      <c r="BP94" s="73"/>
      <c r="BQ94" s="230"/>
      <c r="BR94" s="230"/>
      <c r="BS94" s="1235" t="s">
        <v>1637</v>
      </c>
      <c r="BT94" s="1235"/>
      <c r="BU94" s="1235"/>
      <c r="BV94" s="1236"/>
      <c r="BW94" s="1236"/>
      <c r="BX94" s="1271"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M11491::ТЭ.42.28873685.0002::Неопределено::Неопределено::Неопределено::Неопределено::Неопределено</v>
      </c>
    </row>
    <row s="1632" customFormat="1" customHeight="1" ht="16.5" hidden="1">
      <c r="A95" s="228"/>
      <c r="B95" s="927"/>
      <c r="C95" s="1301" t="s">
        <v>1638</v>
      </c>
      <c r="D95" s="1260" t="s">
        <v>1639</v>
      </c>
      <c r="E95" s="797">
        <v>17.1</v>
      </c>
      <c r="F95" s="922" cm="1" t="str">
        <f t="array" ref="F95:F95">OFFSET(G95,-1,-1)</f>
        <v>1</v>
      </c>
      <c r="G95" s="230"/>
      <c r="H95" s="230"/>
      <c r="I95" s="230"/>
      <c r="J95" s="230"/>
      <c r="K95" s="230"/>
      <c r="L95" s="193"/>
      <c r="M95" s="1284"/>
      <c r="N95" s="1284" cm="1" t="str">
        <f t="array" ref="N95:N95">OFFSET(M95,-1,1)</f>
        <v>ТЭ.42.28873685.0002</v>
      </c>
      <c r="O95" s="1285"/>
      <c r="P95" s="1285"/>
      <c r="Q95" s="1285"/>
      <c r="R95" s="1285"/>
      <c r="S95" s="0"/>
      <c r="T95" s="808">
        <f>AND(F95&gt;0,method_reg="Метод обеспечения доходности инвестированного капитала")</f>
        <v>0</v>
      </c>
      <c r="U95" s="1582"/>
      <c r="V95" s="1582"/>
      <c r="W95" s="1582"/>
      <c r="X95" s="1582"/>
      <c r="Y95" s="1582"/>
      <c r="Z95" s="1582"/>
      <c r="AA95" s="230"/>
      <c r="AB95" s="314" t="s">
        <v>1317</v>
      </c>
      <c r="AC95" s="130" t="s">
        <v>1640</v>
      </c>
      <c r="AD95" s="312" t="s">
        <v>498</v>
      </c>
      <c r="AE95" s="124"/>
      <c r="AF95" s="124"/>
      <c r="AG95" s="124"/>
      <c r="AH95" s="310">
        <f>AG95-AF95</f>
        <v>0</v>
      </c>
      <c r="AI95" s="124"/>
      <c r="AJ95" s="1956"/>
      <c r="AK95" s="124"/>
      <c r="AL95" s="124"/>
      <c r="AM95" s="124"/>
      <c r="AN95" s="124"/>
      <c r="AO95" s="124"/>
      <c r="AP95" s="124"/>
      <c r="AQ95" s="124"/>
      <c r="AR95" s="124"/>
      <c r="AS95" s="124"/>
      <c r="AT95" s="1956"/>
      <c r="AU95" s="124"/>
      <c r="AV95" s="124"/>
      <c r="AW95" s="124"/>
      <c r="AX95" s="124"/>
      <c r="AY95" s="124"/>
      <c r="AZ95" s="124"/>
      <c r="BA95" s="124"/>
      <c r="BB95" s="124"/>
      <c r="BC95" s="124"/>
      <c r="BD95" s="310">
        <f>IF(AI95=0,0,(AT95-AI95)/AI95*100)</f>
        <v>0</v>
      </c>
      <c r="BE95" s="310">
        <f>IF(AT95=0,0,(AU95-AT95)/AT95*100)</f>
        <v>0</v>
      </c>
      <c r="BF95" s="310">
        <f>IF(AU95=0,0,(AV95-AU95)/AU95*100)</f>
        <v>0</v>
      </c>
      <c r="BG95" s="310">
        <f>IF(AV95=0,0,(AW95-AV95)/AV95*100)</f>
        <v>0</v>
      </c>
      <c r="BH95" s="310">
        <f>IF(AW95=0,0,(AX95-AW95)/AW95*100)</f>
        <v>0</v>
      </c>
      <c r="BI95" s="310">
        <f>IF(AX95=0,0,(AY95-AX95)/AX95*100)</f>
        <v>0</v>
      </c>
      <c r="BJ95" s="310">
        <f>IF(AY95=0,0,(AZ95-AY95)/AY95*100)</f>
        <v>0</v>
      </c>
      <c r="BK95" s="310">
        <f>IF(AZ95=0,0,(BA95-AZ95)/AZ95*100)</f>
        <v>0</v>
      </c>
      <c r="BL95" s="310">
        <f>IF(BA95=0,0,(BB95-BA95)/BA95*100)</f>
        <v>0</v>
      </c>
      <c r="BM95" s="310">
        <f>IF(BB95=0,0,(BC95-BB95)/BB95*100)</f>
        <v>0</v>
      </c>
      <c r="BN95" s="73"/>
      <c r="BO95" s="73"/>
      <c r="BP95" s="73"/>
      <c r="BQ95" s="230"/>
      <c r="BR95" s="230"/>
      <c r="BS95" s="1235" t="s">
        <v>1641</v>
      </c>
      <c r="BT95" s="1235"/>
      <c r="BU95" s="1235"/>
      <c r="BV95" s="1236"/>
      <c r="BW95" s="1236"/>
      <c r="BX95" s="1271"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M11493::ТЭ.42.28873685.0002::Неопределено::Неопределено::Неопределено::Неопределено::Неопределено</v>
      </c>
    </row>
    <row s="1632" customFormat="1" customHeight="1" ht="16.5" hidden="1">
      <c r="A96" s="228"/>
      <c r="B96" s="927"/>
      <c r="C96" s="1301" t="s">
        <v>1642</v>
      </c>
      <c r="D96" s="1260" t="s">
        <v>1643</v>
      </c>
      <c r="E96" s="797">
        <v>17.1</v>
      </c>
      <c r="F96" s="922" cm="1" t="str">
        <f t="array" ref="F96:F96">OFFSET(G96,-1,-1)</f>
        <v>1</v>
      </c>
      <c r="G96" s="230"/>
      <c r="H96" s="230"/>
      <c r="I96" s="230"/>
      <c r="J96" s="230"/>
      <c r="K96" s="230"/>
      <c r="L96" s="193"/>
      <c r="M96" s="1284"/>
      <c r="N96" s="1284" cm="1" t="str">
        <f t="array" ref="N96:N96">OFFSET(M96,-1,1)</f>
        <v>ТЭ.42.28873685.0002</v>
      </c>
      <c r="O96" s="1285"/>
      <c r="P96" s="1285"/>
      <c r="Q96" s="1285"/>
      <c r="R96" s="1285"/>
      <c r="S96" s="0"/>
      <c r="T96" s="808">
        <f>AND(F96&gt;0,method_reg="Метод обеспечения доходности инвестированного капитала")</f>
        <v>0</v>
      </c>
      <c r="U96" s="1582"/>
      <c r="V96" s="1582"/>
      <c r="W96" s="1582"/>
      <c r="X96" s="1582"/>
      <c r="Y96" s="1582"/>
      <c r="Z96" s="1582"/>
      <c r="AA96" s="230"/>
      <c r="AB96" s="314" t="s">
        <v>1644</v>
      </c>
      <c r="AC96" s="131" t="s">
        <v>1645</v>
      </c>
      <c r="AD96" s="312" t="s">
        <v>498</v>
      </c>
      <c r="AE96" s="124"/>
      <c r="AF96" s="124"/>
      <c r="AG96" s="124"/>
      <c r="AH96" s="310">
        <f>AG96-AF96</f>
        <v>0</v>
      </c>
      <c r="AI96" s="124"/>
      <c r="AJ96" s="1956"/>
      <c r="AK96" s="124"/>
      <c r="AL96" s="124"/>
      <c r="AM96" s="124"/>
      <c r="AN96" s="124"/>
      <c r="AO96" s="124"/>
      <c r="AP96" s="124"/>
      <c r="AQ96" s="124"/>
      <c r="AR96" s="124"/>
      <c r="AS96" s="124"/>
      <c r="AT96" s="1956"/>
      <c r="AU96" s="124"/>
      <c r="AV96" s="124"/>
      <c r="AW96" s="124"/>
      <c r="AX96" s="124"/>
      <c r="AY96" s="124"/>
      <c r="AZ96" s="124"/>
      <c r="BA96" s="124"/>
      <c r="BB96" s="124"/>
      <c r="BC96" s="124"/>
      <c r="BD96" s="310">
        <f>IF(AI96=0,0,(AT96-AI96)/AI96*100)</f>
        <v>0</v>
      </c>
      <c r="BE96" s="310">
        <f>IF(AT96=0,0,(AU96-AT96)/AT96*100)</f>
        <v>0</v>
      </c>
      <c r="BF96" s="310">
        <f>IF(AU96=0,0,(AV96-AU96)/AU96*100)</f>
        <v>0</v>
      </c>
      <c r="BG96" s="310">
        <f>IF(AV96=0,0,(AW96-AV96)/AV96*100)</f>
        <v>0</v>
      </c>
      <c r="BH96" s="310">
        <f>IF(AW96=0,0,(AX96-AW96)/AW96*100)</f>
        <v>0</v>
      </c>
      <c r="BI96" s="310">
        <f>IF(AX96=0,0,(AY96-AX96)/AX96*100)</f>
        <v>0</v>
      </c>
      <c r="BJ96" s="310">
        <f>IF(AY96=0,0,(AZ96-AY96)/AY96*100)</f>
        <v>0</v>
      </c>
      <c r="BK96" s="310">
        <f>IF(AZ96=0,0,(BA96-AZ96)/AZ96*100)</f>
        <v>0</v>
      </c>
      <c r="BL96" s="310">
        <f>IF(BA96=0,0,(BB96-BA96)/BA96*100)</f>
        <v>0</v>
      </c>
      <c r="BM96" s="310">
        <f>IF(BB96=0,0,(BC96-BB96)/BB96*100)</f>
        <v>0</v>
      </c>
      <c r="BN96" s="73"/>
      <c r="BO96" s="73"/>
      <c r="BP96" s="73"/>
      <c r="BQ96" s="230"/>
      <c r="BR96" s="230"/>
      <c r="BS96" s="1235" t="s">
        <v>1646</v>
      </c>
      <c r="BT96" s="1235"/>
      <c r="BU96" s="1235"/>
      <c r="BV96" s="1236"/>
      <c r="BW96" s="1236"/>
      <c r="BX96" s="1271"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M11494::ТЭ.42.28873685.0002::Неопределено::Неопределено::Неопределено::Неопределено::Неопределено</v>
      </c>
    </row>
    <row s="1632" customFormat="1" customHeight="1" ht="16.5" hidden="1">
      <c r="A97" s="228"/>
      <c r="B97" s="927"/>
      <c r="C97" s="1301" t="s">
        <v>1647</v>
      </c>
      <c r="D97" s="1260" t="s">
        <v>1648</v>
      </c>
      <c r="E97" s="797">
        <v>17.1</v>
      </c>
      <c r="F97" s="922" cm="1" t="str">
        <f t="array" ref="F97:F97">OFFSET(G97,-1,-1)</f>
        <v>1</v>
      </c>
      <c r="G97" s="230"/>
      <c r="H97" s="230"/>
      <c r="I97" s="230"/>
      <c r="J97" s="230"/>
      <c r="K97" s="230"/>
      <c r="L97" s="193"/>
      <c r="M97" s="1284"/>
      <c r="N97" s="1284" cm="1" t="str">
        <f t="array" ref="N97:N97">OFFSET(M97,-1,1)</f>
        <v>ТЭ.42.28873685.0002</v>
      </c>
      <c r="O97" s="1285"/>
      <c r="P97" s="1285"/>
      <c r="Q97" s="1285"/>
      <c r="R97" s="1285"/>
      <c r="S97" s="0"/>
      <c r="T97" s="808">
        <f>AND(F97&gt;0,method_reg="Метод обеспечения доходности инвестированного капитала")</f>
        <v>0</v>
      </c>
      <c r="U97" s="1582"/>
      <c r="V97" s="1582"/>
      <c r="W97" s="1582"/>
      <c r="X97" s="1582"/>
      <c r="Y97" s="1582"/>
      <c r="Z97" s="1582"/>
      <c r="AA97" s="230"/>
      <c r="AB97" s="314" t="s">
        <v>1649</v>
      </c>
      <c r="AC97" s="131" t="s">
        <v>1650</v>
      </c>
      <c r="AD97" s="312" t="s">
        <v>498</v>
      </c>
      <c r="AE97" s="124"/>
      <c r="AF97" s="124"/>
      <c r="AG97" s="124"/>
      <c r="AH97" s="310">
        <f>AG97-AF97</f>
        <v>0</v>
      </c>
      <c r="AI97" s="124"/>
      <c r="AJ97" s="1956"/>
      <c r="AK97" s="124"/>
      <c r="AL97" s="124"/>
      <c r="AM97" s="124"/>
      <c r="AN97" s="124"/>
      <c r="AO97" s="124"/>
      <c r="AP97" s="124"/>
      <c r="AQ97" s="124"/>
      <c r="AR97" s="124"/>
      <c r="AS97" s="124"/>
      <c r="AT97" s="1956"/>
      <c r="AU97" s="124"/>
      <c r="AV97" s="124"/>
      <c r="AW97" s="124"/>
      <c r="AX97" s="124"/>
      <c r="AY97" s="124"/>
      <c r="AZ97" s="124"/>
      <c r="BA97" s="124"/>
      <c r="BB97" s="124"/>
      <c r="BC97" s="124"/>
      <c r="BD97" s="310">
        <f>IF(AI97=0,0,(AT97-AI97)/AI97*100)</f>
        <v>0</v>
      </c>
      <c r="BE97" s="310">
        <f>IF(AT97=0,0,(AU97-AT97)/AT97*100)</f>
        <v>0</v>
      </c>
      <c r="BF97" s="310">
        <f>IF(AU97=0,0,(AV97-AU97)/AU97*100)</f>
        <v>0</v>
      </c>
      <c r="BG97" s="310">
        <f>IF(AV97=0,0,(AW97-AV97)/AV97*100)</f>
        <v>0</v>
      </c>
      <c r="BH97" s="310">
        <f>IF(AW97=0,0,(AX97-AW97)/AW97*100)</f>
        <v>0</v>
      </c>
      <c r="BI97" s="310">
        <f>IF(AX97=0,0,(AY97-AX97)/AX97*100)</f>
        <v>0</v>
      </c>
      <c r="BJ97" s="310">
        <f>IF(AY97=0,0,(AZ97-AY97)/AY97*100)</f>
        <v>0</v>
      </c>
      <c r="BK97" s="310">
        <f>IF(AZ97=0,0,(BA97-AZ97)/AZ97*100)</f>
        <v>0</v>
      </c>
      <c r="BL97" s="310">
        <f>IF(BA97=0,0,(BB97-BA97)/BA97*100)</f>
        <v>0</v>
      </c>
      <c r="BM97" s="310">
        <f>IF(BB97=0,0,(BC97-BB97)/BB97*100)</f>
        <v>0</v>
      </c>
      <c r="BN97" s="73"/>
      <c r="BO97" s="73"/>
      <c r="BP97" s="73"/>
      <c r="BQ97" s="230"/>
      <c r="BR97" s="230"/>
      <c r="BS97" s="1235" t="s">
        <v>1651</v>
      </c>
      <c r="BT97" s="1235"/>
      <c r="BU97" s="1235"/>
      <c r="BV97" s="1236"/>
      <c r="BW97" s="1236"/>
      <c r="BX97" s="1271"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M11495::ТЭ.42.28873685.0002::Неопределено::Неопределено::Неопределено::Неопределено::Неопределено</v>
      </c>
    </row>
    <row s="1632" customFormat="1" customHeight="1" ht="16.5">
      <c r="A98" s="228"/>
      <c r="B98" s="927"/>
      <c r="C98" s="1301" t="s">
        <v>1652</v>
      </c>
      <c r="D98" s="1260" t="s">
        <v>1653</v>
      </c>
      <c r="E98" s="797">
        <v>17.1</v>
      </c>
      <c r="F98" s="922" cm="1" t="str">
        <f t="array" ref="F98:F98">OFFSET(G98,-1,-1)</f>
        <v>1</v>
      </c>
      <c r="G98" s="193" t="s">
        <v>1499</v>
      </c>
      <c r="H98" s="230"/>
      <c r="I98" s="230"/>
      <c r="J98" s="230"/>
      <c r="K98" s="230"/>
      <c r="L98" s="193"/>
      <c r="M98" s="1284"/>
      <c r="N98" s="1284" cm="1" t="str">
        <f t="array" ref="N98:N98">OFFSET(M98,-1,1)</f>
        <v>ТЭ.42.28873685.0002</v>
      </c>
      <c r="O98" s="1285"/>
      <c r="P98" s="1285"/>
      <c r="Q98" s="1285"/>
      <c r="R98" s="1285"/>
      <c r="S98" s="0"/>
      <c r="T98" s="808">
        <f>AND(F98&gt;0,method_reg="Метод индексации")</f>
        <v>1</v>
      </c>
      <c r="U98" s="1582"/>
      <c r="V98" s="1582"/>
      <c r="W98" s="1582"/>
      <c r="X98" s="1582"/>
      <c r="Y98" s="1582"/>
      <c r="Z98" s="1582"/>
      <c r="AA98" s="230"/>
      <c r="AB98" s="160" t="s">
        <v>432</v>
      </c>
      <c r="AC98" s="613" t="s">
        <v>1501</v>
      </c>
      <c r="AD98" s="488" t="s">
        <v>1023</v>
      </c>
      <c r="AE98" s="1956">
        <f>AE99+AE100+AE101</f>
        <v>0</v>
      </c>
      <c r="AF98" s="1956">
        <f>AF99+AF100+AF101</f>
        <v>0</v>
      </c>
      <c r="AG98" s="1956">
        <f>AG99+AG100+AG101</f>
        <v>0</v>
      </c>
      <c r="AH98" s="310">
        <f>AG98-AF98</f>
        <v>0</v>
      </c>
      <c r="AI98" s="1956">
        <v>0</v>
      </c>
      <c r="AJ98" s="1956">
        <v>315.3</v>
      </c>
      <c r="AK98" s="1956">
        <f>AK99+AK100+AK101</f>
        <v>0</v>
      </c>
      <c r="AL98" s="1956">
        <f>AL99+AL100+AL101</f>
        <v>0</v>
      </c>
      <c r="AM98" s="1956">
        <f>AM99+AM100+AM101</f>
        <v>0</v>
      </c>
      <c r="AN98" s="1956">
        <f>AN99+AN100+AN101</f>
        <v>0</v>
      </c>
      <c r="AO98" s="1956">
        <f>AO99+AO100+AO101</f>
        <v>0</v>
      </c>
      <c r="AP98" s="1956">
        <f>AP99+AP100+AP101</f>
        <v>0</v>
      </c>
      <c r="AQ98" s="1956">
        <f>AQ99+AQ100+AQ101</f>
        <v>0</v>
      </c>
      <c r="AR98" s="1956">
        <f>AR99+AR100+AR101</f>
        <v>0</v>
      </c>
      <c r="AS98" s="1956">
        <f>AS99+AS100+AS101</f>
        <v>0</v>
      </c>
      <c r="AT98" s="1956">
        <f>AT99+AT100+AT101</f>
        <v>0</v>
      </c>
      <c r="AU98" s="1956">
        <f>AU99+AU100+AU101</f>
        <v>0</v>
      </c>
      <c r="AV98" s="1956">
        <f>AV99+AV100+AV101</f>
        <v>0</v>
      </c>
      <c r="AW98" s="1956">
        <f>AW99+AW100+AW101</f>
        <v>0</v>
      </c>
      <c r="AX98" s="1956">
        <f>AX99+AX100+AX101</f>
        <v>0</v>
      </c>
      <c r="AY98" s="1956">
        <f>AY99+AY100+AY101</f>
        <v>0</v>
      </c>
      <c r="AZ98" s="1956">
        <f>AZ99+AZ100+AZ101</f>
        <v>0</v>
      </c>
      <c r="BA98" s="1956">
        <f>BA99+BA100+BA101</f>
        <v>0</v>
      </c>
      <c r="BB98" s="1956">
        <f>BB99+BB100+BB101</f>
        <v>0</v>
      </c>
      <c r="BC98" s="1956">
        <f>BC99+BC100+BC101</f>
        <v>0</v>
      </c>
      <c r="BD98" s="310">
        <f>IF(AI98=0,0,(AT98-AI98)/AI98*100)</f>
        <v>0</v>
      </c>
      <c r="BE98" s="310">
        <f>IF(AT98=0,0,(AU98-AT98)/AT98*100)</f>
        <v>0</v>
      </c>
      <c r="BF98" s="310">
        <f>IF(AU98=0,0,(AV98-AU98)/AU98*100)</f>
        <v>0</v>
      </c>
      <c r="BG98" s="310">
        <f>IF(AV98=0,0,(AW98-AV98)/AV98*100)</f>
        <v>0</v>
      </c>
      <c r="BH98" s="310">
        <f>IF(AW98=0,0,(AX98-AW98)/AW98*100)</f>
        <v>0</v>
      </c>
      <c r="BI98" s="310">
        <f>IF(AX98=0,0,(AY98-AX98)/AX98*100)</f>
        <v>0</v>
      </c>
      <c r="BJ98" s="310">
        <f>IF(AY98=0,0,(AZ98-AY98)/AY98*100)</f>
        <v>0</v>
      </c>
      <c r="BK98" s="310">
        <f>IF(AZ98=0,0,(BA98-AZ98)/AZ98*100)</f>
        <v>0</v>
      </c>
      <c r="BL98" s="310">
        <f>IF(BA98=0,0,(BB98-BA98)/BA98*100)</f>
        <v>0</v>
      </c>
      <c r="BM98" s="310">
        <f>IF(BB98=0,0,(BC98-BB98)/BB98*100)</f>
        <v>0</v>
      </c>
      <c r="BN98" s="1719"/>
      <c r="BO98" s="1719"/>
      <c r="BP98" s="1719"/>
      <c r="BQ98" s="230"/>
      <c r="BR98" s="230"/>
      <c r="BS98" s="1235" t="s">
        <v>1502</v>
      </c>
      <c r="BT98" s="1235"/>
      <c r="BU98" s="1235"/>
      <c r="BV98" s="1236"/>
      <c r="BW98" s="1236"/>
      <c r="BX98" s="1271"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M10606::ТЭ.42.28873685.0002::Неопределено::Неопределено::Неопределено::Неопределено::Неопределено</v>
      </c>
    </row>
    <row s="1632" customFormat="1" customHeight="1" ht="58.5">
      <c r="A99" s="228"/>
      <c r="B99" s="927"/>
      <c r="C99" s="1301" t="s">
        <v>1654</v>
      </c>
      <c r="D99" s="1260" t="s">
        <v>1655</v>
      </c>
      <c r="E99" s="797">
        <v>60</v>
      </c>
      <c r="F99" s="922" cm="1" t="str">
        <f t="array" ref="F99:F99">OFFSET(G99,-1,-1)</f>
        <v>1</v>
      </c>
      <c r="G99" s="230"/>
      <c r="H99" s="230"/>
      <c r="I99" s="230"/>
      <c r="J99" s="230"/>
      <c r="K99" s="230"/>
      <c r="L99" s="193"/>
      <c r="M99" s="1284"/>
      <c r="N99" s="1284" cm="1" t="str">
        <f t="array" ref="N99:N99">OFFSET(M99,-1,1)</f>
        <v>ТЭ.42.28873685.0002</v>
      </c>
      <c r="O99" s="1285"/>
      <c r="P99" s="1285"/>
      <c r="Q99" s="1285"/>
      <c r="R99" s="1285"/>
      <c r="S99" s="0"/>
      <c r="T99" s="808">
        <f>AND(F99&gt;0,method_reg="Метод индексации")</f>
        <v>1</v>
      </c>
      <c r="U99" s="1582"/>
      <c r="V99" s="1582"/>
      <c r="W99" s="1582"/>
      <c r="X99" s="1582"/>
      <c r="Y99" s="1582"/>
      <c r="Z99" s="1582"/>
      <c r="AA99" s="230"/>
      <c r="AB99" s="160" t="s">
        <v>751</v>
      </c>
      <c r="AC99" s="1025" t="s">
        <v>1656</v>
      </c>
      <c r="AD99" s="488" t="s">
        <v>1402</v>
      </c>
      <c r="AE99" s="1956"/>
      <c r="AF99" s="1956"/>
      <c r="AG99" s="1956"/>
      <c r="AH99" s="310">
        <f>AG99-AF99</f>
        <v>0</v>
      </c>
      <c r="AI99" s="1956"/>
      <c r="AJ99" s="1956"/>
      <c r="AK99" s="1956"/>
      <c r="AL99" s="1956"/>
      <c r="AM99" s="1956"/>
      <c r="AN99" s="1956"/>
      <c r="AO99" s="1956"/>
      <c r="AP99" s="1956"/>
      <c r="AQ99" s="1956"/>
      <c r="AR99" s="1956"/>
      <c r="AS99" s="1956"/>
      <c r="AT99" s="1956"/>
      <c r="AU99" s="1956"/>
      <c r="AV99" s="1956"/>
      <c r="AW99" s="1956"/>
      <c r="AX99" s="1956"/>
      <c r="AY99" s="1956"/>
      <c r="AZ99" s="1956"/>
      <c r="BA99" s="1956"/>
      <c r="BB99" s="1956"/>
      <c r="BC99" s="1956"/>
      <c r="BD99" s="310">
        <f>IF(AI99=0,0,(AT99-AI99)/AI99*100)</f>
        <v>0</v>
      </c>
      <c r="BE99" s="310">
        <f>IF(AT99=0,0,(AU99-AT99)/AT99*100)</f>
        <v>0</v>
      </c>
      <c r="BF99" s="310">
        <f>IF(AU99=0,0,(AV99-AU99)/AU99*100)</f>
        <v>0</v>
      </c>
      <c r="BG99" s="310">
        <f>IF(AV99=0,0,(AW99-AV99)/AV99*100)</f>
        <v>0</v>
      </c>
      <c r="BH99" s="310">
        <f>IF(AW99=0,0,(AX99-AW99)/AW99*100)</f>
        <v>0</v>
      </c>
      <c r="BI99" s="310">
        <f>IF(AX99=0,0,(AY99-AX99)/AX99*100)</f>
        <v>0</v>
      </c>
      <c r="BJ99" s="310">
        <f>IF(AY99=0,0,(AZ99-AY99)/AY99*100)</f>
        <v>0</v>
      </c>
      <c r="BK99" s="310">
        <f>IF(AZ99=0,0,(BA99-AZ99)/AZ99*100)</f>
        <v>0</v>
      </c>
      <c r="BL99" s="310">
        <f>IF(BA99=0,0,(BB99-BA99)/BA99*100)</f>
        <v>0</v>
      </c>
      <c r="BM99" s="310">
        <f>IF(BB99=0,0,(BC99-BB99)/BB99*100)</f>
        <v>0</v>
      </c>
      <c r="BN99" s="1719"/>
      <c r="BO99" s="1719"/>
      <c r="BP99" s="1719"/>
      <c r="BQ99" s="230"/>
      <c r="BR99" s="230"/>
      <c r="BS99" s="1235" t="s">
        <v>1657</v>
      </c>
      <c r="BT99" s="1235"/>
      <c r="BU99" s="1235"/>
      <c r="BV99" s="1236"/>
      <c r="BW99" s="1236"/>
      <c r="BX99" s="1271"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M10614::ТЭ.42.28873685.0002::Неопределено::Неопределено::Неопределено::Неопределено::Неопределено</v>
      </c>
    </row>
    <row s="1632" customFormat="1" customHeight="1" ht="29.25">
      <c r="A100" s="228"/>
      <c r="B100" s="927"/>
      <c r="C100" s="1301" t="s">
        <v>1658</v>
      </c>
      <c r="D100" s="1260" t="s">
        <v>1659</v>
      </c>
      <c r="E100" s="797">
        <v>30</v>
      </c>
      <c r="F100" s="922" cm="1" t="str">
        <f t="array" ref="F100:F100">OFFSET(G100,-1,-1)</f>
        <v>1</v>
      </c>
      <c r="G100" s="230"/>
      <c r="H100" s="230"/>
      <c r="I100" s="230"/>
      <c r="J100" s="230"/>
      <c r="K100" s="230"/>
      <c r="L100" s="193"/>
      <c r="M100" s="1284"/>
      <c r="N100" s="1284" cm="1" t="str">
        <f t="array" ref="N100:N100">OFFSET(M100,-1,1)</f>
        <v>ТЭ.42.28873685.0002</v>
      </c>
      <c r="O100" s="1285"/>
      <c r="P100" s="1285"/>
      <c r="Q100" s="1285"/>
      <c r="R100" s="1285"/>
      <c r="S100" s="0"/>
      <c r="T100" s="808">
        <f>AND(F100&gt;0,method_reg="Метод индексации")</f>
        <v>1</v>
      </c>
      <c r="U100" s="1582"/>
      <c r="V100" s="1582"/>
      <c r="W100" s="1582"/>
      <c r="X100" s="1582"/>
      <c r="Y100" s="1582"/>
      <c r="Z100" s="1582"/>
      <c r="AA100" s="230"/>
      <c r="AB100" s="160" t="s">
        <v>1609</v>
      </c>
      <c r="AC100" s="613" t="s">
        <v>1660</v>
      </c>
      <c r="AD100" s="488" t="s">
        <v>1402</v>
      </c>
      <c r="AE100" s="1956"/>
      <c r="AF100" s="1956"/>
      <c r="AG100" s="1956"/>
      <c r="AH100" s="310">
        <f>AG100-AF100</f>
        <v>0</v>
      </c>
      <c r="AI100" s="1956"/>
      <c r="AJ100" s="1956"/>
      <c r="AK100" s="1956"/>
      <c r="AL100" s="1956"/>
      <c r="AM100" s="1956"/>
      <c r="AN100" s="1956"/>
      <c r="AO100" s="1956"/>
      <c r="AP100" s="1956"/>
      <c r="AQ100" s="1956"/>
      <c r="AR100" s="1956"/>
      <c r="AS100" s="1956"/>
      <c r="AT100" s="1956"/>
      <c r="AU100" s="1956"/>
      <c r="AV100" s="1956"/>
      <c r="AW100" s="1956"/>
      <c r="AX100" s="1956"/>
      <c r="AY100" s="1956"/>
      <c r="AZ100" s="1956"/>
      <c r="BA100" s="1956"/>
      <c r="BB100" s="1956"/>
      <c r="BC100" s="1956"/>
      <c r="BD100" s="310">
        <f>IF(AI100=0,0,(AT100-AI100)/AI100*100)</f>
        <v>0</v>
      </c>
      <c r="BE100" s="310">
        <f>IF(AT100=0,0,(AU100-AT100)/AT100*100)</f>
        <v>0</v>
      </c>
      <c r="BF100" s="310">
        <f>IF(AU100=0,0,(AV100-AU100)/AU100*100)</f>
        <v>0</v>
      </c>
      <c r="BG100" s="310">
        <f>IF(AV100=0,0,(AW100-AV100)/AV100*100)</f>
        <v>0</v>
      </c>
      <c r="BH100" s="310">
        <f>IF(AW100=0,0,(AX100-AW100)/AW100*100)</f>
        <v>0</v>
      </c>
      <c r="BI100" s="310">
        <f>IF(AX100=0,0,(AY100-AX100)/AX100*100)</f>
        <v>0</v>
      </c>
      <c r="BJ100" s="310">
        <f>IF(AY100=0,0,(AZ100-AY100)/AY100*100)</f>
        <v>0</v>
      </c>
      <c r="BK100" s="310">
        <f>IF(AZ100=0,0,(BA100-AZ100)/AZ100*100)</f>
        <v>0</v>
      </c>
      <c r="BL100" s="310">
        <f>IF(BA100=0,0,(BB100-BA100)/BA100*100)</f>
        <v>0</v>
      </c>
      <c r="BM100" s="310">
        <f>IF(BB100=0,0,(BC100-BB100)/BB100*100)</f>
        <v>0</v>
      </c>
      <c r="BN100" s="1719"/>
      <c r="BO100" s="1719"/>
      <c r="BP100" s="1719"/>
      <c r="BQ100" s="230"/>
      <c r="BR100" s="230"/>
      <c r="BS100" s="1235" t="s">
        <v>1661</v>
      </c>
      <c r="BT100" s="1235"/>
      <c r="BU100" s="1235"/>
      <c r="BV100" s="1236"/>
      <c r="BW100" s="1236"/>
      <c r="BX100" s="1271"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M10608::ТЭ.42.28873685.0002::Неопределено::Неопределено::Неопределено::Неопределено::Неопределено</v>
      </c>
    </row>
    <row s="1632" customFormat="1" customHeight="1" ht="43.5">
      <c r="A101" s="228"/>
      <c r="B101" s="927"/>
      <c r="C101" s="1301" t="s">
        <v>1662</v>
      </c>
      <c r="D101" s="1260" t="s">
        <v>1663</v>
      </c>
      <c r="E101" s="797">
        <v>45</v>
      </c>
      <c r="F101" s="922" cm="1" t="str">
        <f t="array" ref="F101:F101">OFFSET(G101,-1,-1)</f>
        <v>1</v>
      </c>
      <c r="G101" s="230"/>
      <c r="H101" s="230"/>
      <c r="I101" s="230"/>
      <c r="J101" s="230"/>
      <c r="K101" s="230"/>
      <c r="L101" s="193"/>
      <c r="M101" s="1284"/>
      <c r="N101" s="1284" cm="1" t="str">
        <f t="array" ref="N101:N101">OFFSET(M101,-1,1)</f>
        <v>ТЭ.42.28873685.0002</v>
      </c>
      <c r="O101" s="1285"/>
      <c r="P101" s="1285"/>
      <c r="Q101" s="1285"/>
      <c r="R101" s="1285"/>
      <c r="S101" s="0"/>
      <c r="T101" s="808">
        <f>AND(F101&gt;0,method_reg="Метод индексации")</f>
        <v>1</v>
      </c>
      <c r="U101" s="1582"/>
      <c r="V101" s="1582"/>
      <c r="W101" s="1582"/>
      <c r="X101" s="1582"/>
      <c r="Y101" s="1582"/>
      <c r="Z101" s="1582"/>
      <c r="AA101" s="230"/>
      <c r="AB101" s="160" t="s">
        <v>1664</v>
      </c>
      <c r="AC101" s="613" t="s">
        <v>1665</v>
      </c>
      <c r="AD101" s="488" t="s">
        <v>1402</v>
      </c>
      <c r="AE101" s="1956"/>
      <c r="AF101" s="1956"/>
      <c r="AG101" s="1956"/>
      <c r="AH101" s="310">
        <f>AG101-AF101</f>
        <v>0</v>
      </c>
      <c r="AI101" s="1956"/>
      <c r="AJ101" s="1956"/>
      <c r="AK101" s="1956"/>
      <c r="AL101" s="1956"/>
      <c r="AM101" s="1956"/>
      <c r="AN101" s="1956"/>
      <c r="AO101" s="1956"/>
      <c r="AP101" s="1956"/>
      <c r="AQ101" s="1956"/>
      <c r="AR101" s="1956"/>
      <c r="AS101" s="1956"/>
      <c r="AT101" s="1956"/>
      <c r="AU101" s="1956"/>
      <c r="AV101" s="1956"/>
      <c r="AW101" s="1956"/>
      <c r="AX101" s="1956"/>
      <c r="AY101" s="1956"/>
      <c r="AZ101" s="1956"/>
      <c r="BA101" s="1956"/>
      <c r="BB101" s="1956"/>
      <c r="BC101" s="1956"/>
      <c r="BD101" s="310">
        <f>IF(AI101=0,0,(AT101-AI101)/AI101*100)</f>
        <v>0</v>
      </c>
      <c r="BE101" s="310">
        <f>IF(AT101=0,0,(AU101-AT101)/AT101*100)</f>
        <v>0</v>
      </c>
      <c r="BF101" s="310">
        <f>IF(AU101=0,0,(AV101-AU101)/AU101*100)</f>
        <v>0</v>
      </c>
      <c r="BG101" s="310">
        <f>IF(AV101=0,0,(AW101-AV101)/AV101*100)</f>
        <v>0</v>
      </c>
      <c r="BH101" s="310">
        <f>IF(AW101=0,0,(AX101-AW101)/AW101*100)</f>
        <v>0</v>
      </c>
      <c r="BI101" s="310">
        <f>IF(AX101=0,0,(AY101-AX101)/AX101*100)</f>
        <v>0</v>
      </c>
      <c r="BJ101" s="310">
        <f>IF(AY101=0,0,(AZ101-AY101)/AY101*100)</f>
        <v>0</v>
      </c>
      <c r="BK101" s="310">
        <f>IF(AZ101=0,0,(BA101-AZ101)/AZ101*100)</f>
        <v>0</v>
      </c>
      <c r="BL101" s="310">
        <f>IF(BA101=0,0,(BB101-BA101)/BA101*100)</f>
        <v>0</v>
      </c>
      <c r="BM101" s="310">
        <f>IF(BB101=0,0,(BC101-BB101)/BB101*100)</f>
        <v>0</v>
      </c>
      <c r="BN101" s="1719"/>
      <c r="BO101" s="1719"/>
      <c r="BP101" s="1719"/>
      <c r="BQ101" s="230"/>
      <c r="BR101" s="230"/>
      <c r="BS101" s="1235" t="s">
        <v>1666</v>
      </c>
      <c r="BT101" s="1235"/>
      <c r="BU101" s="1235"/>
      <c r="BV101" s="1236"/>
      <c r="BW101" s="1236"/>
      <c r="BX101" s="1271"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M10610::ТЭ.42.28873685.0002::Неопределено::Неопределено::Неопределено::Неопределено::Неопределено</v>
      </c>
    </row>
    <row s="1632" customFormat="1" customHeight="1" ht="14.25">
      <c r="A102" s="228"/>
      <c r="B102" s="927"/>
      <c r="C102" s="1301" t="s">
        <v>1667</v>
      </c>
      <c r="D102" s="1260" t="s">
        <v>1668</v>
      </c>
      <c r="E102" s="797">
        <v>15</v>
      </c>
      <c r="F102" s="922" cm="1" t="str">
        <f t="array" ref="F102:F102">OFFSET(G102,-1,-1)</f>
        <v>1</v>
      </c>
      <c r="G102" s="193" t="s">
        <v>1506</v>
      </c>
      <c r="H102" s="230"/>
      <c r="I102" s="230"/>
      <c r="J102" s="230"/>
      <c r="K102" s="230"/>
      <c r="L102" s="193"/>
      <c r="M102" s="1284"/>
      <c r="N102" s="1284" cm="1" t="str">
        <f t="array" ref="N102:N102">OFFSET(M102,-1,1)</f>
        <v>ТЭ.42.28873685.0002</v>
      </c>
      <c r="O102" s="1285"/>
      <c r="P102" s="1285"/>
      <c r="Q102" s="1285"/>
      <c r="R102" s="1285"/>
      <c r="S102" s="0"/>
      <c r="T102" s="808">
        <f>AND(F102&gt;0,method_reg="Метод индексации")</f>
        <v>1</v>
      </c>
      <c r="U102" s="1582"/>
      <c r="V102" s="1582"/>
      <c r="W102" s="1582"/>
      <c r="X102" s="1582"/>
      <c r="Y102" s="1582"/>
      <c r="Z102" s="1582"/>
      <c r="AA102" s="230"/>
      <c r="AB102" s="160" t="s">
        <v>435</v>
      </c>
      <c r="AC102" s="613" t="s">
        <v>1508</v>
      </c>
      <c r="AD102" s="488" t="s">
        <v>1023</v>
      </c>
      <c r="AE102" s="1956"/>
      <c r="AF102" s="1956"/>
      <c r="AG102" s="1956"/>
      <c r="AH102" s="310">
        <f>AG102-AF102</f>
        <v>0</v>
      </c>
      <c r="AI102" s="1956"/>
      <c r="AJ102" s="1956">
        <v>1900.98</v>
      </c>
      <c r="AK102" s="1956">
        <v>1121.16</v>
      </c>
      <c r="AL102" s="1956"/>
      <c r="AM102" s="1956"/>
      <c r="AN102" s="1956"/>
      <c r="AO102" s="1956"/>
      <c r="AP102" s="1956"/>
      <c r="AQ102" s="1956"/>
      <c r="AR102" s="1956"/>
      <c r="AS102" s="1956"/>
      <c r="AT102" s="1956">
        <v>1121.16</v>
      </c>
      <c r="AU102" s="1956"/>
      <c r="AV102" s="1956"/>
      <c r="AW102" s="1956"/>
      <c r="AX102" s="1956"/>
      <c r="AY102" s="1956"/>
      <c r="AZ102" s="1956"/>
      <c r="BA102" s="1956"/>
      <c r="BB102" s="1956"/>
      <c r="BC102" s="1956"/>
      <c r="BD102" s="310">
        <f>IF(AI102=0,0,(AT102-AI102)/AI102*100)</f>
        <v>0</v>
      </c>
      <c r="BE102" s="310">
        <f>IF(AT102=0,0,(AU102-AT102)/AT102*100)</f>
        <v>-100</v>
      </c>
      <c r="BF102" s="310">
        <f>IF(AU102=0,0,(AV102-AU102)/AU102*100)</f>
        <v>0</v>
      </c>
      <c r="BG102" s="310">
        <f>IF(AV102=0,0,(AW102-AV102)/AV102*100)</f>
        <v>0</v>
      </c>
      <c r="BH102" s="310">
        <f>IF(AW102=0,0,(AX102-AW102)/AW102*100)</f>
        <v>0</v>
      </c>
      <c r="BI102" s="310">
        <f>IF(AX102=0,0,(AY102-AX102)/AX102*100)</f>
        <v>0</v>
      </c>
      <c r="BJ102" s="310">
        <f>IF(AY102=0,0,(AZ102-AY102)/AY102*100)</f>
        <v>0</v>
      </c>
      <c r="BK102" s="310">
        <f>IF(AZ102=0,0,(BA102-AZ102)/AZ102*100)</f>
        <v>0</v>
      </c>
      <c r="BL102" s="310">
        <f>IF(BA102=0,0,(BB102-BA102)/BA102*100)</f>
        <v>0</v>
      </c>
      <c r="BM102" s="310">
        <f>IF(BB102=0,0,(BC102-BB102)/BB102*100)</f>
        <v>0</v>
      </c>
      <c r="BN102" s="1719"/>
      <c r="BO102" s="1719"/>
      <c r="BP102" s="1719"/>
      <c r="BQ102" s="230"/>
      <c r="BR102" s="230"/>
      <c r="BS102" s="1235" t="s">
        <v>1669</v>
      </c>
      <c r="BT102" s="1235"/>
      <c r="BU102" s="1235"/>
      <c r="BV102" s="1236"/>
      <c r="BW102" s="1236"/>
      <c r="BX102" s="1271"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M11281::ТЭ.42.28873685.0002::Неопределено::Неопределено::Неопределено::Неопределено::Неопределено</v>
      </c>
    </row>
    <row s="1632" customFormat="1" customHeight="1" ht="14.25">
      <c r="A103" s="228"/>
      <c r="B103" s="927"/>
      <c r="C103" s="1301" t="s">
        <v>1670</v>
      </c>
      <c r="D103" s="1260" t="s">
        <v>1671</v>
      </c>
      <c r="E103" s="797">
        <v>15</v>
      </c>
      <c r="F103" s="922" cm="1" t="str">
        <f t="array" ref="F103:F103">OFFSET(G103,-1,-1)</f>
        <v>1</v>
      </c>
      <c r="G103" s="230"/>
      <c r="H103" s="230"/>
      <c r="I103" s="230"/>
      <c r="J103" s="230"/>
      <c r="K103" s="230"/>
      <c r="L103" s="193"/>
      <c r="M103" s="1284"/>
      <c r="N103" s="1284" cm="1" t="str">
        <f t="array" ref="N103:N103">OFFSET(M103,-1,1)</f>
        <v>ТЭ.42.28873685.0002</v>
      </c>
      <c r="O103" s="1285"/>
      <c r="P103" s="1285"/>
      <c r="Q103" s="1285"/>
      <c r="R103" s="1285"/>
      <c r="S103" s="0"/>
      <c r="T103" s="808">
        <f>AND(F103&gt;0,method_reg="Метод индексации")</f>
        <v>1</v>
      </c>
      <c r="U103" s="1582"/>
      <c r="V103" s="1582"/>
      <c r="W103" s="1582"/>
      <c r="X103" s="1582"/>
      <c r="Y103" s="1582"/>
      <c r="Z103" s="1582"/>
      <c r="AA103" s="230"/>
      <c r="AB103" s="160" t="s">
        <v>756</v>
      </c>
      <c r="AC103" s="165" t="s">
        <v>1504</v>
      </c>
      <c r="AD103" s="488" t="s">
        <v>498</v>
      </c>
      <c r="AE103" s="1947"/>
      <c r="AF103" s="1947"/>
      <c r="AG103" s="1947"/>
      <c r="AH103" s="310">
        <f>AG103-AF103</f>
        <v>0</v>
      </c>
      <c r="AI103" s="1947"/>
      <c r="AJ103" s="1947"/>
      <c r="AK103" s="1947"/>
      <c r="AL103" s="1947"/>
      <c r="AM103" s="1947"/>
      <c r="AN103" s="1947"/>
      <c r="AO103" s="1947"/>
      <c r="AP103" s="1947"/>
      <c r="AQ103" s="1947"/>
      <c r="AR103" s="1947"/>
      <c r="AS103" s="1947"/>
      <c r="AT103" s="1947"/>
      <c r="AU103" s="1947"/>
      <c r="AV103" s="1947"/>
      <c r="AW103" s="1947"/>
      <c r="AX103" s="1947"/>
      <c r="AY103" s="1947"/>
      <c r="AZ103" s="1947"/>
      <c r="BA103" s="1947"/>
      <c r="BB103" s="1947"/>
      <c r="BC103" s="1947"/>
      <c r="BD103" s="310">
        <f>IF(AI103=0,0,(AT103-AI103)/AI103*100)</f>
        <v>0</v>
      </c>
      <c r="BE103" s="310">
        <f>IF(AT103=0,0,(AU103-AT103)/AT103*100)</f>
        <v>0</v>
      </c>
      <c r="BF103" s="310">
        <f>IF(AU103=0,0,(AV103-AU103)/AU103*100)</f>
        <v>0</v>
      </c>
      <c r="BG103" s="310">
        <f>IF(AV103=0,0,(AW103-AV103)/AV103*100)</f>
        <v>0</v>
      </c>
      <c r="BH103" s="310">
        <f>IF(AW103=0,0,(AX103-AW103)/AW103*100)</f>
        <v>0</v>
      </c>
      <c r="BI103" s="310">
        <f>IF(AX103=0,0,(AY103-AX103)/AX103*100)</f>
        <v>0</v>
      </c>
      <c r="BJ103" s="310">
        <f>IF(AY103=0,0,(AZ103-AY103)/AY103*100)</f>
        <v>0</v>
      </c>
      <c r="BK103" s="310">
        <f>IF(AZ103=0,0,(BA103-AZ103)/AZ103*100)</f>
        <v>0</v>
      </c>
      <c r="BL103" s="310">
        <f>IF(BA103=0,0,(BB103-BA103)/BA103*100)</f>
        <v>0</v>
      </c>
      <c r="BM103" s="310">
        <f>IF(BB103=0,0,(BC103-BB103)/BB103*100)</f>
        <v>0</v>
      </c>
      <c r="BN103" s="1719"/>
      <c r="BO103" s="1719"/>
      <c r="BP103" s="1719"/>
      <c r="BQ103" s="230"/>
      <c r="BR103" s="230"/>
      <c r="BS103" s="1235" t="s">
        <v>1672</v>
      </c>
      <c r="BT103" s="1235"/>
      <c r="BU103" s="1235"/>
      <c r="BV103" s="1236"/>
      <c r="BW103" s="1236"/>
      <c r="BX103" s="1271"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M10607::ТЭ.42.28873685.0002::Неопределено::Неопределено::Неопределено::Неопределено::Неопределено</v>
      </c>
    </row>
    <row s="1632" customFormat="1" customHeight="1" ht="28.5">
      <c r="A104" s="228"/>
      <c r="B104" s="927"/>
      <c r="C104" s="1301" t="s">
        <v>1673</v>
      </c>
      <c r="D104" s="1260" t="s">
        <v>1674</v>
      </c>
      <c r="E104" s="797">
        <v>29.3</v>
      </c>
      <c r="F104" s="922" cm="1" t="str">
        <f t="array" ref="F104:F104">OFFSET(G104,-1,-1)</f>
        <v>1</v>
      </c>
      <c r="G104" s="193">
        <v>6</v>
      </c>
      <c r="H104" s="230"/>
      <c r="I104" s="230"/>
      <c r="J104" s="230"/>
      <c r="K104" s="230"/>
      <c r="L104" s="193"/>
      <c r="M104" s="1284"/>
      <c r="N104" s="1284" cm="1" t="str">
        <f t="array" ref="N104:N104">OFFSET(M104,-1,1)</f>
        <v>ТЭ.42.28873685.0002</v>
      </c>
      <c r="O104" s="1285"/>
      <c r="P104" s="1285"/>
      <c r="Q104" s="1285"/>
      <c r="R104" s="1285"/>
      <c r="S104" s="0"/>
      <c r="T104" s="808">
        <f>F104&gt;0</f>
        <v>1</v>
      </c>
      <c r="U104" s="1582"/>
      <c r="V104" s="1582"/>
      <c r="W104" s="1582"/>
      <c r="X104" s="1582"/>
      <c r="Y104" s="1582"/>
      <c r="Z104" s="1582"/>
      <c r="AA104" s="230"/>
      <c r="AB104" s="160" t="s">
        <v>637</v>
      </c>
      <c r="AC104" s="613" t="s">
        <v>1511</v>
      </c>
      <c r="AD104" s="488" t="s">
        <v>1023</v>
      </c>
      <c r="AE104" s="1956"/>
      <c r="AF104" s="1956"/>
      <c r="AG104" s="1956"/>
      <c r="AH104" s="310">
        <f>AG104-AF104</f>
        <v>0</v>
      </c>
      <c r="AI104" s="1956"/>
      <c r="AJ104" s="1956"/>
      <c r="AK104" s="1956"/>
      <c r="AL104" s="1956"/>
      <c r="AM104" s="1956"/>
      <c r="AN104" s="1956"/>
      <c r="AO104" s="1956"/>
      <c r="AP104" s="1956"/>
      <c r="AQ104" s="1956"/>
      <c r="AR104" s="1956"/>
      <c r="AS104" s="1956"/>
      <c r="AT104" s="1956"/>
      <c r="AU104" s="1956"/>
      <c r="AV104" s="1956"/>
      <c r="AW104" s="1956"/>
      <c r="AX104" s="1956"/>
      <c r="AY104" s="1956"/>
      <c r="AZ104" s="1956"/>
      <c r="BA104" s="1956"/>
      <c r="BB104" s="1956"/>
      <c r="BC104" s="1956"/>
      <c r="BD104" s="310">
        <f>IF(AI104=0,0,(AT104-AI104)/AI104*100)</f>
        <v>0</v>
      </c>
      <c r="BE104" s="310">
        <f>IF(AT104=0,0,(AU104-AT104)/AT104*100)</f>
        <v>0</v>
      </c>
      <c r="BF104" s="310">
        <f>IF(AU104=0,0,(AV104-AU104)/AU104*100)</f>
        <v>0</v>
      </c>
      <c r="BG104" s="310">
        <f>IF(AV104=0,0,(AW104-AV104)/AV104*100)</f>
        <v>0</v>
      </c>
      <c r="BH104" s="310">
        <f>IF(AW104=0,0,(AX104-AW104)/AW104*100)</f>
        <v>0</v>
      </c>
      <c r="BI104" s="310">
        <f>IF(AX104=0,0,(AY104-AX104)/AX104*100)</f>
        <v>0</v>
      </c>
      <c r="BJ104" s="310">
        <f>IF(AY104=0,0,(AZ104-AY104)/AY104*100)</f>
        <v>0</v>
      </c>
      <c r="BK104" s="310">
        <f>IF(AZ104=0,0,(BA104-AZ104)/AZ104*100)</f>
        <v>0</v>
      </c>
      <c r="BL104" s="310">
        <f>IF(BA104=0,0,(BB104-BA104)/BA104*100)</f>
        <v>0</v>
      </c>
      <c r="BM104" s="310">
        <f>IF(BB104=0,0,(BC104-BB104)/BB104*100)</f>
        <v>0</v>
      </c>
      <c r="BN104" s="1719"/>
      <c r="BO104" s="1719"/>
      <c r="BP104" s="1719"/>
      <c r="BQ104" s="230"/>
      <c r="BR104" s="230"/>
      <c r="BS104" s="1235" t="s">
        <v>1675</v>
      </c>
      <c r="BT104" s="1235"/>
      <c r="BU104" s="1235"/>
      <c r="BV104" s="1236"/>
      <c r="BW104" s="1236"/>
      <c r="BX104" s="1271"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M11584::ТЭ.42.28873685.0002::Неопределено::Неопределено::Неопределено::Неопределено::Неопределено</v>
      </c>
    </row>
    <row s="1632" customFormat="1" customHeight="1" ht="28.5">
      <c r="A105" s="228"/>
      <c r="B105" s="927"/>
      <c r="C105" s="1301" t="s">
        <v>1676</v>
      </c>
      <c r="D105" s="1260" t="s">
        <v>1677</v>
      </c>
      <c r="E105" s="797">
        <v>29.3</v>
      </c>
      <c r="F105" s="922" cm="1" t="str">
        <f t="array" ref="F105:F105">OFFSET(G105,-1,-1)</f>
        <v>1</v>
      </c>
      <c r="G105" s="193" t="s">
        <v>1538</v>
      </c>
      <c r="H105" s="230"/>
      <c r="I105" s="230"/>
      <c r="J105" s="230"/>
      <c r="K105" s="230"/>
      <c r="L105" s="193"/>
      <c r="M105" s="1284"/>
      <c r="N105" s="1284" cm="1" t="str">
        <f t="array" ref="N105:N105">OFFSET(M105,-1,1)</f>
        <v>ТЭ.42.28873685.0002</v>
      </c>
      <c r="O105" s="1285"/>
      <c r="P105" s="1285"/>
      <c r="Q105" s="1285"/>
      <c r="R105" s="1285"/>
      <c r="S105" s="0"/>
      <c r="T105" s="808" cm="1" t="str">
        <f t="array" ref="T105:T105">T104</f>
        <v>true</v>
      </c>
      <c r="U105" s="1582"/>
      <c r="V105" s="1582"/>
      <c r="W105" s="1582"/>
      <c r="X105" s="1582"/>
      <c r="Y105" s="1582"/>
      <c r="Z105" s="1582"/>
      <c r="AA105" s="230"/>
      <c r="AB105" s="160" t="s">
        <v>656</v>
      </c>
      <c r="AC105" s="741" t="s">
        <v>1678</v>
      </c>
      <c r="AD105" s="488" t="s">
        <v>1023</v>
      </c>
      <c r="AE105" s="1956">
        <f>5153.51-1.53</f>
        <v>5151.98</v>
      </c>
      <c r="AF105" s="1956"/>
      <c r="AG105" s="1956">
        <v>1896.56</v>
      </c>
      <c r="AH105" s="310">
        <f>AG105-AF105</f>
        <v>1896.56</v>
      </c>
      <c r="AI105" s="1956">
        <v>6006.2</v>
      </c>
      <c r="AJ105" s="1956"/>
      <c r="AK105" s="1956"/>
      <c r="AL105" s="1956"/>
      <c r="AM105" s="1956"/>
      <c r="AN105" s="1956"/>
      <c r="AO105" s="1956"/>
      <c r="AP105" s="1956"/>
      <c r="AQ105" s="1956"/>
      <c r="AR105" s="1956"/>
      <c r="AS105" s="1956"/>
      <c r="AT105" s="1956">
        <f>_xlfn.SUMIFS('Корр Факт'!AN$27:AN$122,'Корр Факт'!$F$27:$F$122,$F105,'Корр Факт'!$G$27:$G$122,$G105)</f>
        <v>2072.55</v>
      </c>
      <c r="AU105" s="1956"/>
      <c r="AV105" s="1956"/>
      <c r="AW105" s="1956"/>
      <c r="AX105" s="1956"/>
      <c r="AY105" s="1956"/>
      <c r="AZ105" s="1956"/>
      <c r="BA105" s="1956"/>
      <c r="BB105" s="1956"/>
      <c r="BC105" s="1956"/>
      <c r="BD105" s="310">
        <f>IF(AI105=0,0,(AT105-AI105)/AI105*100)</f>
        <v>-65.4931570710266</v>
      </c>
      <c r="BE105" s="310">
        <f>IF(AT105=0,0,(AU105-AT105)/AT105*100)</f>
        <v>-100</v>
      </c>
      <c r="BF105" s="310">
        <f>IF(AU105=0,0,(AV105-AU105)/AU105*100)</f>
        <v>0</v>
      </c>
      <c r="BG105" s="310">
        <f>IF(AV105=0,0,(AW105-AV105)/AV105*100)</f>
        <v>0</v>
      </c>
      <c r="BH105" s="310">
        <f>IF(AW105=0,0,(AX105-AW105)/AW105*100)</f>
        <v>0</v>
      </c>
      <c r="BI105" s="310">
        <f>IF(AX105=0,0,(AY105-AX105)/AX105*100)</f>
        <v>0</v>
      </c>
      <c r="BJ105" s="310">
        <f>IF(AY105=0,0,(AZ105-AY105)/AY105*100)</f>
        <v>0</v>
      </c>
      <c r="BK105" s="310">
        <f>IF(AZ105=0,0,(BA105-AZ105)/AZ105*100)</f>
        <v>0</v>
      </c>
      <c r="BL105" s="310">
        <f>IF(BA105=0,0,(BB105-BA105)/BA105*100)</f>
        <v>0</v>
      </c>
      <c r="BM105" s="310">
        <f>IF(BB105=0,0,(BC105-BB105)/BB105*100)</f>
        <v>0</v>
      </c>
      <c r="BN105" s="1719"/>
      <c r="BO105" s="1719"/>
      <c r="BP105" s="1719"/>
      <c r="BQ105" s="230"/>
      <c r="BR105" s="230"/>
      <c r="BS105" s="1235" t="s">
        <v>1679</v>
      </c>
      <c r="BT105" s="1235"/>
      <c r="BU105" s="1235"/>
      <c r="BV105" s="1236"/>
      <c r="BW105" s="1236"/>
      <c r="BX105" s="1271"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M11585::ТЭ.42.28873685.0002::Неопределено::Неопределено::Неопределено::Неопределено::Неопределено</v>
      </c>
    </row>
    <row s="1983" customFormat="1" customHeight="1" ht="63.75">
      <c r="A106" s="235"/>
      <c r="B106" s="235"/>
      <c r="C106" s="1301" t="s">
        <v>1680</v>
      </c>
      <c r="D106" s="1260" t="s">
        <v>1681</v>
      </c>
      <c r="E106" s="797">
        <v>66</v>
      </c>
      <c r="F106" s="922" cm="1" t="str">
        <f t="array" ref="F106:F106">OFFSET(G106,-1,-1)</f>
        <v>1</v>
      </c>
      <c r="G106" s="235"/>
      <c r="H106" s="235"/>
      <c r="I106" s="235"/>
      <c r="J106" s="235"/>
      <c r="K106" s="235"/>
      <c r="L106" s="235"/>
      <c r="M106" s="1284"/>
      <c r="N106" s="1284" cm="1" t="str">
        <f t="array" ref="N106:N106">OFFSET(M106,-1,1)</f>
        <v>ТЭ.42.28873685.0002</v>
      </c>
      <c r="O106" s="1286"/>
      <c r="P106" s="1286"/>
      <c r="Q106" s="1286"/>
      <c r="R106" s="1286"/>
      <c r="S106" s="1984"/>
      <c r="T106" s="808" cm="1" t="str">
        <f t="array" ref="T106:T106">T105</f>
        <v>true</v>
      </c>
      <c r="U106" s="235"/>
      <c r="V106" s="235"/>
      <c r="W106" s="235"/>
      <c r="X106" s="235"/>
      <c r="Y106" s="235"/>
      <c r="Z106" s="235"/>
      <c r="AA106" s="235"/>
      <c r="AB106" s="160" t="s">
        <v>661</v>
      </c>
      <c r="AC106" s="613" t="s">
        <v>1682</v>
      </c>
      <c r="AD106" s="488" t="s">
        <v>1023</v>
      </c>
      <c r="AE106" s="1956"/>
      <c r="AF106" s="1956"/>
      <c r="AG106" s="1956"/>
      <c r="AH106" s="310">
        <f>AG106-AF106</f>
        <v>0</v>
      </c>
      <c r="AI106" s="1956"/>
      <c r="AJ106" s="1956"/>
      <c r="AK106" s="1956"/>
      <c r="AL106" s="1956"/>
      <c r="AM106" s="1956"/>
      <c r="AN106" s="1956"/>
      <c r="AO106" s="1956"/>
      <c r="AP106" s="1956"/>
      <c r="AQ106" s="1956"/>
      <c r="AR106" s="1956"/>
      <c r="AS106" s="1956"/>
      <c r="AT106" s="1956"/>
      <c r="AU106" s="1956"/>
      <c r="AV106" s="1956"/>
      <c r="AW106" s="1956"/>
      <c r="AX106" s="1956"/>
      <c r="AY106" s="1956"/>
      <c r="AZ106" s="1956"/>
      <c r="BA106" s="1956"/>
      <c r="BB106" s="1956"/>
      <c r="BC106" s="1956"/>
      <c r="BD106" s="310">
        <f>IF(AI106=0,0,(AT106-AI106)/AI106*100)</f>
        <v>0</v>
      </c>
      <c r="BE106" s="310">
        <f>IF(AT106=0,0,(AU106-AT106)/AT106*100)</f>
        <v>0</v>
      </c>
      <c r="BF106" s="310">
        <f>IF(AU106=0,0,(AV106-AU106)/AU106*100)</f>
        <v>0</v>
      </c>
      <c r="BG106" s="310">
        <f>IF(AV106=0,0,(AW106-AV106)/AV106*100)</f>
        <v>0</v>
      </c>
      <c r="BH106" s="310">
        <f>IF(AW106=0,0,(AX106-AW106)/AW106*100)</f>
        <v>0</v>
      </c>
      <c r="BI106" s="310">
        <f>IF(AX106=0,0,(AY106-AX106)/AX106*100)</f>
        <v>0</v>
      </c>
      <c r="BJ106" s="310">
        <f>IF(AY106=0,0,(AZ106-AY106)/AY106*100)</f>
        <v>0</v>
      </c>
      <c r="BK106" s="310">
        <f>IF(AZ106=0,0,(BA106-AZ106)/AZ106*100)</f>
        <v>0</v>
      </c>
      <c r="BL106" s="310">
        <f>IF(BA106=0,0,(BB106-BA106)/BA106*100)</f>
        <v>0</v>
      </c>
      <c r="BM106" s="310">
        <f>IF(BB106=0,0,(BC106-BB106)/BB106*100)</f>
        <v>0</v>
      </c>
      <c r="BN106" s="1719"/>
      <c r="BO106" s="1719"/>
      <c r="BP106" s="1719"/>
      <c r="BQ106" s="235"/>
      <c r="BR106" s="235"/>
      <c r="BS106" s="1235" t="s">
        <v>1515</v>
      </c>
      <c r="BT106" s="1243"/>
      <c r="BU106" s="1243"/>
      <c r="BV106" s="1244"/>
      <c r="BW106" s="1244"/>
      <c r="BX106" s="1271"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M11583::ТЭ.42.28873685.0002::Неопределено::Неопределено::Неопределено::Неопределено::Неопределено</v>
      </c>
    </row>
    <row s="1985" customFormat="1" customHeight="1" ht="32.25">
      <c r="A107" s="235"/>
      <c r="B107" s="235"/>
      <c r="C107" s="1301" t="s">
        <v>1683</v>
      </c>
      <c r="D107" s="1260" t="s">
        <v>1684</v>
      </c>
      <c r="E107" s="797">
        <v>33.8</v>
      </c>
      <c r="F107" s="922" cm="1" t="str">
        <f t="array" ref="F107:F107">OFFSET(G107,-1,-1)</f>
        <v>1</v>
      </c>
      <c r="G107" s="235"/>
      <c r="H107" s="235"/>
      <c r="I107" s="235"/>
      <c r="J107" s="235"/>
      <c r="K107" s="235"/>
      <c r="L107" s="235"/>
      <c r="M107" s="1284"/>
      <c r="N107" s="1284" cm="1" t="str">
        <f t="array" ref="N107:N107">OFFSET(M107,-1,1)</f>
        <v>ТЭ.42.28873685.0002</v>
      </c>
      <c r="O107" s="1286"/>
      <c r="P107" s="1286"/>
      <c r="Q107" s="1286"/>
      <c r="R107" s="1286"/>
      <c r="S107" s="1984"/>
      <c r="T107" s="808" cm="1" t="str">
        <f t="array" ref="T107:T107">T106</f>
        <v>true</v>
      </c>
      <c r="U107" s="235"/>
      <c r="V107" s="235"/>
      <c r="W107" s="235"/>
      <c r="X107" s="235"/>
      <c r="Y107" s="235"/>
      <c r="Z107" s="235"/>
      <c r="AA107" s="235"/>
      <c r="AB107" s="160" t="s">
        <v>669</v>
      </c>
      <c r="AC107" s="613" t="s">
        <v>1685</v>
      </c>
      <c r="AD107" s="488" t="s">
        <v>1023</v>
      </c>
      <c r="AE107" s="1956"/>
      <c r="AF107" s="1956"/>
      <c r="AG107" s="1956"/>
      <c r="AH107" s="310">
        <f>AG107-AF107</f>
        <v>0</v>
      </c>
      <c r="AI107" s="1956"/>
      <c r="AJ107" s="1956"/>
      <c r="AK107" s="1956"/>
      <c r="AL107" s="1956"/>
      <c r="AM107" s="1956"/>
      <c r="AN107" s="1956"/>
      <c r="AO107" s="1956"/>
      <c r="AP107" s="1956"/>
      <c r="AQ107" s="1956"/>
      <c r="AR107" s="1956"/>
      <c r="AS107" s="1956"/>
      <c r="AT107" s="1956"/>
      <c r="AU107" s="1956"/>
      <c r="AV107" s="1956"/>
      <c r="AW107" s="1956"/>
      <c r="AX107" s="1956"/>
      <c r="AY107" s="1956"/>
      <c r="AZ107" s="1956"/>
      <c r="BA107" s="1956"/>
      <c r="BB107" s="1956"/>
      <c r="BC107" s="1956"/>
      <c r="BD107" s="310">
        <f>IF(AI107=0,0,(AT107-AI107)/AI107*100)</f>
        <v>0</v>
      </c>
      <c r="BE107" s="310">
        <f>IF(AT107=0,0,(AU107-AT107)/AT107*100)</f>
        <v>0</v>
      </c>
      <c r="BF107" s="310">
        <f>IF(AU107=0,0,(AV107-AU107)/AU107*100)</f>
        <v>0</v>
      </c>
      <c r="BG107" s="310">
        <f>IF(AV107=0,0,(AW107-AV107)/AV107*100)</f>
        <v>0</v>
      </c>
      <c r="BH107" s="310">
        <f>IF(AW107=0,0,(AX107-AW107)/AW107*100)</f>
        <v>0</v>
      </c>
      <c r="BI107" s="310">
        <f>IF(AX107=0,0,(AY107-AX107)/AX107*100)</f>
        <v>0</v>
      </c>
      <c r="BJ107" s="310">
        <f>IF(AY107=0,0,(AZ107-AY107)/AY107*100)</f>
        <v>0</v>
      </c>
      <c r="BK107" s="310">
        <f>IF(AZ107=0,0,(BA107-AZ107)/AZ107*100)</f>
        <v>0</v>
      </c>
      <c r="BL107" s="310">
        <f>IF(BA107=0,0,(BB107-BA107)/BA107*100)</f>
        <v>0</v>
      </c>
      <c r="BM107" s="310">
        <f>IF(BB107=0,0,(BC107-BB107)/BB107*100)</f>
        <v>0</v>
      </c>
      <c r="BN107" s="1719"/>
      <c r="BO107" s="1719"/>
      <c r="BP107" s="1719"/>
      <c r="BQ107" s="235"/>
      <c r="BR107" s="235"/>
      <c r="BS107" s="1235" t="s">
        <v>1686</v>
      </c>
      <c r="BT107" s="1243"/>
      <c r="BU107" s="1243"/>
      <c r="BV107" s="1244"/>
      <c r="BW107" s="1244"/>
      <c r="BX107" s="1271"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M10742::ТЭ.42.28873685.0002::Неопределено::Неопределено::Неопределено::Неопределено::Неопределено</v>
      </c>
    </row>
    <row s="1632" customFormat="1" customHeight="1" ht="61.5">
      <c r="A108" s="228"/>
      <c r="B108" s="927"/>
      <c r="C108" s="1301" t="s">
        <v>1687</v>
      </c>
      <c r="D108" s="1260" t="s">
        <v>1688</v>
      </c>
      <c r="E108" s="797">
        <v>63.8</v>
      </c>
      <c r="F108" s="922" cm="1" t="str">
        <f t="array" ref="F108:F108">OFFSET(G108,-1,-1)</f>
        <v>1</v>
      </c>
      <c r="G108" s="230"/>
      <c r="H108" s="230"/>
      <c r="I108" s="230"/>
      <c r="J108" s="230"/>
      <c r="K108" s="230"/>
      <c r="L108" s="193"/>
      <c r="M108" s="1284"/>
      <c r="N108" s="1284" cm="1" t="str">
        <f t="array" ref="N108:N108">OFFSET(M108,-1,1)</f>
        <v>ТЭ.42.28873685.0002</v>
      </c>
      <c r="O108" s="1285"/>
      <c r="P108" s="1285"/>
      <c r="Q108" s="1285"/>
      <c r="R108" s="1285"/>
      <c r="S108" s="0"/>
      <c r="T108" s="808" cm="1" t="str">
        <f t="array" ref="T108:T108">T107</f>
        <v>true</v>
      </c>
      <c r="U108" s="1582"/>
      <c r="V108" s="1582"/>
      <c r="W108" s="1582"/>
      <c r="X108" s="1582"/>
      <c r="Y108" s="1582"/>
      <c r="Z108" s="1582"/>
      <c r="AA108" s="230"/>
      <c r="AB108" s="642" t="s">
        <v>693</v>
      </c>
      <c r="AC108" s="644" t="s">
        <v>1689</v>
      </c>
      <c r="AD108" s="499" t="s">
        <v>1023</v>
      </c>
      <c r="AE108" s="1986"/>
      <c r="AF108" s="1956"/>
      <c r="AG108" s="1956"/>
      <c r="AH108" s="310">
        <f>AG108-AF108</f>
        <v>0</v>
      </c>
      <c r="AI108" s="1956"/>
      <c r="AJ108" s="1956"/>
      <c r="AK108" s="1956"/>
      <c r="AL108" s="1956"/>
      <c r="AM108" s="1956"/>
      <c r="AN108" s="1956"/>
      <c r="AO108" s="1956"/>
      <c r="AP108" s="1956"/>
      <c r="AQ108" s="1956"/>
      <c r="AR108" s="1956"/>
      <c r="AS108" s="1956"/>
      <c r="AT108" s="1956"/>
      <c r="AU108" s="1956"/>
      <c r="AV108" s="1956"/>
      <c r="AW108" s="1956"/>
      <c r="AX108" s="1956"/>
      <c r="AY108" s="1956"/>
      <c r="AZ108" s="1956"/>
      <c r="BA108" s="1956"/>
      <c r="BB108" s="1956"/>
      <c r="BC108" s="1956"/>
      <c r="BD108" s="310">
        <f>IF(AI108=0,0,(AT108-AI108)/AI108*100)</f>
        <v>0</v>
      </c>
      <c r="BE108" s="310">
        <f>IF(AT108=0,0,(AU108-AT108)/AT108*100)</f>
        <v>0</v>
      </c>
      <c r="BF108" s="310">
        <f>IF(AU108=0,0,(AV108-AU108)/AU108*100)</f>
        <v>0</v>
      </c>
      <c r="BG108" s="310">
        <f>IF(AV108=0,0,(AW108-AV108)/AV108*100)</f>
        <v>0</v>
      </c>
      <c r="BH108" s="310">
        <f>IF(AW108=0,0,(AX108-AW108)/AW108*100)</f>
        <v>0</v>
      </c>
      <c r="BI108" s="310">
        <f>IF(AX108=0,0,(AY108-AX108)/AX108*100)</f>
        <v>0</v>
      </c>
      <c r="BJ108" s="310">
        <f>IF(AY108=0,0,(AZ108-AY108)/AY108*100)</f>
        <v>0</v>
      </c>
      <c r="BK108" s="310">
        <f>IF(AZ108=0,0,(BA108-AZ108)/AZ108*100)</f>
        <v>0</v>
      </c>
      <c r="BL108" s="310">
        <f>IF(BA108=0,0,(BB108-BA108)/BA108*100)</f>
        <v>0</v>
      </c>
      <c r="BM108" s="310">
        <f>IF(BB108=0,0,(BC108-BB108)/BB108*100)</f>
        <v>0</v>
      </c>
      <c r="BN108" s="1721"/>
      <c r="BO108" s="1721"/>
      <c r="BP108" s="1721"/>
      <c r="BQ108" s="230"/>
      <c r="BR108" s="230"/>
      <c r="BS108" s="1235" t="s">
        <v>1690</v>
      </c>
      <c r="BT108" s="1235"/>
      <c r="BU108" s="1235"/>
      <c r="BV108" s="1236"/>
      <c r="BW108" s="1236"/>
      <c r="BX108" s="1271"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M10743::ТЭ.42.28873685.0002::Неопределено::Неопределено::Неопределено::Неопределено::Неопределено</v>
      </c>
    </row>
    <row s="1632" customFormat="1" customHeight="1" ht="16.5">
      <c r="A109" s="228"/>
      <c r="B109" s="927"/>
      <c r="C109" s="1301" t="s">
        <v>1691</v>
      </c>
      <c r="D109" s="1260" t="s">
        <v>1692</v>
      </c>
      <c r="E109" s="797">
        <v>17.1</v>
      </c>
      <c r="F109" s="922" cm="1" t="str">
        <f t="array" ref="F109:F109">OFFSET(G109,-1,-1)</f>
        <v>1</v>
      </c>
      <c r="G109" s="230"/>
      <c r="H109" s="230"/>
      <c r="I109" s="230"/>
      <c r="J109" s="230"/>
      <c r="K109" s="230"/>
      <c r="L109" s="193"/>
      <c r="M109" s="1284"/>
      <c r="N109" s="1284" cm="1" t="str">
        <f t="array" ref="N109:N109">OFFSET(M109,-1,1)</f>
        <v>ТЭ.42.28873685.0002</v>
      </c>
      <c r="O109" s="1285"/>
      <c r="P109" s="1285"/>
      <c r="Q109" s="1285"/>
      <c r="R109" s="1285"/>
      <c r="S109" s="0"/>
      <c r="T109" s="808" cm="1" t="str">
        <f t="array" ref="T109:T109">T108</f>
        <v>true</v>
      </c>
      <c r="U109" s="1582"/>
      <c r="V109" s="1582"/>
      <c r="W109" s="1582"/>
      <c r="X109" s="1582"/>
      <c r="Y109" s="1582"/>
      <c r="Z109" s="1582"/>
      <c r="AA109" s="230"/>
      <c r="AB109" s="160" t="s">
        <v>701</v>
      </c>
      <c r="AC109" s="613" t="s">
        <v>1693</v>
      </c>
      <c r="AD109" s="654" t="s">
        <v>1023</v>
      </c>
      <c r="AE109" s="615">
        <f>SUM(AE110:AE112)</f>
        <v>0</v>
      </c>
      <c r="AF109" s="615">
        <f>SUM(AF110:AF112)</f>
        <v>0</v>
      </c>
      <c r="AG109" s="657">
        <f>SUM(AG110:AG112)</f>
        <v>0</v>
      </c>
      <c r="AH109" s="310">
        <f>AG109-AF109</f>
        <v>0</v>
      </c>
      <c r="AI109" s="660">
        <f>SUM(AI110:AI112)</f>
        <v>0</v>
      </c>
      <c r="AJ109" s="615">
        <f>SUM(AJ110:AJ112)</f>
        <v>0</v>
      </c>
      <c r="AK109" s="615">
        <f>SUM(AK110:AK112)</f>
        <v>0</v>
      </c>
      <c r="AL109" s="615">
        <f>SUM(AL110:AL112)</f>
        <v>0</v>
      </c>
      <c r="AM109" s="615">
        <f>SUM(AM110:AM112)</f>
        <v>0</v>
      </c>
      <c r="AN109" s="615">
        <f>SUM(AN110:AN112)</f>
        <v>0</v>
      </c>
      <c r="AO109" s="615">
        <f>SUM(AO110:AO112)</f>
        <v>0</v>
      </c>
      <c r="AP109" s="615">
        <f>SUM(AP110:AP112)</f>
        <v>0</v>
      </c>
      <c r="AQ109" s="615">
        <f>SUM(AQ110:AQ112)</f>
        <v>0</v>
      </c>
      <c r="AR109" s="615">
        <f>SUM(AR110:AR112)</f>
        <v>0</v>
      </c>
      <c r="AS109" s="615">
        <f>SUM(AS110:AS112)</f>
        <v>0</v>
      </c>
      <c r="AT109" s="615">
        <f>SUM(AT110:AT112)</f>
        <v>0</v>
      </c>
      <c r="AU109" s="615">
        <f>SUM(AU110:AU112)</f>
        <v>0</v>
      </c>
      <c r="AV109" s="615">
        <f>SUM(AV110:AV112)</f>
        <v>0</v>
      </c>
      <c r="AW109" s="615">
        <f>SUM(AW110:AW112)</f>
        <v>0</v>
      </c>
      <c r="AX109" s="615">
        <f>SUM(AX110:AX112)</f>
        <v>0</v>
      </c>
      <c r="AY109" s="615">
        <f>SUM(AY110:AY112)</f>
        <v>0</v>
      </c>
      <c r="AZ109" s="615">
        <f>SUM(AZ110:AZ112)</f>
        <v>0</v>
      </c>
      <c r="BA109" s="615">
        <f>SUM(BA110:BA112)</f>
        <v>0</v>
      </c>
      <c r="BB109" s="615">
        <f>SUM(BB110:BB112)</f>
        <v>0</v>
      </c>
      <c r="BC109" s="615">
        <f>SUM(BC110:BC112)</f>
        <v>0</v>
      </c>
      <c r="BD109" s="310">
        <f>IF(AI109=0,0,(AT109-AI109)/AI109*100)</f>
        <v>0</v>
      </c>
      <c r="BE109" s="310">
        <f>IF(AT109=0,0,(AU109-AT109)/AT109*100)</f>
        <v>0</v>
      </c>
      <c r="BF109" s="310">
        <f>IF(AU109=0,0,(AV109-AU109)/AU109*100)</f>
        <v>0</v>
      </c>
      <c r="BG109" s="310">
        <f>IF(AV109=0,0,(AW109-AV109)/AV109*100)</f>
        <v>0</v>
      </c>
      <c r="BH109" s="310">
        <f>IF(AW109=0,0,(AX109-AW109)/AW109*100)</f>
        <v>0</v>
      </c>
      <c r="BI109" s="310">
        <f>IF(AX109=0,0,(AY109-AX109)/AX109*100)</f>
        <v>0</v>
      </c>
      <c r="BJ109" s="310">
        <f>IF(AY109=0,0,(AZ109-AY109)/AY109*100)</f>
        <v>0</v>
      </c>
      <c r="BK109" s="310">
        <f>IF(AZ109=0,0,(BA109-AZ109)/AZ109*100)</f>
        <v>0</v>
      </c>
      <c r="BL109" s="310">
        <f>IF(BA109=0,0,(BB109-BA109)/BA109*100)</f>
        <v>0</v>
      </c>
      <c r="BM109" s="310">
        <f>IF(BB109=0,0,(BC109-BB109)/BB109*100)</f>
        <v>0</v>
      </c>
      <c r="BN109" s="1722"/>
      <c r="BO109" s="1722"/>
      <c r="BP109" s="1722"/>
      <c r="BQ109" s="230"/>
      <c r="BR109" s="230"/>
      <c r="BS109" s="1235" t="s">
        <v>1270</v>
      </c>
      <c r="BT109" s="1235"/>
      <c r="BU109" s="1235"/>
      <c r="BV109" s="1236"/>
      <c r="BW109" s="1236"/>
      <c r="BX109" s="1271"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M10895::ТЭ.42.28873685.0002::Неопределено::Неопределено::Неопределено::Неопределено::Неопределено</v>
      </c>
    </row>
    <row s="1987" customFormat="1" customHeight="1" ht="17.25" hidden="1">
      <c r="A110" s="646"/>
      <c r="B110" s="646"/>
      <c r="C110" s="1301"/>
      <c r="D110" s="1260"/>
      <c r="E110" s="797">
        <v>0</v>
      </c>
      <c r="F110" s="922" cm="1" t="str">
        <f t="array" ref="F110:F110">OFFSET(G110,-1,-1)</f>
        <v>1</v>
      </c>
      <c r="G110" s="646"/>
      <c r="H110" s="646"/>
      <c r="I110" s="646"/>
      <c r="J110" s="646"/>
      <c r="K110" s="646"/>
      <c r="L110" s="646"/>
      <c r="M110" s="1284"/>
      <c r="N110" s="1284" cm="1" t="str">
        <f t="array" ref="N110:N110">OFFSET(M110,-1,1)</f>
        <v>ТЭ.42.28873685.0002</v>
      </c>
      <c r="O110" s="1287"/>
      <c r="P110" s="1287"/>
      <c r="Q110" s="1287"/>
      <c r="R110" s="1287"/>
      <c r="S110" s="1386"/>
      <c r="T110" s="808" cm="1" t="str">
        <f t="array" ref="T110:T110">T109</f>
        <v>true</v>
      </c>
      <c r="U110" s="646"/>
      <c r="V110" s="646"/>
      <c r="W110" s="646"/>
      <c r="X110" s="646"/>
      <c r="Y110" s="646"/>
      <c r="Z110" s="646"/>
      <c r="AA110" s="646"/>
      <c r="AB110" s="651"/>
      <c r="AC110" s="652"/>
      <c r="AD110" s="580"/>
      <c r="AE110" s="616"/>
      <c r="AF110" s="616"/>
      <c r="AG110" s="133"/>
      <c r="AH110" s="616"/>
      <c r="AI110" s="1022"/>
      <c r="AJ110" s="616"/>
      <c r="AK110" s="616"/>
      <c r="AL110" s="616"/>
      <c r="AM110" s="616"/>
      <c r="AN110" s="616"/>
      <c r="AO110" s="616"/>
      <c r="AP110" s="616"/>
      <c r="AQ110" s="616"/>
      <c r="AR110" s="616"/>
      <c r="AS110" s="616"/>
      <c r="AT110" s="616"/>
      <c r="AU110" s="616"/>
      <c r="AV110" s="616"/>
      <c r="AW110" s="616"/>
      <c r="AX110" s="616"/>
      <c r="AY110" s="616"/>
      <c r="AZ110" s="616"/>
      <c r="BA110" s="616"/>
      <c r="BB110" s="616"/>
      <c r="BC110" s="616"/>
      <c r="BD110" s="647"/>
      <c r="BE110" s="647"/>
      <c r="BF110" s="647"/>
      <c r="BG110" s="647"/>
      <c r="BH110" s="647"/>
      <c r="BI110" s="647"/>
      <c r="BJ110" s="647"/>
      <c r="BK110" s="647"/>
      <c r="BL110" s="647"/>
      <c r="BM110" s="647"/>
      <c r="BN110" s="842"/>
      <c r="BO110" s="842"/>
      <c r="BP110" s="842"/>
      <c r="BQ110" s="646"/>
      <c r="BR110" s="646"/>
      <c r="BS110" s="1235" t="str">
        <f>IF(AND(ISNUMBER(VALUE(TRIM(SUBSTITUTE(AB110,".","")))),TRIM(SUBSTITUTE(AB110,".",""))&lt;&gt;""),"P"&amp;SUBSTITUTE(AB110,".",""),"")</f>
        <v/>
      </c>
      <c r="BT110" s="1248"/>
      <c r="BU110" s="1248"/>
      <c r="BV110" s="1249"/>
      <c r="BW110" s="1249"/>
      <c r="BX110" s="1271"/>
    </row>
    <row s="1632" customFormat="1" customHeight="1" ht="16.5" hidden="1">
      <c r="A111" s="228"/>
      <c r="B111" s="927"/>
      <c r="C111" s="1301" t="s">
        <v>1691</v>
      </c>
      <c r="D111" s="1260" t="s">
        <v>1692</v>
      </c>
      <c r="E111" s="797">
        <v>17.1</v>
      </c>
      <c r="F111" s="922" cm="1" t="str">
        <f t="array" ref="F111:F111">OFFSET(G111,-1,-1)</f>
        <v>1</v>
      </c>
      <c r="G111" s="230"/>
      <c r="H111" s="230"/>
      <c r="I111" s="230"/>
      <c r="J111" s="230"/>
      <c r="K111" s="230"/>
      <c r="L111" s="193"/>
      <c r="M111" s="1288" cm="1" t="str">
        <f t="array" ref="M111:M111">AC111</f>
        <v>0</v>
      </c>
      <c r="N111" s="1284" cm="1" t="str">
        <f t="array" ref="N111:N111">OFFSET(M111,-1,1)</f>
        <v>ТЭ.42.28873685.0002</v>
      </c>
      <c r="O111" s="1285"/>
      <c r="P111" s="1285"/>
      <c r="Q111" s="1285"/>
      <c r="R111" s="1285"/>
      <c r="S111" s="0"/>
      <c r="T111" s="808">
        <f>AND(F111&gt;0,Y111&gt;0)</f>
        <v>0</v>
      </c>
      <c r="U111" s="1582"/>
      <c r="V111" s="1582"/>
      <c r="W111" s="175" t="s">
        <v>234</v>
      </c>
      <c r="X111" s="1582"/>
      <c r="Y111" s="175">
        <v>0</v>
      </c>
      <c r="Z111" s="1582"/>
      <c r="AA111" s="1123" t="s">
        <v>218</v>
      </c>
      <c r="AB111" s="642" t="str">
        <f>"11."&amp;Y111</f>
        <v>11.0</v>
      </c>
      <c r="AC111" s="134"/>
      <c r="AD111" s="654" t="s">
        <v>1023</v>
      </c>
      <c r="AE111" s="124"/>
      <c r="AF111" s="124"/>
      <c r="AG111" s="135"/>
      <c r="AH111" s="310">
        <f>AG111-AF111</f>
        <v>0</v>
      </c>
      <c r="AI111" s="136"/>
      <c r="AJ111" s="1956"/>
      <c r="AK111" s="124"/>
      <c r="AL111" s="124"/>
      <c r="AM111" s="124"/>
      <c r="AN111" s="124"/>
      <c r="AO111" s="124"/>
      <c r="AP111" s="124"/>
      <c r="AQ111" s="124"/>
      <c r="AR111" s="124"/>
      <c r="AS111" s="124"/>
      <c r="AT111" s="1956"/>
      <c r="AU111" s="124"/>
      <c r="AV111" s="124"/>
      <c r="AW111" s="124"/>
      <c r="AX111" s="124"/>
      <c r="AY111" s="124"/>
      <c r="AZ111" s="124"/>
      <c r="BA111" s="124"/>
      <c r="BB111" s="124"/>
      <c r="BC111" s="124"/>
      <c r="BD111" s="310">
        <f>IF(AI111=0,0,(AT111-AI111)/AI111*100)</f>
        <v>0</v>
      </c>
      <c r="BE111" s="310">
        <f>IF(AT111=0,0,(AU111-AT111)/AT111*100)</f>
        <v>0</v>
      </c>
      <c r="BF111" s="310">
        <f>IF(AU111=0,0,(AV111-AU111)/AU111*100)</f>
        <v>0</v>
      </c>
      <c r="BG111" s="310">
        <f>IF(AV111=0,0,(AW111-AV111)/AV111*100)</f>
        <v>0</v>
      </c>
      <c r="BH111" s="310">
        <f>IF(AW111=0,0,(AX111-AW111)/AW111*100)</f>
        <v>0</v>
      </c>
      <c r="BI111" s="310">
        <f>IF(AX111=0,0,(AY111-AX111)/AX111*100)</f>
        <v>0</v>
      </c>
      <c r="BJ111" s="310">
        <f>IF(AY111=0,0,(AZ111-AY111)/AY111*100)</f>
        <v>0</v>
      </c>
      <c r="BK111" s="310">
        <f>IF(AZ111=0,0,(BA111-AZ111)/AZ111*100)</f>
        <v>0</v>
      </c>
      <c r="BL111" s="310">
        <f>IF(BA111=0,0,(BB111-BA111)/BA111*100)</f>
        <v>0</v>
      </c>
      <c r="BM111" s="310">
        <f>IF(BB111=0,0,(BC111-BB111)/BB111*100)</f>
        <v>0</v>
      </c>
      <c r="BN111" s="79"/>
      <c r="BO111" s="79"/>
      <c r="BP111" s="79"/>
      <c r="BQ111" s="230"/>
      <c r="BR111" s="230"/>
      <c r="BS111" s="1235" t="s">
        <v>1270</v>
      </c>
      <c r="BT111" s="1235" t="s">
        <v>1200</v>
      </c>
      <c r="BU111" s="1245" cm="1" t="str">
        <f t="array" ref="BU111:BU111">AC111</f>
        <v>0</v>
      </c>
      <c r="BV111" s="1236"/>
      <c r="BW111" s="1236" t="b">
        <v>1</v>
      </c>
      <c r="BX111" s="1271"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M10895::ТЭ.42.28873685.0002::0::Неопределено::Неопределено::Неопределено::Неопределено</v>
      </c>
    </row>
    <row s="1988" customFormat="1" customHeight="1" ht="16.5">
      <c r="A112" s="646"/>
      <c r="B112" s="646"/>
      <c r="C112" s="1301"/>
      <c r="D112" s="1260"/>
      <c r="E112" s="797">
        <v>17.1</v>
      </c>
      <c r="F112" s="922" cm="1" t="str">
        <f t="array" ref="F112:F112">OFFSET(G112,-1,-1)</f>
        <v>1</v>
      </c>
      <c r="G112" s="646"/>
      <c r="H112" s="646"/>
      <c r="I112" s="646"/>
      <c r="J112" s="646"/>
      <c r="K112" s="646"/>
      <c r="L112" s="646"/>
      <c r="M112" s="1284"/>
      <c r="N112" s="1284" cm="1" t="str">
        <f t="array" ref="N112:N112">OFFSET(M112,-1,1)</f>
        <v>ТЭ.42.28873685.0002</v>
      </c>
      <c r="O112" s="1287"/>
      <c r="P112" s="1287"/>
      <c r="Q112" s="1287"/>
      <c r="R112" s="1287"/>
      <c r="S112" s="1386"/>
      <c r="T112" s="808">
        <f>F112&gt;0</f>
        <v>1</v>
      </c>
      <c r="U112" s="646"/>
      <c r="V112" s="646"/>
      <c r="W112" s="374" t="s">
        <v>1694</v>
      </c>
      <c r="X112" s="646"/>
      <c r="Y112" s="646"/>
      <c r="Z112" s="646"/>
      <c r="AA112" s="646"/>
      <c r="AB112" s="302"/>
      <c r="AC112" s="735" t="s">
        <v>236</v>
      </c>
      <c r="AD112" s="303"/>
      <c r="AE112" s="303"/>
      <c r="AF112" s="303"/>
      <c r="AG112" s="303"/>
      <c r="AH112" s="303"/>
      <c r="AI112" s="303"/>
      <c r="AJ112" s="303"/>
      <c r="AK112" s="303"/>
      <c r="AL112" s="303"/>
      <c r="AM112" s="303"/>
      <c r="AN112" s="303"/>
      <c r="AO112" s="303"/>
      <c r="AP112" s="303"/>
      <c r="AQ112" s="303"/>
      <c r="AR112" s="303"/>
      <c r="AS112" s="303"/>
      <c r="AT112" s="303"/>
      <c r="AU112" s="303"/>
      <c r="AV112" s="303"/>
      <c r="AW112" s="303"/>
      <c r="AX112" s="303"/>
      <c r="AY112" s="303"/>
      <c r="AZ112" s="303"/>
      <c r="BA112" s="303"/>
      <c r="BB112" s="303"/>
      <c r="BC112" s="303"/>
      <c r="BD112" s="303"/>
      <c r="BE112" s="303"/>
      <c r="BF112" s="303"/>
      <c r="BG112" s="303"/>
      <c r="BH112" s="303"/>
      <c r="BI112" s="303"/>
      <c r="BJ112" s="303"/>
      <c r="BK112" s="303"/>
      <c r="BL112" s="303"/>
      <c r="BM112" s="303"/>
      <c r="BN112" s="1106"/>
      <c r="BO112" s="1106"/>
      <c r="BP112" s="1101"/>
      <c r="BQ112" s="646"/>
      <c r="BR112" s="646"/>
      <c r="BS112" s="1235" t="str">
        <f>IF(AND(ISNUMBER(VALUE(TRIM(SUBSTITUTE(AB112,".","")))),TRIM(SUBSTITUTE(AB112,".",""))&lt;&gt;""),"P"&amp;SUBSTITUTE(AB112,".",""),"")</f>
        <v/>
      </c>
      <c r="BT112" s="1248"/>
      <c r="BU112" s="1248"/>
      <c r="BV112" s="1249" t="s">
        <v>1200</v>
      </c>
      <c r="BW112" s="1249"/>
      <c r="BX112" s="1271"/>
    </row>
    <row s="1632" customFormat="1" customHeight="1" ht="14.25">
      <c r="A113" s="228"/>
      <c r="B113" s="927"/>
      <c r="C113" s="1301" t="s">
        <v>1695</v>
      </c>
      <c r="D113" s="1260" t="s">
        <v>1696</v>
      </c>
      <c r="E113" s="797">
        <v>15</v>
      </c>
      <c r="F113" s="922" cm="1" t="str">
        <f t="array" ref="F113:F113">OFFSET(G113,-1,-1)</f>
        <v>1</v>
      </c>
      <c r="G113" s="230"/>
      <c r="H113" s="230"/>
      <c r="I113" s="230"/>
      <c r="J113" s="230"/>
      <c r="K113" s="230"/>
      <c r="L113" s="193"/>
      <c r="M113" s="1284"/>
      <c r="N113" s="1284" cm="1" t="str">
        <f t="array" ref="N113:N113">OFFSET(M113,-1,1)</f>
        <v>ТЭ.42.28873685.0002</v>
      </c>
      <c r="O113" s="1285"/>
      <c r="P113" s="1285"/>
      <c r="Q113" s="1285"/>
      <c r="R113" s="1285"/>
      <c r="S113" s="0"/>
      <c r="T113" s="808" cm="1" t="str">
        <f t="array" ref="T113:T113">T112</f>
        <v>true</v>
      </c>
      <c r="U113" s="1582"/>
      <c r="V113" s="1582"/>
      <c r="W113" s="1582"/>
      <c r="X113" s="1582"/>
      <c r="Y113" s="1582"/>
      <c r="Z113" s="1582"/>
      <c r="AA113" s="230"/>
      <c r="AB113" s="649" t="s">
        <v>1697</v>
      </c>
      <c r="AC113" s="650" t="s">
        <v>1698</v>
      </c>
      <c r="AD113" s="664" t="s">
        <v>1023</v>
      </c>
      <c r="AE113" s="615">
        <f>AE83+AE84+AE85+IF(method_reg="Метод индексации",AE98+AE102,AE86+AE89)+AE104+AE105+AE106+AE107+AE108+AE109</f>
        <v>31576.46235</v>
      </c>
      <c r="AF113" s="615">
        <f>AF83+AF84+AF85+IF(method_reg="Метод индексации",AF98+AF102,AF86+AF89)+AF104+AF105+AF106+AF107+AF108+AF109</f>
        <v>33939.28</v>
      </c>
      <c r="AG113" s="615">
        <f>AG83+AG84+AG85+IF(method_reg="Метод индексации",AG98+AG102,AG86+AG89)+AG104+AG105+AG106+AG107+AG108+AG109</f>
        <v>30632.4257142857</v>
      </c>
      <c r="AH113" s="310">
        <f>AG113-AF113</f>
        <v>-3306.8542857143</v>
      </c>
      <c r="AI113" s="615">
        <f>AI83+AI84+AI85+IF(method_reg="Метод индексации",AI98+AI102,AI86+AI89)+AI104+AI105+AI106+AI107+AI108+AI109</f>
        <v>32619.9497414</v>
      </c>
      <c r="AJ113" s="615">
        <f>AJ83+AJ84+AJ85+IF(method_reg="Метод индексации",AJ98+AJ102,AJ86+AJ89)+AJ104+AJ105+AJ106+AJ107+AJ108+AJ109</f>
        <v>45449.491925</v>
      </c>
      <c r="AK113" s="615">
        <f>AK83+AK84+AK85+IF(method_reg="Метод индексации",AK98+AK102,AK86+AK89)+AK104+AK105+AK106+AK107+AK108+AK109</f>
        <v>28555.6585376</v>
      </c>
      <c r="AL113" s="615">
        <f>AL83+AL84+AL85+IF(method_reg="Метод индексации",AL98+AL102,AL86+AL89)+AL104+AL105+AL106+AL107+AL108+AL109</f>
        <v>26067.886552224</v>
      </c>
      <c r="AM113" s="615">
        <f>AM83+AM84+AM85+IF(method_reg="Метод индексации",AM98+AM102,AM86+AM89)+AM104+AM105+AM106+AM107+AM108+AM109</f>
        <v>25807.2076867018</v>
      </c>
      <c r="AN113" s="615">
        <f>AN83+AN84+AN85+IF(method_reg="Метод индексации",AN98+AN102,AN86+AN89)+AN104+AN105+AN106+AN107+AN108+AN109</f>
        <v>25549.1356098348</v>
      </c>
      <c r="AO113" s="615">
        <f>AO83+AO84+AO85+IF(method_reg="Метод индексации",AO98+AO102,AO86+AO89)+AO104+AO105+AO106+AO107+AO108+AO109</f>
        <v>25293.6442537365</v>
      </c>
      <c r="AP113" s="615">
        <f>AP83+AP84+AP85+IF(method_reg="Метод индексации",AP98+AP102,AP86+AP89)+AP104+AP105+AP106+AP107+AP108+AP109</f>
        <v>25040.7078111991</v>
      </c>
      <c r="AQ113" s="615">
        <f>AQ83+AQ84+AQ85+IF(method_reg="Метод индексации",AQ98+AQ102,AQ86+AQ89)+AQ104+AQ105+AQ106+AQ107+AQ108+AQ109</f>
        <v>24790.3007330871</v>
      </c>
      <c r="AR113" s="615">
        <f>AR83+AR84+AR85+IF(method_reg="Метод индексации",AR98+AR102,AR86+AR89)+AR104+AR105+AR106+AR107+AR108+AR109</f>
        <v>24542.3977257562</v>
      </c>
      <c r="AS113" s="615">
        <f>AS83+AS84+AS85+IF(method_reg="Метод индексации",AS98+AS102,AS86+AS89)+AS104+AS105+AS106+AS107+AS108+AS109</f>
        <v>24296.9737484986</v>
      </c>
      <c r="AT113" s="615">
        <f>AT83+AT84+AT85+IF(method_reg="Метод индексации",AT98+AT102,AT86+AT89)+AT104+AT105+AT106+AT107+AT108+AT109</f>
        <v>31002.4565493362</v>
      </c>
      <c r="AU113" s="615">
        <f>AU83+AU84+AU85+IF(method_reg="Метод индексации",AU98+AU102,AU86+AU89)+AU104+AU105+AU106+AU107+AU108+AU109</f>
        <v>14104.0764216</v>
      </c>
      <c r="AV113" s="615">
        <f>AV83+AV84+AV85+IF(method_reg="Метод индексации",AV98+AV102,AV86+AV89)+AV104+AV105+AV106+AV107+AV108+AV109</f>
        <v>13963.035657384</v>
      </c>
      <c r="AW113" s="615">
        <f>AW83+AW84+AW85+IF(method_reg="Метод индексации",AW98+AW102,AW86+AW89)+AW104+AW105+AW106+AW107+AW108+AW109</f>
        <v>13823.4053008102</v>
      </c>
      <c r="AX113" s="615">
        <f>AX83+AX84+AX85+IF(method_reg="Метод индексации",AX98+AX102,AX86+AX89)+AX104+AX105+AX106+AX107+AX108+AX109</f>
        <v>13685.1712478021</v>
      </c>
      <c r="AY113" s="615">
        <f>AY83+AY84+AY85+IF(method_reg="Метод индексации",AY98+AY102,AY86+AY89)+AY104+AY105+AY106+AY107+AY108+AY109</f>
        <v>13548.3195353241</v>
      </c>
      <c r="AZ113" s="615">
        <f>AZ83+AZ84+AZ85+IF(method_reg="Метод индексации",AZ98+AZ102,AZ86+AZ89)+AZ104+AZ105+AZ106+AZ107+AZ108+AZ109</f>
        <v>13412.8363399709</v>
      </c>
      <c r="BA113" s="615">
        <f>BA83+BA84+BA85+IF(method_reg="Метод индексации",BA98+BA102,BA86+BA89)+BA104+BA105+BA106+BA107+BA108+BA109</f>
        <v>13278.7079765712</v>
      </c>
      <c r="BB113" s="615">
        <f>BB83+BB84+BB85+IF(method_reg="Метод индексации",BB98+BB102,BB86+BB89)+BB104+BB105+BB106+BB107+BB108+BB109</f>
        <v>13145.9208968055</v>
      </c>
      <c r="BC113" s="615">
        <f>BC83+BC84+BC85+IF(method_reg="Метод индексации",BC98+BC102,BC86+BC89)+BC104+BC105+BC106+BC107+BC108+BC109</f>
        <v>13014.4616878374</v>
      </c>
      <c r="BD113" s="310">
        <f>IF(AI113=0,0,(AT113-AI113)/AI113*100)</f>
        <v>-4.95860111645402</v>
      </c>
      <c r="BE113" s="310">
        <f>IF(AT113=0,0,(AU113-AT113)/AT113*100)</f>
        <v>-54.506584343872</v>
      </c>
      <c r="BF113" s="310">
        <f>IF(AU113=0,0,(AV113-AU113)/AU113*100)</f>
        <v>-1</v>
      </c>
      <c r="BG113" s="310">
        <f>IF(AV113=0,0,(AW113-AV113)/AV113*100)</f>
        <v>-0.99999999999971</v>
      </c>
      <c r="BH113" s="310">
        <f>IF(AW113=0,0,(AX113-AW113)/AW113*100)</f>
        <v>-0.99999999999999</v>
      </c>
      <c r="BI113" s="310">
        <f>IF(AX113=0,0,(AY113-AX113)/AX113*100)</f>
        <v>-0.99999999999984</v>
      </c>
      <c r="BJ113" s="310">
        <f>IF(AY113=0,0,(AZ113-AY113)/AY113*100)</f>
        <v>-0.99999999999971</v>
      </c>
      <c r="BK113" s="310">
        <f>IF(AZ113=0,0,(BA113-AZ113)/AZ113*100)</f>
        <v>-0.99999999999993</v>
      </c>
      <c r="BL113" s="310">
        <f>IF(BA113=0,0,(BB113-BA113)/BA113*100)</f>
        <v>-0.99999999999991</v>
      </c>
      <c r="BM113" s="310">
        <f>IF(BB113=0,0,(BC113-BB113)/BB113*100)</f>
        <v>-1.0000000000003</v>
      </c>
      <c r="BN113" s="1723"/>
      <c r="BO113" s="1723"/>
      <c r="BP113" s="1723"/>
      <c r="BQ113" s="230"/>
      <c r="BR113" s="230"/>
      <c r="BS113" s="1235" t="s">
        <v>1699</v>
      </c>
      <c r="BT113" s="1235"/>
      <c r="BU113" s="1235"/>
      <c r="BV113" s="1236"/>
      <c r="BW113" s="1236"/>
      <c r="BX113" s="1271"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M10655::ТЭ.42.28873685.0002::Неопределено::Неопределено::Неопределено::Неопределено::Неопределено</v>
      </c>
    </row>
    <row s="1632" customFormat="1" customHeight="1" ht="48.75">
      <c r="A114" s="228"/>
      <c r="B114" s="927"/>
      <c r="C114" s="1330" t="s">
        <v>1700</v>
      </c>
      <c r="D114" s="1260" t="s">
        <v>1701</v>
      </c>
      <c r="E114" s="797">
        <v>50</v>
      </c>
      <c r="F114" s="922" cm="1" t="str">
        <f t="array" ref="F114:F114">OFFSET(G114,-1,-1)</f>
        <v>1</v>
      </c>
      <c r="G114" s="230"/>
      <c r="H114" s="230"/>
      <c r="I114" s="230"/>
      <c r="J114" s="230"/>
      <c r="K114" s="230"/>
      <c r="L114" s="193"/>
      <c r="M114" s="1284"/>
      <c r="N114" s="1284" cm="1" t="str">
        <f t="array" ref="N114:N114">OFFSET(M114,-1,1)</f>
        <v>ТЭ.42.28873685.0002</v>
      </c>
      <c r="O114" s="1285"/>
      <c r="P114" s="1285"/>
      <c r="Q114" s="1285"/>
      <c r="R114" s="1285"/>
      <c r="S114" s="0"/>
      <c r="T114" s="808" cm="1" t="str">
        <f t="array" ref="T114:T114">T113</f>
        <v>true</v>
      </c>
      <c r="U114" s="1582"/>
      <c r="V114" s="1582"/>
      <c r="W114" s="1582"/>
      <c r="X114" s="1582"/>
      <c r="Y114" s="1582"/>
      <c r="Z114" s="1582"/>
      <c r="AA114" s="230"/>
      <c r="AB114" s="643" t="s">
        <v>1702</v>
      </c>
      <c r="AC114" s="1086" t="s">
        <v>1700</v>
      </c>
      <c r="AD114" s="654" t="s">
        <v>1023</v>
      </c>
      <c r="AE114" s="1978"/>
      <c r="AF114" s="1978"/>
      <c r="AG114" s="1978"/>
      <c r="AH114" s="310">
        <f>AG114-AF114</f>
        <v>0</v>
      </c>
      <c r="AI114" s="1978"/>
      <c r="AJ114" s="1978"/>
      <c r="AK114" s="1978"/>
      <c r="AL114" s="1978"/>
      <c r="AM114" s="1978"/>
      <c r="AN114" s="1978"/>
      <c r="AO114" s="1978"/>
      <c r="AP114" s="1978"/>
      <c r="AQ114" s="1978"/>
      <c r="AR114" s="1978"/>
      <c r="AS114" s="1978"/>
      <c r="AT114" s="1978">
        <v>-1495.84</v>
      </c>
      <c r="AU114" s="1978"/>
      <c r="AV114" s="1978"/>
      <c r="AW114" s="1978"/>
      <c r="AX114" s="1978"/>
      <c r="AY114" s="1978"/>
      <c r="AZ114" s="1978"/>
      <c r="BA114" s="1978"/>
      <c r="BB114" s="1978"/>
      <c r="BC114" s="1978"/>
      <c r="BD114" s="310">
        <f>IF(AI114=0,0,(AT114-AI114)/AI114*100)</f>
        <v>0</v>
      </c>
      <c r="BE114" s="310">
        <f>IF(AT114=0,0,(AU114-AT114)/AT114*100)</f>
        <v>-100</v>
      </c>
      <c r="BF114" s="310">
        <f>IF(AU114=0,0,(AV114-AU114)/AU114*100)</f>
        <v>0</v>
      </c>
      <c r="BG114" s="310">
        <f>IF(AV114=0,0,(AW114-AV114)/AV114*100)</f>
        <v>0</v>
      </c>
      <c r="BH114" s="310">
        <f>IF(AW114=0,0,(AX114-AW114)/AW114*100)</f>
        <v>0</v>
      </c>
      <c r="BI114" s="310">
        <f>IF(AX114=0,0,(AY114-AX114)/AX114*100)</f>
        <v>0</v>
      </c>
      <c r="BJ114" s="310">
        <f>IF(AY114=0,0,(AZ114-AY114)/AY114*100)</f>
        <v>0</v>
      </c>
      <c r="BK114" s="310">
        <f>IF(AZ114=0,0,(BA114-AZ114)/AZ114*100)</f>
        <v>0</v>
      </c>
      <c r="BL114" s="310">
        <f>IF(BA114=0,0,(BB114-BA114)/BA114*100)</f>
        <v>0</v>
      </c>
      <c r="BM114" s="310">
        <f>IF(BB114=0,0,(BC114-BB114)/BB114*100)</f>
        <v>0</v>
      </c>
      <c r="BN114" s="1723"/>
      <c r="BO114" s="1723"/>
      <c r="BP114" s="1723"/>
      <c r="BQ114" s="230"/>
      <c r="BR114" s="230"/>
      <c r="BS114" s="1235" t="s">
        <v>1703</v>
      </c>
      <c r="BT114" s="1235"/>
      <c r="BU114" s="1235"/>
      <c r="BV114" s="1236"/>
      <c r="BW114" s="1236"/>
      <c r="BX114" s="1271"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M11579::ТЭ.42.28873685.0002::Неопределено::Неопределено::Неопределено::Неопределено::Неопределено</v>
      </c>
    </row>
    <row s="1632" customFormat="1" customHeight="1" ht="14.25">
      <c r="A115" s="228"/>
      <c r="B115" s="927"/>
      <c r="C115" s="1301" t="s">
        <v>1704</v>
      </c>
      <c r="D115" s="1260" t="s">
        <v>1705</v>
      </c>
      <c r="E115" s="797">
        <v>15</v>
      </c>
      <c r="F115" s="922" cm="1" t="str">
        <f t="array" ref="F115:F115">OFFSET(G115,-1,-1)</f>
        <v>1</v>
      </c>
      <c r="G115" s="193" t="s">
        <v>1706</v>
      </c>
      <c r="H115" s="230"/>
      <c r="I115" s="230"/>
      <c r="J115" s="230"/>
      <c r="K115" s="230"/>
      <c r="L115" s="193"/>
      <c r="M115" s="1284"/>
      <c r="N115" s="1284" cm="1" t="str">
        <f t="array" ref="N115:N115">OFFSET(M115,-1,1)</f>
        <v>ТЭ.42.28873685.0002</v>
      </c>
      <c r="O115" s="1289"/>
      <c r="P115" s="1285"/>
      <c r="Q115" s="1285"/>
      <c r="R115" s="1289"/>
      <c r="S115" s="0"/>
      <c r="T115" s="808" cm="1" t="str">
        <f t="array" ref="T115:T115">T114</f>
        <v>true</v>
      </c>
      <c r="U115" s="1582"/>
      <c r="V115" s="1582"/>
      <c r="W115" s="1582"/>
      <c r="X115" s="1582"/>
      <c r="Y115" s="1582"/>
      <c r="Z115" s="1582"/>
      <c r="AA115" s="230"/>
      <c r="AB115" s="649" t="s">
        <v>1707</v>
      </c>
      <c r="AC115" s="1073" t="s">
        <v>1708</v>
      </c>
      <c r="AD115" s="654" t="s">
        <v>1023</v>
      </c>
      <c r="AE115" s="694">
        <f>AE113+AE114</f>
        <v>31576.46235</v>
      </c>
      <c r="AF115" s="694">
        <f>AF113+AF114</f>
        <v>33939.28</v>
      </c>
      <c r="AG115" s="694">
        <f>AG113+AG114</f>
        <v>30632.4257142857</v>
      </c>
      <c r="AH115" s="310">
        <f>AG115-AF115</f>
        <v>-3306.8542857143</v>
      </c>
      <c r="AI115" s="694">
        <f>AI113+AI114</f>
        <v>32619.9497414</v>
      </c>
      <c r="AJ115" s="694">
        <f>AJ113+AJ114</f>
        <v>45449.491925</v>
      </c>
      <c r="AK115" s="694">
        <f>AK113+AK114</f>
        <v>28555.6585376</v>
      </c>
      <c r="AL115" s="694">
        <f>AL113+AL114</f>
        <v>26067.886552224</v>
      </c>
      <c r="AM115" s="694">
        <f>AM113+AM114</f>
        <v>25807.2076867018</v>
      </c>
      <c r="AN115" s="694">
        <f>AN113+AN114</f>
        <v>25549.1356098348</v>
      </c>
      <c r="AO115" s="694">
        <f>AO113+AO114</f>
        <v>25293.6442537365</v>
      </c>
      <c r="AP115" s="694">
        <f>AP113+AP114</f>
        <v>25040.7078111991</v>
      </c>
      <c r="AQ115" s="694">
        <f>AQ113+AQ114</f>
        <v>24790.3007330871</v>
      </c>
      <c r="AR115" s="694">
        <f>AR113+AR114</f>
        <v>24542.3977257562</v>
      </c>
      <c r="AS115" s="694">
        <f>AS113+AS114</f>
        <v>24296.9737484986</v>
      </c>
      <c r="AT115" s="694">
        <f>AT113+AT114</f>
        <v>29506.6165493362</v>
      </c>
      <c r="AU115" s="694">
        <f>AU113+AU114</f>
        <v>14104.0764216</v>
      </c>
      <c r="AV115" s="694">
        <f>AV113+AV114</f>
        <v>13963.035657384</v>
      </c>
      <c r="AW115" s="694">
        <f>AW113+AW114</f>
        <v>13823.4053008102</v>
      </c>
      <c r="AX115" s="694">
        <f>AX113+AX114</f>
        <v>13685.1712478021</v>
      </c>
      <c r="AY115" s="694">
        <f>AY113+AY114</f>
        <v>13548.3195353241</v>
      </c>
      <c r="AZ115" s="694">
        <f>AZ113+AZ114</f>
        <v>13412.8363399709</v>
      </c>
      <c r="BA115" s="694">
        <f>BA113+BA114</f>
        <v>13278.7079765712</v>
      </c>
      <c r="BB115" s="694">
        <f>BB113+BB114</f>
        <v>13145.9208968055</v>
      </c>
      <c r="BC115" s="694">
        <f>BC113+BC114</f>
        <v>13014.4616878374</v>
      </c>
      <c r="BD115" s="310">
        <f>IF(AI115=0,0,(AT115-AI115)/AI115*100)</f>
        <v>-9.54426115535205</v>
      </c>
      <c r="BE115" s="310">
        <f>IF(AT115=0,0,(AU115-AT115)/AT115*100)</f>
        <v>-52.2002924394349</v>
      </c>
      <c r="BF115" s="310">
        <f>IF(AU115=0,0,(AV115-AU115)/AU115*100)</f>
        <v>-1</v>
      </c>
      <c r="BG115" s="310">
        <f>IF(AV115=0,0,(AW115-AV115)/AV115*100)</f>
        <v>-0.99999999999971</v>
      </c>
      <c r="BH115" s="310">
        <f>IF(AW115=0,0,(AX115-AW115)/AW115*100)</f>
        <v>-0.99999999999999</v>
      </c>
      <c r="BI115" s="310">
        <f>IF(AX115=0,0,(AY115-AX115)/AX115*100)</f>
        <v>-0.99999999999984</v>
      </c>
      <c r="BJ115" s="310">
        <f>IF(AY115=0,0,(AZ115-AY115)/AY115*100)</f>
        <v>-0.99999999999971</v>
      </c>
      <c r="BK115" s="310">
        <f>IF(AZ115=0,0,(BA115-AZ115)/AZ115*100)</f>
        <v>-0.99999999999993</v>
      </c>
      <c r="BL115" s="310">
        <f>IF(BA115=0,0,(BB115-BA115)/BA115*100)</f>
        <v>-0.99999999999991</v>
      </c>
      <c r="BM115" s="310">
        <f>IF(BB115=0,0,(BC115-BB115)/BB115*100)</f>
        <v>-1.0000000000003</v>
      </c>
      <c r="BN115" s="1723"/>
      <c r="BO115" s="1723"/>
      <c r="BP115" s="1723"/>
      <c r="BQ115" s="230"/>
      <c r="BR115" s="230"/>
      <c r="BS115" s="1235" t="s">
        <v>1709</v>
      </c>
      <c r="BT115" s="1235"/>
      <c r="BU115" s="1235"/>
      <c r="BV115" s="1236"/>
      <c r="BW115" s="1236"/>
      <c r="BX115" s="1271"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M11580::ТЭ.42.28873685.0002::Неопределено::Неопределено::Неопределено::Неопределено::Неопределено</v>
      </c>
    </row>
    <row s="1632" customFormat="1" customHeight="1" ht="14.25" hidden="1">
      <c r="A116" s="228"/>
      <c r="B116" s="927"/>
      <c r="C116" s="1330" t="s">
        <v>1710</v>
      </c>
      <c r="D116" s="1260" t="s">
        <v>1711</v>
      </c>
      <c r="E116" s="797">
        <v>15</v>
      </c>
      <c r="F116" s="922" cm="1" t="str">
        <f t="array" ref="F116:F116">OFFSET(G116,-1,-1)</f>
        <v>1</v>
      </c>
      <c r="G116" s="193" t="s">
        <v>966</v>
      </c>
      <c r="H116" s="230"/>
      <c r="I116" s="230"/>
      <c r="J116" s="230"/>
      <c r="K116" s="230"/>
      <c r="L116" s="193" t="s">
        <v>1712</v>
      </c>
      <c r="M116" s="1284"/>
      <c r="N116" s="1284" cm="1" t="str">
        <f t="array" ref="N116:N116">OFFSET(M116,-1,1)</f>
        <v>ТЭ.42.28873685.0002</v>
      </c>
      <c r="O116" s="1289"/>
      <c r="P116" s="1285"/>
      <c r="Q116" s="1285"/>
      <c r="R116" s="1289"/>
      <c r="S116" s="0"/>
      <c r="T116" s="808">
        <f>AND(F116&gt;0,G82="двухставочный")</f>
        <v>0</v>
      </c>
      <c r="U116" s="1582"/>
      <c r="V116" s="1582"/>
      <c r="W116" s="1582"/>
      <c r="X116" s="1582"/>
      <c r="Y116" s="1582"/>
      <c r="Z116" s="1582"/>
      <c r="AA116" s="230"/>
      <c r="AB116" s="663" t="str">
        <f>AB115&amp;".1"</f>
        <v>14.1</v>
      </c>
      <c r="AC116" s="619" t="s">
        <v>1713</v>
      </c>
      <c r="AD116" s="312" t="s">
        <v>810</v>
      </c>
      <c r="AE116" s="124">
        <f>_xlfn.SUMIFS('Ресурсы (5.4)'!AE$26:AE$47,'Ресурсы (5.4)'!$F$26:$F$47,$F116,'Ресурсы (5.4)'!$AB$26:$AB$47,"6.1")</f>
        <v>5673.56</v>
      </c>
      <c r="AF116" s="124">
        <f>_xlfn.SUMIFS('Ресурсы (5.4)'!AF$26:AF$47,'Ресурсы (5.4)'!$F$26:$F$47,$F116,'Ресурсы (5.4)'!$AB$26:$AB$47,"6.1")</f>
        <v>7937.13</v>
      </c>
      <c r="AG116" s="124">
        <f>_xlfn.SUMIFS('Ресурсы (5.4)'!AG$26:AG$47,'Ресурсы (5.4)'!$F$26:$F$47,$F116,'Ресурсы (5.4)'!$AB$26:$AB$47,"6.1")</f>
        <v>5920.92571428572</v>
      </c>
      <c r="AH116" s="310">
        <f>AG116-AF116</f>
        <v>-2016.20428571428</v>
      </c>
      <c r="AI116" s="124">
        <f>_xlfn.SUMIFS('Ресурсы (5.4)'!AI$26:AI$47,'Ресурсы (5.4)'!$F$26:$F$47,$F116,'Ресурсы (5.4)'!$AB$26:$AB$47,"6.1")</f>
        <v>5136.98</v>
      </c>
      <c r="AJ116" s="1956">
        <f>_xlfn.SUMIFS('Ресурсы (5.4)'!AJ$26:AJ$47,'Ресурсы (5.4)'!$F$26:$F$47,$F116,'Ресурсы (5.4)'!$AB$26:$AB$47,"6.1")</f>
        <v>5528.831685</v>
      </c>
      <c r="AK116" s="124">
        <f>_xlfn.SUMIFS('Ресурсы (5.4)'!AK$26:AK$47,'Ресурсы (5.4)'!$F$26:$F$47,$F116,'Ресурсы (5.4)'!$AB$26:$AB$47,"6.1")</f>
        <v>0</v>
      </c>
      <c r="AL116" s="124">
        <f>_xlfn.SUMIFS('Ресурсы (5.4)'!AL$26:AL$47,'Ресурсы (5.4)'!$F$26:$F$47,$F116,'Ресурсы (5.4)'!$AB$26:$AB$47,"6.1")</f>
        <v>0</v>
      </c>
      <c r="AM116" s="124">
        <f>_xlfn.SUMIFS('Ресурсы (5.4)'!AM$26:AM$47,'Ресурсы (5.4)'!$F$26:$F$47,$F116,'Ресурсы (5.4)'!$AB$26:$AB$47,"6.1")</f>
        <v>0</v>
      </c>
      <c r="AN116" s="124">
        <f>_xlfn.SUMIFS('Ресурсы (5.4)'!AN$26:AN$47,'Ресурсы (5.4)'!$F$26:$F$47,$F116,'Ресурсы (5.4)'!$AB$26:$AB$47,"6.1")</f>
        <v>0</v>
      </c>
      <c r="AO116" s="124">
        <f>_xlfn.SUMIFS('Ресурсы (5.4)'!AO$26:AO$47,'Ресурсы (5.4)'!$F$26:$F$47,$F116,'Ресурсы (5.4)'!$AB$26:$AB$47,"6.1")</f>
        <v>0</v>
      </c>
      <c r="AP116" s="124">
        <f>_xlfn.SUMIFS('Ресурсы (5.4)'!AP$26:AP$47,'Ресурсы (5.4)'!$F$26:$F$47,$F116,'Ресурсы (5.4)'!$AB$26:$AB$47,"6.1")</f>
        <v>0</v>
      </c>
      <c r="AQ116" s="124">
        <f>_xlfn.SUMIFS('Ресурсы (5.4)'!AQ$26:AQ$47,'Ресурсы (5.4)'!$F$26:$F$47,$F116,'Ресурсы (5.4)'!$AB$26:$AB$47,"6.1")</f>
        <v>0</v>
      </c>
      <c r="AR116" s="124">
        <f>_xlfn.SUMIFS('Ресурсы (5.4)'!AR$26:AR$47,'Ресурсы (5.4)'!$F$26:$F$47,$F116,'Ресурсы (5.4)'!$AB$26:$AB$47,"6.1")</f>
        <v>0</v>
      </c>
      <c r="AS116" s="124">
        <f>_xlfn.SUMIFS('Ресурсы (5.4)'!AS$26:AS$47,'Ресурсы (5.4)'!$F$26:$F$47,$F116,'Ресурсы (5.4)'!$AB$26:$AB$47,"6.1")</f>
        <v>0</v>
      </c>
      <c r="AT116" s="1956">
        <f>_xlfn.SUMIFS('Ресурсы (5.4)'!AT$26:AT$47,'Ресурсы (5.4)'!$F$26:$F$47,$F116,'Ресурсы (5.4)'!$AB$26:$AB$47,"6.1")</f>
        <v>5385.60454893618</v>
      </c>
      <c r="AU116" s="124">
        <f>_xlfn.SUMIFS('Ресурсы (5.4)'!AU$26:AU$47,'Ресурсы (5.4)'!$F$26:$F$47,$F116,'Ресурсы (5.4)'!$AB$26:$AB$47,"6.1")</f>
        <v>0</v>
      </c>
      <c r="AV116" s="124">
        <f>_xlfn.SUMIFS('Ресурсы (5.4)'!AV$26:AV$47,'Ресурсы (5.4)'!$F$26:$F$47,$F116,'Ресурсы (5.4)'!$AB$26:$AB$47,"6.1")</f>
        <v>0</v>
      </c>
      <c r="AW116" s="124">
        <f>_xlfn.SUMIFS('Ресурсы (5.4)'!AW$26:AW$47,'Ресурсы (5.4)'!$F$26:$F$47,$F116,'Ресурсы (5.4)'!$AB$26:$AB$47,"6.1")</f>
        <v>0</v>
      </c>
      <c r="AX116" s="124">
        <f>_xlfn.SUMIFS('Ресурсы (5.4)'!AX$26:AX$47,'Ресурсы (5.4)'!$F$26:$F$47,$F116,'Ресурсы (5.4)'!$AB$26:$AB$47,"6.1")</f>
        <v>0</v>
      </c>
      <c r="AY116" s="124">
        <f>_xlfn.SUMIFS('Ресурсы (5.4)'!AY$26:AY$47,'Ресурсы (5.4)'!$F$26:$F$47,$F116,'Ресурсы (5.4)'!$AB$26:$AB$47,"6.1")</f>
        <v>0</v>
      </c>
      <c r="AZ116" s="124">
        <f>_xlfn.SUMIFS('Ресурсы (5.4)'!AZ$26:AZ$47,'Ресурсы (5.4)'!$F$26:$F$47,$F116,'Ресурсы (5.4)'!$AB$26:$AB$47,"6.1")</f>
        <v>0</v>
      </c>
      <c r="BA116" s="124">
        <f>_xlfn.SUMIFS('Ресурсы (5.4)'!BA$26:BA$47,'Ресурсы (5.4)'!$F$26:$F$47,$F116,'Ресурсы (5.4)'!$AB$26:$AB$47,"6.1")</f>
        <v>0</v>
      </c>
      <c r="BB116" s="124">
        <f>_xlfn.SUMIFS('Ресурсы (5.4)'!BB$26:BB$47,'Ресурсы (5.4)'!$F$26:$F$47,$F116,'Ресурсы (5.4)'!$AB$26:$AB$47,"6.1")</f>
        <v>0</v>
      </c>
      <c r="BC116" s="124">
        <f>_xlfn.SUMIFS('Ресурсы (5.4)'!BC$26:BC$47,'Ресурсы (5.4)'!$F$26:$F$47,$F116,'Ресурсы (5.4)'!$AB$26:$AB$47,"6.1")</f>
        <v>0</v>
      </c>
      <c r="BD116" s="310">
        <f>IF(AI116=0,0,(AT116-AI116)/AI116*100)</f>
        <v>4.8398971562315</v>
      </c>
      <c r="BE116" s="310">
        <f>IF(AT116=0,0,(AU116-AT116)/AT116*100)</f>
        <v>-100</v>
      </c>
      <c r="BF116" s="310">
        <f>IF(AU116=0,0,(AV116-AU116)/AU116*100)</f>
        <v>0</v>
      </c>
      <c r="BG116" s="310">
        <f>IF(AV116=0,0,(AW116-AV116)/AV116*100)</f>
        <v>0</v>
      </c>
      <c r="BH116" s="310">
        <f>IF(AW116=0,0,(AX116-AW116)/AW116*100)</f>
        <v>0</v>
      </c>
      <c r="BI116" s="310">
        <f>IF(AX116=0,0,(AY116-AX116)/AX116*100)</f>
        <v>0</v>
      </c>
      <c r="BJ116" s="310">
        <f>IF(AY116=0,0,(AZ116-AY116)/AY116*100)</f>
        <v>0</v>
      </c>
      <c r="BK116" s="310">
        <f>IF(AZ116=0,0,(BA116-AZ116)/AZ116*100)</f>
        <v>0</v>
      </c>
      <c r="BL116" s="310">
        <f>IF(BA116=0,0,(BB116-BA116)/BA116*100)</f>
        <v>0</v>
      </c>
      <c r="BM116" s="310">
        <f>IF(BB116=0,0,(BC116-BB116)/BB116*100)</f>
        <v>0</v>
      </c>
      <c r="BN116" s="73"/>
      <c r="BO116" s="73"/>
      <c r="BP116" s="73"/>
      <c r="BQ116" s="230"/>
      <c r="BR116" s="230"/>
      <c r="BS116" s="1235" t="s">
        <v>1714</v>
      </c>
      <c r="BT116" s="1235"/>
      <c r="BU116" s="1235"/>
      <c r="BV116" s="1236"/>
      <c r="BW116" s="1236"/>
      <c r="BX116" s="1271"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M11581::ТЭ.42.28873685.0002::Неопределено::Неопределено::Неопределено::Неопределено::Неопределено</v>
      </c>
    </row>
    <row s="1632" customFormat="1" customHeight="1" ht="14.25" hidden="1">
      <c r="A117" s="228"/>
      <c r="B117" s="927"/>
      <c r="C117" s="1330" t="s">
        <v>1715</v>
      </c>
      <c r="D117" s="1260" t="s">
        <v>1716</v>
      </c>
      <c r="E117" s="797">
        <v>15</v>
      </c>
      <c r="F117" s="922" cm="1" t="str">
        <f t="array" ref="F117:F117">OFFSET(G117,-1,-1)</f>
        <v>1</v>
      </c>
      <c r="G117" s="230"/>
      <c r="H117" s="230"/>
      <c r="I117" s="230"/>
      <c r="J117" s="230"/>
      <c r="K117" s="230"/>
      <c r="L117" s="193" t="s">
        <v>1712</v>
      </c>
      <c r="M117" s="1284"/>
      <c r="N117" s="1284" cm="1" t="str">
        <f t="array" ref="N117:N117">OFFSET(M117,-1,1)</f>
        <v>ТЭ.42.28873685.0002</v>
      </c>
      <c r="O117" s="1289"/>
      <c r="P117" s="1285"/>
      <c r="Q117" s="1285"/>
      <c r="R117" s="1289"/>
      <c r="S117" s="0"/>
      <c r="T117" s="808" cm="1" t="str">
        <f t="array" ref="T117:T117">T116</f>
        <v>false</v>
      </c>
      <c r="U117" s="1582"/>
      <c r="V117" s="1582"/>
      <c r="W117" s="1582"/>
      <c r="X117" s="1582"/>
      <c r="Y117" s="1582"/>
      <c r="Z117" s="1582"/>
      <c r="AA117" s="230"/>
      <c r="AB117" s="663" t="str">
        <f>AB115&amp;".2"</f>
        <v>14.2</v>
      </c>
      <c r="AC117" s="619" t="s">
        <v>1715</v>
      </c>
      <c r="AD117" s="312" t="s">
        <v>810</v>
      </c>
      <c r="AE117" s="615">
        <f>AE115-AE116</f>
        <v>25902.90235</v>
      </c>
      <c r="AF117" s="615">
        <f>AF115-AF116</f>
        <v>26002.15</v>
      </c>
      <c r="AG117" s="615">
        <f>AG115-AG116</f>
        <v>24711.5</v>
      </c>
      <c r="AH117" s="310">
        <f>AG117-AF117</f>
        <v>-1290.65</v>
      </c>
      <c r="AI117" s="615">
        <f>AI115-AI116</f>
        <v>27482.9697414</v>
      </c>
      <c r="AJ117" s="615">
        <f>AJ115-AJ116</f>
        <v>39920.66024</v>
      </c>
      <c r="AK117" s="615">
        <f>AK115-AK116</f>
        <v>28555.6585376</v>
      </c>
      <c r="AL117" s="615">
        <f>AL115-AL116</f>
        <v>26067.886552224</v>
      </c>
      <c r="AM117" s="615">
        <f>AM115-AM116</f>
        <v>25807.2076867018</v>
      </c>
      <c r="AN117" s="615">
        <f>AN115-AN116</f>
        <v>25549.1356098348</v>
      </c>
      <c r="AO117" s="615">
        <f>AO115-AO116</f>
        <v>25293.6442537365</v>
      </c>
      <c r="AP117" s="615">
        <f>AP115-AP116</f>
        <v>25040.7078111991</v>
      </c>
      <c r="AQ117" s="615">
        <f>AQ115-AQ116</f>
        <v>24790.3007330871</v>
      </c>
      <c r="AR117" s="615">
        <f>AR115-AR116</f>
        <v>24542.3977257562</v>
      </c>
      <c r="AS117" s="615">
        <f>AS115-AS116</f>
        <v>24296.9737484986</v>
      </c>
      <c r="AT117" s="615">
        <f>AT115-AT116</f>
        <v>24121.0120004</v>
      </c>
      <c r="AU117" s="615">
        <f>AU115-AU116</f>
        <v>14104.0764216</v>
      </c>
      <c r="AV117" s="615">
        <f>AV115-AV116</f>
        <v>13963.035657384</v>
      </c>
      <c r="AW117" s="615">
        <f>AW115-AW116</f>
        <v>13823.4053008102</v>
      </c>
      <c r="AX117" s="615">
        <f>AX115-AX116</f>
        <v>13685.1712478021</v>
      </c>
      <c r="AY117" s="615">
        <f>AY115-AY116</f>
        <v>13548.3195353241</v>
      </c>
      <c r="AZ117" s="615">
        <f>AZ115-AZ116</f>
        <v>13412.8363399709</v>
      </c>
      <c r="BA117" s="615">
        <f>BA115-BA116</f>
        <v>13278.7079765712</v>
      </c>
      <c r="BB117" s="615">
        <f>BB115-BB116</f>
        <v>13145.9208968055</v>
      </c>
      <c r="BC117" s="657">
        <f>BC115-BC116</f>
        <v>13014.4616878374</v>
      </c>
      <c r="BD117" s="310">
        <f>IF(AI117=0,0,(AT117-AI117)/AI117*100)</f>
        <v>-12.2328764781762</v>
      </c>
      <c r="BE117" s="310">
        <f>IF(AT117=0,0,(AU117-AT117)/AT117*100)</f>
        <v>-41.5278412805975</v>
      </c>
      <c r="BF117" s="310">
        <f>IF(AU117=0,0,(AV117-AU117)/AU117*100)</f>
        <v>-1</v>
      </c>
      <c r="BG117" s="310">
        <f>IF(AV117=0,0,(AW117-AV117)/AV117*100)</f>
        <v>-0.99999999999971</v>
      </c>
      <c r="BH117" s="310">
        <f>IF(AW117=0,0,(AX117-AW117)/AW117*100)</f>
        <v>-0.99999999999999</v>
      </c>
      <c r="BI117" s="310">
        <f>IF(AX117=0,0,(AY117-AX117)/AX117*100)</f>
        <v>-0.99999999999984</v>
      </c>
      <c r="BJ117" s="310">
        <f>IF(AY117=0,0,(AZ117-AY117)/AY117*100)</f>
        <v>-0.99999999999971</v>
      </c>
      <c r="BK117" s="310">
        <f>IF(AZ117=0,0,(BA117-AZ117)/AZ117*100)</f>
        <v>-0.99999999999993</v>
      </c>
      <c r="BL117" s="310">
        <f>IF(BA117=0,0,(BB117-BA117)/BA117*100)</f>
        <v>-0.99999999999991</v>
      </c>
      <c r="BM117" s="310">
        <f>IF(BB117=0,0,(BC117-BB117)/BB117*100)</f>
        <v>-1.0000000000003</v>
      </c>
      <c r="BN117" s="73"/>
      <c r="BO117" s="73"/>
      <c r="BP117" s="73"/>
      <c r="BQ117" s="230"/>
      <c r="BR117" s="230"/>
      <c r="BS117" s="1235" t="s">
        <v>1717</v>
      </c>
      <c r="BT117" s="1235"/>
      <c r="BU117" s="1235"/>
      <c r="BV117" s="1236"/>
      <c r="BW117" s="1236"/>
      <c r="BX117" s="1271"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M11582::ТЭ.42.28873685.0002::Неопределено::Неопределено::Неопределено::Неопределено::Неопределено</v>
      </c>
    </row>
    <row s="1632" customFormat="1" customHeight="1" ht="14.25">
      <c r="A118" s="228"/>
      <c r="B118" s="927"/>
      <c r="C118" s="1301" t="s">
        <v>1718</v>
      </c>
      <c r="D118" s="1260" t="s">
        <v>1719</v>
      </c>
      <c r="E118" s="797">
        <v>15</v>
      </c>
      <c r="F118" s="922" cm="1" t="str">
        <f t="array" ref="F118:F118">OFFSET(G118,-1,-1)</f>
        <v>1</v>
      </c>
      <c r="G118" s="230"/>
      <c r="H118" s="230"/>
      <c r="I118" s="230"/>
      <c r="J118" s="230"/>
      <c r="K118" s="230"/>
      <c r="L118" s="193"/>
      <c r="M118" s="1284"/>
      <c r="N118" s="1284" cm="1" t="str">
        <f t="array" ref="N118:N118">OFFSET(M118,-1,1)</f>
        <v>ТЭ.42.28873685.0002</v>
      </c>
      <c r="O118" s="1285"/>
      <c r="P118" s="1285"/>
      <c r="Q118" s="1285"/>
      <c r="R118" s="1285"/>
      <c r="S118" s="0"/>
      <c r="T118" s="808" cm="1" t="str">
        <f t="array" ref="T118:T118">T115</f>
        <v>true</v>
      </c>
      <c r="U118" s="1582"/>
      <c r="V118" s="1582"/>
      <c r="W118" s="1582"/>
      <c r="X118" s="1582"/>
      <c r="Y118" s="1582"/>
      <c r="Z118" s="1582"/>
      <c r="AA118" s="230"/>
      <c r="AB118" s="317" t="s">
        <v>1720</v>
      </c>
      <c r="AC118" s="313" t="s">
        <v>1721</v>
      </c>
      <c r="AD118" s="318" t="s">
        <v>599</v>
      </c>
      <c r="AE118" s="1979">
        <f>IF($K82="передача тепловой энергии",_xlfn.SUMIFS('Баланс Тр'!AE$27:AE$43,'Баланс Тр'!$F$27:$F$43,$F118,'Баланс Тр'!$AB$27:$AB$43,"3"),_xlfn.SUMIFS('Баланс Пр'!AE$27:AE$165,'Баланс Пр'!$F$27:$F$165,$F118,'Баланс Пр'!$AB$27:$AB$165,"9.1"))</f>
        <v>6693.74</v>
      </c>
      <c r="AF118" s="616"/>
      <c r="AG118" s="616"/>
      <c r="AH118" s="616"/>
      <c r="AI118" s="1979">
        <f>IF($K82="передача тепловой энергии",_xlfn.SUMIFS('Баланс Тр'!AH$27:AH$43,'Баланс Тр'!$F$27:$F$43,$F118,'Баланс Тр'!$AB$27:$AB$43,"3"),_xlfn.SUMIFS('Баланс Пр'!AH$27:AH$165,'Баланс Пр'!$F$27:$F$165,$F118,'Баланс Пр'!$AB$27:$AB$165,"9.1"))</f>
        <v>5626</v>
      </c>
      <c r="AJ118" s="1979">
        <f>IF($K82="передача тепловой энергии",_xlfn.SUMIFS('Баланс Тр'!AI$27:AI$43,'Баланс Тр'!$F$27:$F$43,$F118,'Баланс Тр'!$AB$27:$AB$43,"3"),_xlfn.SUMIFS('Баланс Пр'!AI$27:AI$165,'Баланс Пр'!$F$27:$F$165,$F118,'Баланс Пр'!$AB$27:$AB$165,"9.1"))</f>
        <v>5626.1</v>
      </c>
      <c r="AK118" s="1979">
        <f>IF($K82="передача тепловой энергии",_xlfn.SUMIFS('Баланс Тр'!AJ$27:AJ$43,'Баланс Тр'!$F$27:$F$43,$F118,'Баланс Тр'!$AB$27:$AB$43,"3"),_xlfn.SUMIFS('Баланс Пр'!AJ$27:AJ$165,'Баланс Пр'!$F$27:$F$165,$F118,'Баланс Пр'!$AB$27:$AB$165,"9.1"))</f>
        <v>7003.54</v>
      </c>
      <c r="AL118" s="1979">
        <f>IF($K82="передача тепловой энергии",_xlfn.SUMIFS('Баланс Тр'!AK$27:AK$43,'Баланс Тр'!$F$27:$F$43,$F118,'Баланс Тр'!$AB$27:$AB$43,"3"),_xlfn.SUMIFS('Баланс Пр'!AK$27:AK$165,'Баланс Пр'!$F$27:$F$165,$F118,'Баланс Пр'!$AB$27:$AB$165,"9.1"))</f>
        <v>0</v>
      </c>
      <c r="AM118" s="1979">
        <f>IF($K82="передача тепловой энергии",_xlfn.SUMIFS('Баланс Тр'!AL$27:AL$43,'Баланс Тр'!$F$27:$F$43,$F118,'Баланс Тр'!$AB$27:$AB$43,"3"),_xlfn.SUMIFS('Баланс Пр'!AL$27:AL$165,'Баланс Пр'!$F$27:$F$165,$F118,'Баланс Пр'!$AB$27:$AB$165,"9.1"))</f>
        <v>0</v>
      </c>
      <c r="AN118" s="1979">
        <f>IF($K82="передача тепловой энергии",_xlfn.SUMIFS('Баланс Тр'!AM$27:AM$43,'Баланс Тр'!$F$27:$F$43,$F118,'Баланс Тр'!$AB$27:$AB$43,"3"),_xlfn.SUMIFS('Баланс Пр'!AM$27:AM$165,'Баланс Пр'!$F$27:$F$165,$F118,'Баланс Пр'!$AB$27:$AB$165,"9.1"))</f>
        <v>0</v>
      </c>
      <c r="AO118" s="1979">
        <f>IF($K82="передача тепловой энергии",_xlfn.SUMIFS('Баланс Тр'!AN$27:AN$43,'Баланс Тр'!$F$27:$F$43,$F118,'Баланс Тр'!$AB$27:$AB$43,"3"),_xlfn.SUMIFS('Баланс Пр'!AN$27:AN$165,'Баланс Пр'!$F$27:$F$165,$F118,'Баланс Пр'!$AB$27:$AB$165,"9.1"))</f>
        <v>0</v>
      </c>
      <c r="AP118" s="1979">
        <f>IF($K82="передача тепловой энергии",_xlfn.SUMIFS('Баланс Тр'!AO$27:AO$43,'Баланс Тр'!$F$27:$F$43,$F118,'Баланс Тр'!$AB$27:$AB$43,"3"),_xlfn.SUMIFS('Баланс Пр'!AO$27:AO$165,'Баланс Пр'!$F$27:$F$165,$F118,'Баланс Пр'!$AB$27:$AB$165,"9.1"))</f>
        <v>0</v>
      </c>
      <c r="AQ118" s="1979">
        <f>IF($K82="передача тепловой энергии",_xlfn.SUMIFS('Баланс Тр'!AP$27:AP$43,'Баланс Тр'!$F$27:$F$43,$F118,'Баланс Тр'!$AB$27:$AB$43,"3"),_xlfn.SUMIFS('Баланс Пр'!AP$27:AP$165,'Баланс Пр'!$F$27:$F$165,$F118,'Баланс Пр'!$AB$27:$AB$165,"9.1"))</f>
        <v>0</v>
      </c>
      <c r="AR118" s="1979">
        <f>IF($K82="передача тепловой энергии",_xlfn.SUMIFS('Баланс Тр'!AQ$27:AQ$43,'Баланс Тр'!$F$27:$F$43,$F118,'Баланс Тр'!$AB$27:$AB$43,"3"),_xlfn.SUMIFS('Баланс Пр'!AQ$27:AQ$165,'Баланс Пр'!$F$27:$F$165,$F118,'Баланс Пр'!$AB$27:$AB$165,"9.1"))</f>
        <v>0</v>
      </c>
      <c r="AS118" s="1979">
        <f>IF($K82="передача тепловой энергии",_xlfn.SUMIFS('Баланс Тр'!AR$27:AR$43,'Баланс Тр'!$F$27:$F$43,$F118,'Баланс Тр'!$AB$27:$AB$43,"3"),_xlfn.SUMIFS('Баланс Пр'!AR$27:AR$165,'Баланс Пр'!$F$27:$F$165,$F118,'Баланс Пр'!$AB$27:$AB$165,"9.1"))</f>
        <v>0</v>
      </c>
      <c r="AT118" s="1979">
        <f>IF($K82="передача тепловой энергии",_xlfn.SUMIFS('Баланс Тр'!AS$27:AS$43,'Баланс Тр'!$F$27:$F$43,$F118,'Баланс Тр'!$AB$27:$AB$43,"3"),_xlfn.SUMIFS('Баланс Пр'!AS$27:AS$165,'Баланс Пр'!$F$27:$F$165,$F118,'Баланс Пр'!$AB$27:$AB$165,"9.1"))</f>
        <v>5626</v>
      </c>
      <c r="AU118" s="1979">
        <f>IF($K82="передача тепловой энергии",_xlfn.SUMIFS('Баланс Тр'!AT$27:AT$43,'Баланс Тр'!$F$27:$F$43,$F118,'Баланс Тр'!$AB$27:$AB$43,"3"),_xlfn.SUMIFS('Баланс Пр'!AT$27:AT$165,'Баланс Пр'!$F$27:$F$165,$F118,'Баланс Пр'!$AB$27:$AB$165,"9.1"))</f>
        <v>0</v>
      </c>
      <c r="AV118" s="1979">
        <f>IF($K82="передача тепловой энергии",_xlfn.SUMIFS('Баланс Тр'!AU$27:AU$43,'Баланс Тр'!$F$27:$F$43,$F118,'Баланс Тр'!$AB$27:$AB$43,"3"),_xlfn.SUMIFS('Баланс Пр'!AU$27:AU$165,'Баланс Пр'!$F$27:$F$165,$F118,'Баланс Пр'!$AB$27:$AB$165,"9.1"))</f>
        <v>0</v>
      </c>
      <c r="AW118" s="1979">
        <f>IF($K82="передача тепловой энергии",_xlfn.SUMIFS('Баланс Тр'!AV$27:AV$43,'Баланс Тр'!$F$27:$F$43,$F118,'Баланс Тр'!$AB$27:$AB$43,"3"),_xlfn.SUMIFS('Баланс Пр'!AV$27:AV$165,'Баланс Пр'!$F$27:$F$165,$F118,'Баланс Пр'!$AB$27:$AB$165,"9.1"))</f>
        <v>0</v>
      </c>
      <c r="AX118" s="1979">
        <f>IF($K82="передача тепловой энергии",_xlfn.SUMIFS('Баланс Тр'!AW$27:AW$43,'Баланс Тр'!$F$27:$F$43,$F118,'Баланс Тр'!$AB$27:$AB$43,"3"),_xlfn.SUMIFS('Баланс Пр'!AW$27:AW$165,'Баланс Пр'!$F$27:$F$165,$F118,'Баланс Пр'!$AB$27:$AB$165,"9.1"))</f>
        <v>0</v>
      </c>
      <c r="AY118" s="1979">
        <f>IF($K82="передача тепловой энергии",_xlfn.SUMIFS('Баланс Тр'!AX$27:AX$43,'Баланс Тр'!$F$27:$F$43,$F118,'Баланс Тр'!$AB$27:$AB$43,"3"),_xlfn.SUMIFS('Баланс Пр'!AX$27:AX$165,'Баланс Пр'!$F$27:$F$165,$F118,'Баланс Пр'!$AB$27:$AB$165,"9.1"))</f>
        <v>0</v>
      </c>
      <c r="AZ118" s="1979">
        <f>IF($K82="передача тепловой энергии",_xlfn.SUMIFS('Баланс Тр'!AY$27:AY$43,'Баланс Тр'!$F$27:$F$43,$F118,'Баланс Тр'!$AB$27:$AB$43,"3"),_xlfn.SUMIFS('Баланс Пр'!AY$27:AY$165,'Баланс Пр'!$F$27:$F$165,$F118,'Баланс Пр'!$AB$27:$AB$165,"9.1"))</f>
        <v>0</v>
      </c>
      <c r="BA118" s="1979">
        <f>IF($K82="передача тепловой энергии",_xlfn.SUMIFS('Баланс Тр'!AZ$27:AZ$43,'Баланс Тр'!$F$27:$F$43,$F118,'Баланс Тр'!$AB$27:$AB$43,"3"),_xlfn.SUMIFS('Баланс Пр'!AZ$27:AZ$165,'Баланс Пр'!$F$27:$F$165,$F118,'Баланс Пр'!$AB$27:$AB$165,"9.1"))</f>
        <v>0</v>
      </c>
      <c r="BB118" s="1979">
        <f>IF($K82="передача тепловой энергии",_xlfn.SUMIFS('Баланс Тр'!BA$27:BA$43,'Баланс Тр'!$F$27:$F$43,$F118,'Баланс Тр'!$AB$27:$AB$43,"3"),_xlfn.SUMIFS('Баланс Пр'!BA$27:BA$165,'Баланс Пр'!$F$27:$F$165,$F118,'Баланс Пр'!$AB$27:$AB$165,"9.1"))</f>
        <v>0</v>
      </c>
      <c r="BC118" s="1979">
        <f>IF($K82="передача тепловой энергии",_xlfn.SUMIFS('Баланс Тр'!BB$27:BB$43,'Баланс Тр'!$F$27:$F$43,$F118,'Баланс Тр'!$AB$27:$AB$43,"3"),_xlfn.SUMIFS('Баланс Пр'!BB$27:BB$165,'Баланс Пр'!$F$27:$F$165,$F118,'Баланс Пр'!$AB$27:$AB$165,"9.1"))</f>
        <v>0</v>
      </c>
      <c r="BD118" s="666"/>
      <c r="BE118" s="666"/>
      <c r="BF118" s="666"/>
      <c r="BG118" s="666"/>
      <c r="BH118" s="666"/>
      <c r="BI118" s="666"/>
      <c r="BJ118" s="666"/>
      <c r="BK118" s="666"/>
      <c r="BL118" s="666"/>
      <c r="BM118" s="666"/>
      <c r="BN118" s="1719"/>
      <c r="BO118" s="1719"/>
      <c r="BP118" s="1719"/>
      <c r="BQ118" s="230"/>
      <c r="BR118" s="230"/>
      <c r="BS118" s="1235" t="s">
        <v>1722</v>
      </c>
      <c r="BT118" s="1235"/>
      <c r="BU118" s="1235"/>
      <c r="BV118" s="1236"/>
      <c r="BW118" s="1236"/>
      <c r="BX118" s="1271"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M10502::ТЭ.42.28873685.0002::Неопределено::Неопределено::Неопределено::Неопределено::Неопределено</v>
      </c>
    </row>
    <row s="1632" customFormat="1" customHeight="1" ht="14.25">
      <c r="A119" s="228"/>
      <c r="B119" s="927"/>
      <c r="C119" s="1301" t="s">
        <v>1723</v>
      </c>
      <c r="D119" s="1260" t="s">
        <v>1724</v>
      </c>
      <c r="E119" s="797">
        <v>15</v>
      </c>
      <c r="F119" s="922" cm="1" t="str">
        <f t="array" ref="F119:F119">OFFSET(G119,-1,-1)</f>
        <v>1</v>
      </c>
      <c r="G119" s="193" t="s">
        <v>1725</v>
      </c>
      <c r="H119" s="230"/>
      <c r="I119" s="230"/>
      <c r="J119" s="230"/>
      <c r="K119" s="230"/>
      <c r="L119" s="193"/>
      <c r="M119" s="1284"/>
      <c r="N119" s="1284" cm="1" t="str">
        <f t="array" ref="N119:N119">OFFSET(M119,-1,1)</f>
        <v>ТЭ.42.28873685.0002</v>
      </c>
      <c r="O119" s="1285" t="s">
        <v>1726</v>
      </c>
      <c r="P119" s="1285"/>
      <c r="Q119" s="1285"/>
      <c r="R119" s="1285"/>
      <c r="S119" s="0"/>
      <c r="T119" s="808" cm="1" t="str">
        <f t="array" ref="T119:T119">T118</f>
        <v>true</v>
      </c>
      <c r="U119" s="1582"/>
      <c r="V119" s="1582"/>
      <c r="W119" s="1582"/>
      <c r="X119" s="1582"/>
      <c r="Y119" s="1582"/>
      <c r="Z119" s="1582"/>
      <c r="AA119" s="230"/>
      <c r="AB119" s="663" t="str">
        <f>AB118&amp;".1"</f>
        <v>15.1</v>
      </c>
      <c r="AC119" s="289" t="s">
        <v>1727</v>
      </c>
      <c r="AD119" s="312" t="s">
        <v>599</v>
      </c>
      <c r="AE119" s="1956">
        <v>3715.03</v>
      </c>
      <c r="AF119" s="616"/>
      <c r="AG119" s="616"/>
      <c r="AH119" s="616"/>
      <c r="AI119" s="1956">
        <v>3122.43</v>
      </c>
      <c r="AJ119" s="1956">
        <v>3126.93</v>
      </c>
      <c r="AK119" s="1956"/>
      <c r="AL119" s="1956"/>
      <c r="AM119" s="1956"/>
      <c r="AN119" s="1956"/>
      <c r="AO119" s="1956"/>
      <c r="AP119" s="1956"/>
      <c r="AQ119" s="1956"/>
      <c r="AR119" s="1956"/>
      <c r="AS119" s="1956"/>
      <c r="AT119" s="1956">
        <v>3126.93</v>
      </c>
      <c r="AU119" s="1956"/>
      <c r="AV119" s="1956"/>
      <c r="AW119" s="1956"/>
      <c r="AX119" s="1956"/>
      <c r="AY119" s="1956"/>
      <c r="AZ119" s="1956"/>
      <c r="BA119" s="1956"/>
      <c r="BB119" s="1956"/>
      <c r="BC119" s="1956"/>
      <c r="BD119" s="377"/>
      <c r="BE119" s="377"/>
      <c r="BF119" s="377"/>
      <c r="BG119" s="377"/>
      <c r="BH119" s="377"/>
      <c r="BI119" s="377"/>
      <c r="BJ119" s="377"/>
      <c r="BK119" s="377"/>
      <c r="BL119" s="377"/>
      <c r="BM119" s="377"/>
      <c r="BN119" s="1719"/>
      <c r="BO119" s="1719"/>
      <c r="BP119" s="1719"/>
      <c r="BQ119" s="230"/>
      <c r="BR119" s="230"/>
      <c r="BS119" s="1235" t="s">
        <v>1728</v>
      </c>
      <c r="BT119" s="1235"/>
      <c r="BU119" s="1235"/>
      <c r="BV119" s="1236"/>
      <c r="BW119" s="1236"/>
      <c r="BX119" s="1271"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M10670::ТЭ.42.28873685.0002::Неопределено::8.0.3.::Неопределено::Неопределено::Неопределено</v>
      </c>
    </row>
    <row s="1632" customFormat="1" customHeight="1" ht="14.25">
      <c r="A120" s="228"/>
      <c r="B120" s="927"/>
      <c r="C120" s="1301" t="s">
        <v>1729</v>
      </c>
      <c r="D120" s="1260" t="s">
        <v>1730</v>
      </c>
      <c r="E120" s="797">
        <v>15</v>
      </c>
      <c r="F120" s="922" cm="1" t="str">
        <f t="array" ref="F120:F120">OFFSET(G120,-1,-1)</f>
        <v>1</v>
      </c>
      <c r="G120" s="193" t="s">
        <v>1731</v>
      </c>
      <c r="H120" s="230"/>
      <c r="I120" s="230"/>
      <c r="J120" s="230"/>
      <c r="K120" s="230"/>
      <c r="L120" s="193"/>
      <c r="M120" s="1284"/>
      <c r="N120" s="1284" cm="1" t="str">
        <f t="array" ref="N120:N120">OFFSET(M120,-1,1)</f>
        <v>ТЭ.42.28873685.0002</v>
      </c>
      <c r="O120" s="1285" t="s">
        <v>1726</v>
      </c>
      <c r="P120" s="1285"/>
      <c r="Q120" s="1285"/>
      <c r="R120" s="1285"/>
      <c r="S120" s="0"/>
      <c r="T120" s="808" cm="1" t="str">
        <f t="array" ref="T120:T120">T119</f>
        <v>true</v>
      </c>
      <c r="U120" s="1582"/>
      <c r="V120" s="1582"/>
      <c r="W120" s="1582"/>
      <c r="X120" s="1582"/>
      <c r="Y120" s="1582"/>
      <c r="Z120" s="1582"/>
      <c r="AA120" s="230"/>
      <c r="AB120" s="663" t="str">
        <f>AB118&amp;".2"</f>
        <v>15.2</v>
      </c>
      <c r="AC120" s="289" t="s">
        <v>1732</v>
      </c>
      <c r="AD120" s="312" t="s">
        <v>900</v>
      </c>
      <c r="AE120" s="1956">
        <v>4090.88</v>
      </c>
      <c r="AF120" s="616"/>
      <c r="AG120" s="616"/>
      <c r="AH120" s="616"/>
      <c r="AI120" s="1956">
        <f>MIN(AE122,AI124)</f>
        <v>4483.6</v>
      </c>
      <c r="AJ120" s="1956">
        <f>MIN(AI122,AJ124)</f>
        <v>5021.63</v>
      </c>
      <c r="AK120" s="1956">
        <f>MIN(AJ122,AK124)</f>
        <v>4077.31783321006</v>
      </c>
      <c r="AL120" s="1956">
        <f>MIN(AK122,AL124)</f>
        <v>0</v>
      </c>
      <c r="AM120" s="1956">
        <f>MIN(AL122,AM124)</f>
        <v>0</v>
      </c>
      <c r="AN120" s="1956">
        <f>MIN(AM122,AN124)</f>
        <v>0</v>
      </c>
      <c r="AO120" s="1956">
        <f>MIN(AN122,AO124)</f>
        <v>0</v>
      </c>
      <c r="AP120" s="1956">
        <f>MIN(AO122,AP124)</f>
        <v>0</v>
      </c>
      <c r="AQ120" s="1956">
        <f>MIN(AP122,AQ124)</f>
        <v>0</v>
      </c>
      <c r="AR120" s="1956">
        <f>MIN(AQ122,AR124)</f>
        <v>0</v>
      </c>
      <c r="AS120" s="1956">
        <f>MIN(AR122,AS124)</f>
        <v>0</v>
      </c>
      <c r="AT120" s="1956">
        <f>MIN(AI122,AT124)</f>
        <v>5021.63</v>
      </c>
      <c r="AU120" s="1956">
        <f>MIN(AT122,AU124)</f>
        <v>0</v>
      </c>
      <c r="AV120" s="1956">
        <f>MIN(AU122,AV124)</f>
        <v>0</v>
      </c>
      <c r="AW120" s="1956">
        <f>MIN(AV122,AW124)</f>
        <v>0</v>
      </c>
      <c r="AX120" s="1956">
        <f>MIN(AW122,AX124)</f>
        <v>0</v>
      </c>
      <c r="AY120" s="1956">
        <f>MIN(AX122,AY124)</f>
        <v>0</v>
      </c>
      <c r="AZ120" s="1956">
        <f>MIN(AY122,AZ124)</f>
        <v>0</v>
      </c>
      <c r="BA120" s="1956">
        <f>MIN(AZ122,BA124)</f>
        <v>0</v>
      </c>
      <c r="BB120" s="1956">
        <f>MIN(BA122,BB124)</f>
        <v>0</v>
      </c>
      <c r="BC120" s="1956">
        <f>MIN(BB122,BC124)</f>
        <v>0</v>
      </c>
      <c r="BD120" s="377"/>
      <c r="BE120" s="377"/>
      <c r="BF120" s="377"/>
      <c r="BG120" s="377"/>
      <c r="BH120" s="377"/>
      <c r="BI120" s="377"/>
      <c r="BJ120" s="377"/>
      <c r="BK120" s="377"/>
      <c r="BL120" s="377"/>
      <c r="BM120" s="377"/>
      <c r="BN120" s="1719"/>
      <c r="BO120" s="1719"/>
      <c r="BP120" s="1719"/>
      <c r="BQ120" s="230"/>
      <c r="BR120" s="230"/>
      <c r="BS120" s="1235" t="s">
        <v>1733</v>
      </c>
      <c r="BT120" s="1235"/>
      <c r="BU120" s="1235"/>
      <c r="BV120" s="1236"/>
      <c r="BW120" s="1236"/>
      <c r="BX120" s="1271"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M10546::ТЭ.42.28873685.0002::Неопределено::8.0.3.::Неопределено::Неопределено::Неопределено</v>
      </c>
    </row>
    <row s="1632" customFormat="1" customHeight="1" ht="14.25">
      <c r="A121" s="228"/>
      <c r="B121" s="927"/>
      <c r="C121" s="1301" t="s">
        <v>1723</v>
      </c>
      <c r="D121" s="1260" t="s">
        <v>1724</v>
      </c>
      <c r="E121" s="797">
        <v>15</v>
      </c>
      <c r="F121" s="922" cm="1" t="str">
        <f t="array" ref="F121:F121">OFFSET(G121,-1,-1)</f>
        <v>1</v>
      </c>
      <c r="G121" s="193" t="s">
        <v>1734</v>
      </c>
      <c r="H121" s="230"/>
      <c r="I121" s="230"/>
      <c r="J121" s="230"/>
      <c r="K121" s="230"/>
      <c r="L121" s="193"/>
      <c r="M121" s="1284"/>
      <c r="N121" s="1284" cm="1" t="str">
        <f t="array" ref="N121:N121">OFFSET(M121,-1,1)</f>
        <v>ТЭ.42.28873685.0002</v>
      </c>
      <c r="O121" s="1285" t="s">
        <v>1735</v>
      </c>
      <c r="P121" s="1285"/>
      <c r="Q121" s="1285"/>
      <c r="R121" s="1285"/>
      <c r="S121" s="0"/>
      <c r="T121" s="808" cm="1" t="str">
        <f t="array" ref="T121:T121">T120</f>
        <v>true</v>
      </c>
      <c r="U121" s="1582"/>
      <c r="V121" s="1582"/>
      <c r="W121" s="1582"/>
      <c r="X121" s="1582"/>
      <c r="Y121" s="1582"/>
      <c r="Z121" s="1582"/>
      <c r="AA121" s="230"/>
      <c r="AB121" s="663" t="str">
        <f>AB118&amp;".3"</f>
        <v>15.3</v>
      </c>
      <c r="AC121" s="289" t="s">
        <v>1736</v>
      </c>
      <c r="AD121" s="312" t="s">
        <v>599</v>
      </c>
      <c r="AE121" s="615">
        <f>AE118-AE119</f>
        <v>2978.71</v>
      </c>
      <c r="AF121" s="616"/>
      <c r="AG121" s="616"/>
      <c r="AH121" s="616"/>
      <c r="AI121" s="615">
        <f>AI118-AI119</f>
        <v>2503.57</v>
      </c>
      <c r="AJ121" s="615">
        <f>AJ118-AJ119</f>
        <v>2499.17</v>
      </c>
      <c r="AK121" s="615">
        <f>AK118-AK119</f>
        <v>7003.54</v>
      </c>
      <c r="AL121" s="615">
        <f>AL118-AL119</f>
        <v>0</v>
      </c>
      <c r="AM121" s="615">
        <f>AM118-AM119</f>
        <v>0</v>
      </c>
      <c r="AN121" s="615">
        <f>AN118-AN119</f>
        <v>0</v>
      </c>
      <c r="AO121" s="615">
        <f>AO118-AO119</f>
        <v>0</v>
      </c>
      <c r="AP121" s="615">
        <f>AP118-AP119</f>
        <v>0</v>
      </c>
      <c r="AQ121" s="615">
        <f>AQ118-AQ119</f>
        <v>0</v>
      </c>
      <c r="AR121" s="615">
        <f>AR118-AR119</f>
        <v>0</v>
      </c>
      <c r="AS121" s="615">
        <f>AS118-AS119</f>
        <v>0</v>
      </c>
      <c r="AT121" s="615">
        <f>AT118-AT119</f>
        <v>2499.07</v>
      </c>
      <c r="AU121" s="615">
        <f>AU118-AU119</f>
        <v>0</v>
      </c>
      <c r="AV121" s="615">
        <f>AV118-AV119</f>
        <v>0</v>
      </c>
      <c r="AW121" s="615">
        <f>AW118-AW119</f>
        <v>0</v>
      </c>
      <c r="AX121" s="615">
        <f>AX118-AX119</f>
        <v>0</v>
      </c>
      <c r="AY121" s="615">
        <f>AY118-AY119</f>
        <v>0</v>
      </c>
      <c r="AZ121" s="615">
        <f>AZ118-AZ119</f>
        <v>0</v>
      </c>
      <c r="BA121" s="615">
        <f>BA118-BA119</f>
        <v>0</v>
      </c>
      <c r="BB121" s="615">
        <f>BB118-BB119</f>
        <v>0</v>
      </c>
      <c r="BC121" s="615">
        <f>BC118-BC119</f>
        <v>0</v>
      </c>
      <c r="BD121" s="377"/>
      <c r="BE121" s="377"/>
      <c r="BF121" s="377"/>
      <c r="BG121" s="377"/>
      <c r="BH121" s="377"/>
      <c r="BI121" s="377"/>
      <c r="BJ121" s="377"/>
      <c r="BK121" s="377"/>
      <c r="BL121" s="377"/>
      <c r="BM121" s="377"/>
      <c r="BN121" s="1719"/>
      <c r="BO121" s="1719"/>
      <c r="BP121" s="1719"/>
      <c r="BQ121" s="230"/>
      <c r="BR121" s="230"/>
      <c r="BS121" s="1235" t="s">
        <v>1737</v>
      </c>
      <c r="BT121" s="1235"/>
      <c r="BU121" s="1235"/>
      <c r="BV121" s="1236"/>
      <c r="BW121" s="1236"/>
      <c r="BX121" s="1271"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M10670::ТЭ.42.28873685.0002::Неопределено::8.0.5.::Неопределено::Неопределено::Неопределено</v>
      </c>
    </row>
    <row s="1632" customFormat="1" customHeight="1" ht="14.25">
      <c r="A122" s="228"/>
      <c r="B122" s="927"/>
      <c r="C122" s="1301" t="s">
        <v>1729</v>
      </c>
      <c r="D122" s="1260" t="s">
        <v>1730</v>
      </c>
      <c r="E122" s="797">
        <v>15</v>
      </c>
      <c r="F122" s="922" cm="1" t="str">
        <f t="array" ref="F122:F122">OFFSET(G122,-1,-1)</f>
        <v>1</v>
      </c>
      <c r="G122" s="193" t="s">
        <v>1738</v>
      </c>
      <c r="H122" s="230"/>
      <c r="I122" s="230"/>
      <c r="J122" s="230"/>
      <c r="K122" s="230"/>
      <c r="L122" s="193"/>
      <c r="M122" s="1284"/>
      <c r="N122" s="1284" cm="1" t="str">
        <f t="array" ref="N122:N122">OFFSET(M122,-1,1)</f>
        <v>ТЭ.42.28873685.0002</v>
      </c>
      <c r="O122" s="1285" t="s">
        <v>1735</v>
      </c>
      <c r="P122" s="1285"/>
      <c r="Q122" s="1285"/>
      <c r="R122" s="1285"/>
      <c r="S122" s="0"/>
      <c r="T122" s="808" cm="1" t="str">
        <f t="array" ref="T122:T122">T121</f>
        <v>true</v>
      </c>
      <c r="U122" s="1582"/>
      <c r="V122" s="1582"/>
      <c r="W122" s="1582"/>
      <c r="X122" s="1582"/>
      <c r="Y122" s="1582"/>
      <c r="Z122" s="1582"/>
      <c r="AA122" s="230"/>
      <c r="AB122" s="663" t="str">
        <f>AB118&amp;".4"</f>
        <v>15.4</v>
      </c>
      <c r="AC122" s="289" t="s">
        <v>1739</v>
      </c>
      <c r="AD122" s="312" t="s">
        <v>900</v>
      </c>
      <c r="AE122" s="1956">
        <v>4483.6</v>
      </c>
      <c r="AF122" s="616"/>
      <c r="AG122" s="616"/>
      <c r="AH122" s="616"/>
      <c r="AI122" s="1956">
        <v>5021.63</v>
      </c>
      <c r="AJ122" s="1956">
        <f>_xlfn.IFERROR((AJ115*1000-AJ119*AJ120)/AJ121,0)</f>
        <v>11902.8343126318</v>
      </c>
      <c r="AK122" s="1956">
        <f>_xlfn.IFERROR((AK115*1000-AK119*AK120)/AK121,0)</f>
        <v>4077.31783321006</v>
      </c>
      <c r="AL122" s="1956">
        <f>_xlfn.IFERROR((AL115*1000-AL119*AL120)/AL121,0)</f>
        <v>0</v>
      </c>
      <c r="AM122" s="1956">
        <f>_xlfn.IFERROR((AM115*1000-AM119*AM120)/AM121,0)</f>
        <v>0</v>
      </c>
      <c r="AN122" s="1956">
        <f>_xlfn.IFERROR((AN115*1000-AN119*AN120)/AN121,0)</f>
        <v>0</v>
      </c>
      <c r="AO122" s="1956">
        <f>_xlfn.IFERROR((AO115*1000-AO119*AO120)/AO121,0)</f>
        <v>0</v>
      </c>
      <c r="AP122" s="1956">
        <f>_xlfn.IFERROR((AP115*1000-AP119*AP120)/AP121,0)</f>
        <v>0</v>
      </c>
      <c r="AQ122" s="1956">
        <f>_xlfn.IFERROR((AQ115*1000-AQ119*AQ120)/AQ121,0)</f>
        <v>0</v>
      </c>
      <c r="AR122" s="1956">
        <f>_xlfn.IFERROR((AR115*1000-AR119*AR120)/AR121,0)</f>
        <v>0</v>
      </c>
      <c r="AS122" s="1956">
        <f>_xlfn.IFERROR((AS115*1000-AS119*AS120)/AS121,0)</f>
        <v>0</v>
      </c>
      <c r="AT122" s="1956">
        <f>_xlfn.IFERROR((AT115*1000-AT119*AT120)/AT121,0)</f>
        <v>5523.78727023901</v>
      </c>
      <c r="AU122" s="1956">
        <f>_xlfn.IFERROR((AU115*1000-AU119*AU120)/AU121,0)</f>
        <v>0</v>
      </c>
      <c r="AV122" s="1956">
        <f>_xlfn.IFERROR((AV115*1000-AV119*AV120)/AV121,0)</f>
        <v>0</v>
      </c>
      <c r="AW122" s="1956">
        <f>_xlfn.IFERROR((AW115*1000-AW119*AW120)/AW121,0)</f>
        <v>0</v>
      </c>
      <c r="AX122" s="1956">
        <f>_xlfn.IFERROR((AX115*1000-AX119*AX120)/AX121,0)</f>
        <v>0</v>
      </c>
      <c r="AY122" s="1956">
        <f>_xlfn.IFERROR((AY115*1000-AY119*AY120)/AY121,0)</f>
        <v>0</v>
      </c>
      <c r="AZ122" s="1956">
        <f>_xlfn.IFERROR((AZ115*1000-AZ119*AZ120)/AZ121,0)</f>
        <v>0</v>
      </c>
      <c r="BA122" s="1956">
        <f>_xlfn.IFERROR((BA115*1000-BA119*BA120)/BA121,0)</f>
        <v>0</v>
      </c>
      <c r="BB122" s="1956">
        <f>_xlfn.IFERROR((BB115*1000-BB119*BB120)/BB121,0)</f>
        <v>0</v>
      </c>
      <c r="BC122" s="1956">
        <f>_xlfn.IFERROR((BC115*1000-BC119*BC120)/BC121,0)</f>
        <v>0</v>
      </c>
      <c r="BD122" s="377"/>
      <c r="BE122" s="377"/>
      <c r="BF122" s="377"/>
      <c r="BG122" s="377"/>
      <c r="BH122" s="377"/>
      <c r="BI122" s="377"/>
      <c r="BJ122" s="377"/>
      <c r="BK122" s="377"/>
      <c r="BL122" s="377"/>
      <c r="BM122" s="377"/>
      <c r="BN122" s="1719"/>
      <c r="BO122" s="1719"/>
      <c r="BP122" s="1719"/>
      <c r="BQ122" s="230"/>
      <c r="BR122" s="230"/>
      <c r="BS122" s="1235" t="s">
        <v>1740</v>
      </c>
      <c r="BT122" s="1235"/>
      <c r="BU122" s="1235"/>
      <c r="BV122" s="1236"/>
      <c r="BW122" s="1236"/>
      <c r="BX122" s="1271"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M10546::ТЭ.42.28873685.0002::Неопределено::8.0.5.::Неопределено::Неопределено::Неопределено</v>
      </c>
    </row>
    <row s="1632" customFormat="1" customHeight="1" ht="14.25">
      <c r="A123" s="228"/>
      <c r="B123" s="927"/>
      <c r="C123" s="1301" t="s">
        <v>1741</v>
      </c>
      <c r="D123" s="1260" t="s">
        <v>1742</v>
      </c>
      <c r="E123" s="797">
        <v>15</v>
      </c>
      <c r="F123" s="922" cm="1" t="str">
        <f t="array" ref="F123:F123">OFFSET(G123,-1,-1)</f>
        <v>1</v>
      </c>
      <c r="G123" s="230"/>
      <c r="H123" s="230"/>
      <c r="I123" s="230"/>
      <c r="J123" s="230"/>
      <c r="K123" s="230"/>
      <c r="L123" s="193"/>
      <c r="M123" s="1284"/>
      <c r="N123" s="1284" cm="1" t="str">
        <f t="array" ref="N123:N123">OFFSET(M123,-1,1)</f>
        <v>ТЭ.42.28873685.0002</v>
      </c>
      <c r="O123" s="1285"/>
      <c r="P123" s="1285"/>
      <c r="Q123" s="1285"/>
      <c r="R123" s="1285"/>
      <c r="S123" s="0"/>
      <c r="T123" s="808" cm="1" t="str">
        <f t="array" ref="T123:T123">T122</f>
        <v>true</v>
      </c>
      <c r="U123" s="1582"/>
      <c r="V123" s="1582"/>
      <c r="W123" s="1582"/>
      <c r="X123" s="1582"/>
      <c r="Y123" s="1582"/>
      <c r="Z123" s="1582"/>
      <c r="AA123" s="230"/>
      <c r="AB123" s="663" t="str">
        <f>AB118&amp;".5"</f>
        <v>15.5</v>
      </c>
      <c r="AC123" s="315" t="s">
        <v>1743</v>
      </c>
      <c r="AD123" s="312" t="s">
        <v>498</v>
      </c>
      <c r="AE123" s="665">
        <f>_xlfn.IFERROR(AE122/AE120,0)</f>
        <v>1.0959989048811</v>
      </c>
      <c r="AF123" s="616"/>
      <c r="AG123" s="616"/>
      <c r="AH123" s="616"/>
      <c r="AI123" s="665">
        <f>_xlfn.IFERROR(AI122/AI120,0)</f>
        <v>1.11999955392988</v>
      </c>
      <c r="AJ123" s="665">
        <f>_xlfn.IFERROR(AJ122/AJ120,0)</f>
        <v>2.37031288896868</v>
      </c>
      <c r="AK123" s="665">
        <f>_xlfn.IFERROR(AK122/AK120,0)</f>
        <v>1</v>
      </c>
      <c r="AL123" s="665">
        <f>_xlfn.IFERROR(AL122/AL120,0)</f>
        <v>0</v>
      </c>
      <c r="AM123" s="665">
        <f>_xlfn.IFERROR(AM122/AM120,0)</f>
        <v>0</v>
      </c>
      <c r="AN123" s="665">
        <f>_xlfn.IFERROR(AN122/AN120,0)</f>
        <v>0</v>
      </c>
      <c r="AO123" s="665">
        <f>_xlfn.IFERROR(AO122/AO120,0)</f>
        <v>0</v>
      </c>
      <c r="AP123" s="665">
        <f>_xlfn.IFERROR(AP122/AP120,0)</f>
        <v>0</v>
      </c>
      <c r="AQ123" s="665">
        <f>_xlfn.IFERROR(AQ122/AQ120,0)</f>
        <v>0</v>
      </c>
      <c r="AR123" s="665">
        <f>_xlfn.IFERROR(AR122/AR120,0)</f>
        <v>0</v>
      </c>
      <c r="AS123" s="665">
        <f>_xlfn.IFERROR(AS122/AS120,0)</f>
        <v>0</v>
      </c>
      <c r="AT123" s="665">
        <f>_xlfn.IFERROR(AT122/AT120,0)</f>
        <v>1.09999885898384</v>
      </c>
      <c r="AU123" s="665">
        <f>_xlfn.IFERROR(AU122/AU120,0)</f>
        <v>0</v>
      </c>
      <c r="AV123" s="665">
        <f>_xlfn.IFERROR(AV122/AV120,0)</f>
        <v>0</v>
      </c>
      <c r="AW123" s="665">
        <f>_xlfn.IFERROR(AW122/AW120,0)</f>
        <v>0</v>
      </c>
      <c r="AX123" s="665">
        <f>_xlfn.IFERROR(AX122/AX120,0)</f>
        <v>0</v>
      </c>
      <c r="AY123" s="665">
        <f>_xlfn.IFERROR(AY122/AY120,0)</f>
        <v>0</v>
      </c>
      <c r="AZ123" s="665">
        <f>_xlfn.IFERROR(AZ122/AZ120,0)</f>
        <v>0</v>
      </c>
      <c r="BA123" s="665">
        <f>_xlfn.IFERROR(BA122/BA120,0)</f>
        <v>0</v>
      </c>
      <c r="BB123" s="665">
        <f>_xlfn.IFERROR(BB122/BB120,0)</f>
        <v>0</v>
      </c>
      <c r="BC123" s="665">
        <f>_xlfn.IFERROR(BC122/BC120,0)</f>
        <v>0</v>
      </c>
      <c r="BD123" s="377"/>
      <c r="BE123" s="377"/>
      <c r="BF123" s="377"/>
      <c r="BG123" s="377"/>
      <c r="BH123" s="377"/>
      <c r="BI123" s="377"/>
      <c r="BJ123" s="377"/>
      <c r="BK123" s="377"/>
      <c r="BL123" s="377"/>
      <c r="BM123" s="377"/>
      <c r="BN123" s="1719"/>
      <c r="BO123" s="1719"/>
      <c r="BP123" s="1719"/>
      <c r="BQ123" s="230"/>
      <c r="BR123" s="230"/>
      <c r="BS123" s="1235" t="s">
        <v>1744</v>
      </c>
      <c r="BT123" s="1235"/>
      <c r="BU123" s="1235"/>
      <c r="BV123" s="1236"/>
      <c r="BW123" s="1236"/>
      <c r="BX123" s="1271"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M11244::ТЭ.42.28873685.0002::Неопределено::Неопределено::Неопределено::Неопределено::Неопределено</v>
      </c>
    </row>
    <row s="1632" customFormat="1" customHeight="1" ht="14.25">
      <c r="A124" s="228"/>
      <c r="B124" s="927"/>
      <c r="C124" s="1301" t="s">
        <v>1745</v>
      </c>
      <c r="D124" s="1260" t="s">
        <v>1746</v>
      </c>
      <c r="E124" s="797">
        <v>15</v>
      </c>
      <c r="F124" s="922" cm="1" t="str">
        <f t="array" ref="F124:F124">OFFSET(G124,-1,-1)</f>
        <v>1</v>
      </c>
      <c r="G124" s="230"/>
      <c r="H124" s="230"/>
      <c r="I124" s="230"/>
      <c r="J124" s="230"/>
      <c r="K124" s="230"/>
      <c r="L124" s="193"/>
      <c r="M124" s="1284"/>
      <c r="N124" s="1284" cm="1" t="str">
        <f t="array" ref="N124:N124">OFFSET(M124,-1,1)</f>
        <v>ТЭ.42.28873685.0002</v>
      </c>
      <c r="O124" s="1285"/>
      <c r="P124" s="1285"/>
      <c r="Q124" s="1285"/>
      <c r="R124" s="1285"/>
      <c r="S124" s="0"/>
      <c r="T124" s="808" cm="1" t="str">
        <f t="array" ref="T124:T124">T123</f>
        <v>true</v>
      </c>
      <c r="U124" s="1582"/>
      <c r="V124" s="1582"/>
      <c r="W124" s="1582"/>
      <c r="X124" s="1582"/>
      <c r="Y124" s="1582"/>
      <c r="Z124" s="1582"/>
      <c r="AA124" s="230"/>
      <c r="AB124" s="663" t="str">
        <f>AB118&amp;".6"</f>
        <v>15.6</v>
      </c>
      <c r="AC124" s="315" t="s">
        <v>1747</v>
      </c>
      <c r="AD124" s="312" t="s">
        <v>900</v>
      </c>
      <c r="AE124" s="615">
        <f>_xlfn.IFERROR(AE115*1000/AE118,0)</f>
        <v>4717.3123470586</v>
      </c>
      <c r="AF124" s="616"/>
      <c r="AG124" s="616"/>
      <c r="AH124" s="616"/>
      <c r="AI124" s="615">
        <f>_xlfn.IFERROR(AI115*1000/AI118,0)</f>
        <v>5798.07140799858</v>
      </c>
      <c r="AJ124" s="615">
        <f>_xlfn.IFERROR(AJ115*1000/AJ118,0)</f>
        <v>8078.32991326141</v>
      </c>
      <c r="AK124" s="615">
        <f>_xlfn.IFERROR(AK115*1000/AK118,0)</f>
        <v>4077.31783321006</v>
      </c>
      <c r="AL124" s="615">
        <f>_xlfn.IFERROR(AL115*1000/AL118,0)</f>
        <v>0</v>
      </c>
      <c r="AM124" s="615">
        <f>_xlfn.IFERROR(AM115*1000/AM118,0)</f>
        <v>0</v>
      </c>
      <c r="AN124" s="615">
        <f>_xlfn.IFERROR(AN115*1000/AN118,0)</f>
        <v>0</v>
      </c>
      <c r="AO124" s="615">
        <f>_xlfn.IFERROR(AO115*1000/AO118,0)</f>
        <v>0</v>
      </c>
      <c r="AP124" s="615">
        <f>_xlfn.IFERROR(AP115*1000/AP118,0)</f>
        <v>0</v>
      </c>
      <c r="AQ124" s="615">
        <f>_xlfn.IFERROR(AQ115*1000/AQ118,0)</f>
        <v>0</v>
      </c>
      <c r="AR124" s="615">
        <f>_xlfn.IFERROR(AR115*1000/AR118,0)</f>
        <v>0</v>
      </c>
      <c r="AS124" s="615">
        <f>_xlfn.IFERROR(AS115*1000/AS118,0)</f>
        <v>0</v>
      </c>
      <c r="AT124" s="615">
        <f>_xlfn.IFERROR(AT115*1000/AT118,0)</f>
        <v>5244.6883308454</v>
      </c>
      <c r="AU124" s="615">
        <f>_xlfn.IFERROR(AU115*1000/AU118,0)</f>
        <v>0</v>
      </c>
      <c r="AV124" s="615">
        <f>_xlfn.IFERROR(AV115*1000/AV118,0)</f>
        <v>0</v>
      </c>
      <c r="AW124" s="615">
        <f>_xlfn.IFERROR(AW115*1000/AW118,0)</f>
        <v>0</v>
      </c>
      <c r="AX124" s="615">
        <f>_xlfn.IFERROR(AX115*1000/AX118,0)</f>
        <v>0</v>
      </c>
      <c r="AY124" s="615">
        <f>_xlfn.IFERROR(AY115*1000/AY118,0)</f>
        <v>0</v>
      </c>
      <c r="AZ124" s="615">
        <f>_xlfn.IFERROR(AZ115*1000/AZ118,0)</f>
        <v>0</v>
      </c>
      <c r="BA124" s="615">
        <f>_xlfn.IFERROR(BA115*1000/BA118,0)</f>
        <v>0</v>
      </c>
      <c r="BB124" s="615">
        <f>_xlfn.IFERROR(BB115*1000/BB118,0)</f>
        <v>0</v>
      </c>
      <c r="BC124" s="615">
        <f>_xlfn.IFERROR(BC115*1000/BC118,0)</f>
        <v>0</v>
      </c>
      <c r="BD124" s="377"/>
      <c r="BE124" s="377"/>
      <c r="BF124" s="377"/>
      <c r="BG124" s="377"/>
      <c r="BH124" s="377"/>
      <c r="BI124" s="377"/>
      <c r="BJ124" s="377"/>
      <c r="BK124" s="377"/>
      <c r="BL124" s="377"/>
      <c r="BM124" s="377"/>
      <c r="BN124" s="1719"/>
      <c r="BO124" s="1719"/>
      <c r="BP124" s="1719"/>
      <c r="BQ124" s="230"/>
      <c r="BR124" s="230"/>
      <c r="BS124" s="1235" t="s">
        <v>1748</v>
      </c>
      <c r="BT124" s="1235"/>
      <c r="BU124" s="1235"/>
      <c r="BV124" s="1236"/>
      <c r="BW124" s="1236"/>
      <c r="BX124" s="1271"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M10552::ТЭ.42.28873685.0002::Неопределено::Неопределено::Неопределено::Неопределено::Неопределено</v>
      </c>
    </row>
    <row s="1632" customFormat="1" customHeight="1" ht="14.25" hidden="1">
      <c r="A125" s="228"/>
      <c r="B125" s="927"/>
      <c r="C125" s="1301" t="s">
        <v>1749</v>
      </c>
      <c r="D125" s="1260" t="s">
        <v>1750</v>
      </c>
      <c r="E125" s="797">
        <v>15</v>
      </c>
      <c r="F125" s="922" cm="1" t="str">
        <f t="array" ref="F125:F125">OFFSET(G125,-1,-1)</f>
        <v>1</v>
      </c>
      <c r="G125" s="230"/>
      <c r="H125" s="230"/>
      <c r="I125" s="230"/>
      <c r="J125" s="230"/>
      <c r="K125" s="230"/>
      <c r="L125" s="193" t="s">
        <v>1712</v>
      </c>
      <c r="M125" s="1284"/>
      <c r="N125" s="1284" cm="1" t="str">
        <f t="array" ref="N125:N125">OFFSET(M125,-1,1)</f>
        <v>ТЭ.42.28873685.0002</v>
      </c>
      <c r="O125" s="1285"/>
      <c r="P125" s="1285"/>
      <c r="Q125" s="1285"/>
      <c r="R125" s="1285"/>
      <c r="S125" s="0"/>
      <c r="T125" s="808" cm="1" t="str">
        <f t="array" ref="T125:T125">T116</f>
        <v>false</v>
      </c>
      <c r="U125" s="1582"/>
      <c r="V125" s="1582"/>
      <c r="W125" s="1582"/>
      <c r="X125" s="1582"/>
      <c r="Y125" s="1582"/>
      <c r="Z125" s="1582"/>
      <c r="AA125" s="230"/>
      <c r="AB125" s="317" t="s">
        <v>1751</v>
      </c>
      <c r="AC125" s="889" t="s">
        <v>1752</v>
      </c>
      <c r="AD125" s="667" t="s">
        <v>695</v>
      </c>
      <c r="AE125" s="310">
        <f>_xlfn.SUMIFS('Баланс Пр'!AE$27:AE$165,'Баланс Пр'!$F$27:$F$165,$F125,'Баланс Пр'!$AB$27:$AB$165,"10")</f>
        <v>0</v>
      </c>
      <c r="AF125" s="616"/>
      <c r="AG125" s="616"/>
      <c r="AH125" s="616"/>
      <c r="AI125" s="310">
        <f>_xlfn.SUMIFS('Баланс Пр'!AH$27:AH$165,'Баланс Пр'!$F$27:$F$165,$F125,'Баланс Пр'!$AB$27:$AB$165,"10")</f>
        <v>0</v>
      </c>
      <c r="AJ125" s="310">
        <f>_xlfn.SUMIFS('Баланс Пр'!AI$27:AI$165,'Баланс Пр'!$F$27:$F$165,$F125,'Баланс Пр'!$AB$27:$AB$165,"10")</f>
        <v>0</v>
      </c>
      <c r="AK125" s="310">
        <f>_xlfn.SUMIFS('Баланс Пр'!AJ$27:AJ$165,'Баланс Пр'!$F$27:$F$165,$F125,'Баланс Пр'!$AB$27:$AB$165,"10")</f>
        <v>0</v>
      </c>
      <c r="AL125" s="310">
        <f>_xlfn.SUMIFS('Баланс Пр'!AK$27:AK$165,'Баланс Пр'!$F$27:$F$165,$F125,'Баланс Пр'!$AB$27:$AB$165,"10")</f>
        <v>0</v>
      </c>
      <c r="AM125" s="310">
        <f>_xlfn.SUMIFS('Баланс Пр'!AL$27:AL$165,'Баланс Пр'!$F$27:$F$165,$F125,'Баланс Пр'!$AB$27:$AB$165,"10")</f>
        <v>0</v>
      </c>
      <c r="AN125" s="310">
        <f>_xlfn.SUMIFS('Баланс Пр'!AM$27:AM$165,'Баланс Пр'!$F$27:$F$165,$F125,'Баланс Пр'!$AB$27:$AB$165,"10")</f>
        <v>0</v>
      </c>
      <c r="AO125" s="310">
        <f>_xlfn.SUMIFS('Баланс Пр'!AN$27:AN$165,'Баланс Пр'!$F$27:$F$165,$F125,'Баланс Пр'!$AB$27:$AB$165,"10")</f>
        <v>0</v>
      </c>
      <c r="AP125" s="310">
        <f>_xlfn.SUMIFS('Баланс Пр'!AO$27:AO$165,'Баланс Пр'!$F$27:$F$165,$F125,'Баланс Пр'!$AB$27:$AB$165,"10")</f>
        <v>0</v>
      </c>
      <c r="AQ125" s="310">
        <f>_xlfn.SUMIFS('Баланс Пр'!AP$27:AP$165,'Баланс Пр'!$F$27:$F$165,$F125,'Баланс Пр'!$AB$27:$AB$165,"10")</f>
        <v>0</v>
      </c>
      <c r="AR125" s="310">
        <f>_xlfn.SUMIFS('Баланс Пр'!AQ$27:AQ$165,'Баланс Пр'!$F$27:$F$165,$F125,'Баланс Пр'!$AB$27:$AB$165,"10")</f>
        <v>0</v>
      </c>
      <c r="AS125" s="310">
        <f>_xlfn.SUMIFS('Баланс Пр'!AR$27:AR$165,'Баланс Пр'!$F$27:$F$165,$F125,'Баланс Пр'!$AB$27:$AB$165,"10")</f>
        <v>0</v>
      </c>
      <c r="AT125" s="310">
        <f>_xlfn.SUMIFS('Баланс Пр'!AS$27:AS$165,'Баланс Пр'!$F$27:$F$165,$F125,'Баланс Пр'!$AB$27:$AB$165,"10")</f>
        <v>0</v>
      </c>
      <c r="AU125" s="310">
        <f>_xlfn.SUMIFS('Баланс Пр'!AT$27:AT$165,'Баланс Пр'!$F$27:$F$165,$F125,'Баланс Пр'!$AB$27:$AB$165,"10")</f>
        <v>0</v>
      </c>
      <c r="AV125" s="310">
        <f>_xlfn.SUMIFS('Баланс Пр'!AU$27:AU$165,'Баланс Пр'!$F$27:$F$165,$F125,'Баланс Пр'!$AB$27:$AB$165,"10")</f>
        <v>0</v>
      </c>
      <c r="AW125" s="310">
        <f>_xlfn.SUMIFS('Баланс Пр'!AV$27:AV$165,'Баланс Пр'!$F$27:$F$165,$F125,'Баланс Пр'!$AB$27:$AB$165,"10")</f>
        <v>0</v>
      </c>
      <c r="AX125" s="310">
        <f>_xlfn.SUMIFS('Баланс Пр'!AW$27:AW$165,'Баланс Пр'!$F$27:$F$165,$F125,'Баланс Пр'!$AB$27:$AB$165,"10")</f>
        <v>0</v>
      </c>
      <c r="AY125" s="310">
        <f>_xlfn.SUMIFS('Баланс Пр'!AX$27:AX$165,'Баланс Пр'!$F$27:$F$165,$F125,'Баланс Пр'!$AB$27:$AB$165,"10")</f>
        <v>0</v>
      </c>
      <c r="AZ125" s="310">
        <f>_xlfn.SUMIFS('Баланс Пр'!AY$27:AY$165,'Баланс Пр'!$F$27:$F$165,$F125,'Баланс Пр'!$AB$27:$AB$165,"10")</f>
        <v>0</v>
      </c>
      <c r="BA125" s="310">
        <f>_xlfn.SUMIFS('Баланс Пр'!AZ$27:AZ$165,'Баланс Пр'!$F$27:$F$165,$F125,'Баланс Пр'!$AB$27:$AB$165,"10")</f>
        <v>0</v>
      </c>
      <c r="BB125" s="310">
        <f>_xlfn.SUMIFS('Баланс Пр'!BA$27:BA$165,'Баланс Пр'!$F$27:$F$165,$F125,'Баланс Пр'!$AB$27:$AB$165,"10")</f>
        <v>0</v>
      </c>
      <c r="BC125" s="310">
        <f>_xlfn.SUMIFS('Баланс Пр'!BB$27:BB$165,'Баланс Пр'!$F$27:$F$165,$F125,'Баланс Пр'!$AB$27:$AB$165,"10")</f>
        <v>0</v>
      </c>
      <c r="BD125" s="377"/>
      <c r="BE125" s="377"/>
      <c r="BF125" s="377"/>
      <c r="BG125" s="377"/>
      <c r="BH125" s="377"/>
      <c r="BI125" s="377"/>
      <c r="BJ125" s="377"/>
      <c r="BK125" s="377"/>
      <c r="BL125" s="377"/>
      <c r="BM125" s="377"/>
      <c r="BN125" s="73"/>
      <c r="BO125" s="73"/>
      <c r="BP125" s="73"/>
      <c r="BQ125" s="230"/>
      <c r="BR125" s="230"/>
      <c r="BS125" s="1235" t="s">
        <v>696</v>
      </c>
      <c r="BT125" s="1235"/>
      <c r="BU125" s="1235"/>
      <c r="BV125" s="1236"/>
      <c r="BW125" s="1236"/>
      <c r="BX125" s="1271"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M10476::ТЭ.42.28873685.0002::Неопределено::Неопределено::Неопределено::Неопределено::Неопределено</v>
      </c>
    </row>
    <row s="1632" customFormat="1" customHeight="1" ht="14.25" hidden="1">
      <c r="A126" s="228"/>
      <c r="B126" s="927"/>
      <c r="C126" s="1301" t="s">
        <v>1749</v>
      </c>
      <c r="D126" s="1260" t="s">
        <v>1750</v>
      </c>
      <c r="E126" s="797">
        <v>15</v>
      </c>
      <c r="F126" s="922" cm="1" t="str">
        <f t="array" ref="F126:F126">OFFSET(G126,-1,-1)</f>
        <v>1</v>
      </c>
      <c r="G126" s="193" t="s">
        <v>1753</v>
      </c>
      <c r="H126" s="230"/>
      <c r="I126" s="230"/>
      <c r="J126" s="230"/>
      <c r="K126" s="230"/>
      <c r="L126" s="193" t="s">
        <v>1712</v>
      </c>
      <c r="M126" s="1284"/>
      <c r="N126" s="1284" cm="1" t="str">
        <f t="array" ref="N126:N126">OFFSET(M126,-1,1)</f>
        <v>ТЭ.42.28873685.0002</v>
      </c>
      <c r="O126" s="1285" t="s">
        <v>1726</v>
      </c>
      <c r="P126" s="1285"/>
      <c r="Q126" s="1285"/>
      <c r="R126" s="1285"/>
      <c r="S126" s="0"/>
      <c r="T126" s="808" cm="1" t="str">
        <f t="array" ref="T126:T126">T125</f>
        <v>false</v>
      </c>
      <c r="U126" s="1582"/>
      <c r="V126" s="1582"/>
      <c r="W126" s="1582"/>
      <c r="X126" s="1582"/>
      <c r="Y126" s="1582"/>
      <c r="Z126" s="1582"/>
      <c r="AA126" s="230"/>
      <c r="AB126" s="663" t="str">
        <f>AB125&amp;".1"</f>
        <v>16.1</v>
      </c>
      <c r="AC126" s="723" t="s">
        <v>1754</v>
      </c>
      <c r="AD126" s="623" t="s">
        <v>695</v>
      </c>
      <c r="AE126" s="124" cm="1" t="str">
        <f t="array" ref="AE126:AE126">AE125</f>
        <v>0</v>
      </c>
      <c r="AF126" s="616"/>
      <c r="AG126" s="616"/>
      <c r="AH126" s="616"/>
      <c r="AI126" s="124" cm="1" t="str">
        <f t="array" ref="AI126:AI126">AI125</f>
        <v>0</v>
      </c>
      <c r="AJ126" s="1956" cm="1" t="str">
        <f t="array" ref="AJ126:AJ126">AJ125</f>
        <v>0</v>
      </c>
      <c r="AK126" s="124" cm="1" t="str">
        <f t="array" ref="AK126:AK126">AK125</f>
        <v>0</v>
      </c>
      <c r="AL126" s="124" cm="1" t="str">
        <f t="array" ref="AL126:AL126">AL125</f>
        <v>0</v>
      </c>
      <c r="AM126" s="124" cm="1" t="str">
        <f t="array" ref="AM126:AM126">AM125</f>
        <v>0</v>
      </c>
      <c r="AN126" s="124" cm="1" t="str">
        <f t="array" ref="AN126:AN126">AN125</f>
        <v>0</v>
      </c>
      <c r="AO126" s="124" cm="1" t="str">
        <f t="array" ref="AO126:AO126">AO125</f>
        <v>0</v>
      </c>
      <c r="AP126" s="124" cm="1" t="str">
        <f t="array" ref="AP126:AP126">AP125</f>
        <v>0</v>
      </c>
      <c r="AQ126" s="124" cm="1" t="str">
        <f t="array" ref="AQ126:AQ126">AQ125</f>
        <v>0</v>
      </c>
      <c r="AR126" s="124" cm="1" t="str">
        <f t="array" ref="AR126:AR126">AR125</f>
        <v>0</v>
      </c>
      <c r="AS126" s="124" cm="1" t="str">
        <f t="array" ref="AS126:AS126">AS125</f>
        <v>0</v>
      </c>
      <c r="AT126" s="1956" cm="1" t="str">
        <f t="array" ref="AT126:AT126">AT125</f>
        <v>0</v>
      </c>
      <c r="AU126" s="124" cm="1" t="str">
        <f t="array" ref="AU126:AU126">AU125</f>
        <v>0</v>
      </c>
      <c r="AV126" s="124" cm="1" t="str">
        <f t="array" ref="AV126:AV126">AV125</f>
        <v>0</v>
      </c>
      <c r="AW126" s="124" cm="1" t="str">
        <f t="array" ref="AW126:AW126">AW125</f>
        <v>0</v>
      </c>
      <c r="AX126" s="124" cm="1" t="str">
        <f t="array" ref="AX126:AX126">AX125</f>
        <v>0</v>
      </c>
      <c r="AY126" s="124" cm="1" t="str">
        <f t="array" ref="AY126:AY126">AY125</f>
        <v>0</v>
      </c>
      <c r="AZ126" s="124" cm="1" t="str">
        <f t="array" ref="AZ126:AZ126">AZ125</f>
        <v>0</v>
      </c>
      <c r="BA126" s="124" cm="1" t="str">
        <f t="array" ref="BA126:BA126">BA125</f>
        <v>0</v>
      </c>
      <c r="BB126" s="124" cm="1" t="str">
        <f t="array" ref="BB126:BB126">BB125</f>
        <v>0</v>
      </c>
      <c r="BC126" s="124" cm="1" t="str">
        <f t="array" ref="BC126:BC126">BC125</f>
        <v>0</v>
      </c>
      <c r="BD126" s="377"/>
      <c r="BE126" s="377"/>
      <c r="BF126" s="377"/>
      <c r="BG126" s="377"/>
      <c r="BH126" s="377"/>
      <c r="BI126" s="377"/>
      <c r="BJ126" s="377"/>
      <c r="BK126" s="377"/>
      <c r="BL126" s="377"/>
      <c r="BM126" s="377"/>
      <c r="BN126" s="73"/>
      <c r="BO126" s="73"/>
      <c r="BP126" s="73"/>
      <c r="BQ126" s="230"/>
      <c r="BR126" s="230"/>
      <c r="BS126" s="1235" t="s">
        <v>1755</v>
      </c>
      <c r="BT126" s="1235"/>
      <c r="BU126" s="1235"/>
      <c r="BV126" s="1236"/>
      <c r="BW126" s="1236"/>
      <c r="BX126" s="1271"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M10476::ТЭ.42.28873685.0002::Неопределено::8.0.3.::Неопределено::Неопределено::Неопределено</v>
      </c>
    </row>
    <row s="1632" customFormat="1" customHeight="1" ht="14.25" hidden="1">
      <c r="A127" s="228"/>
      <c r="B127" s="927"/>
      <c r="C127" s="1301" t="s">
        <v>1749</v>
      </c>
      <c r="D127" s="1260" t="s">
        <v>1750</v>
      </c>
      <c r="E127" s="797">
        <v>15</v>
      </c>
      <c r="F127" s="922" cm="1" t="str">
        <f t="array" ref="F127:F127">OFFSET(G127,-1,-1)</f>
        <v>1</v>
      </c>
      <c r="G127" s="193" t="s">
        <v>1756</v>
      </c>
      <c r="H127" s="230"/>
      <c r="I127" s="230"/>
      <c r="J127" s="230"/>
      <c r="K127" s="230"/>
      <c r="L127" s="193" t="s">
        <v>1712</v>
      </c>
      <c r="M127" s="1284"/>
      <c r="N127" s="1284" cm="1" t="str">
        <f t="array" ref="N127:N127">OFFSET(M127,-1,1)</f>
        <v>ТЭ.42.28873685.0002</v>
      </c>
      <c r="O127" s="1285" t="s">
        <v>1735</v>
      </c>
      <c r="P127" s="1285"/>
      <c r="Q127" s="1285"/>
      <c r="R127" s="1285"/>
      <c r="S127" s="0"/>
      <c r="T127" s="808" cm="1" t="str">
        <f t="array" ref="T127:T127">T126</f>
        <v>false</v>
      </c>
      <c r="U127" s="1582"/>
      <c r="V127" s="1582"/>
      <c r="W127" s="1582"/>
      <c r="X127" s="1582"/>
      <c r="Y127" s="1582"/>
      <c r="Z127" s="1582"/>
      <c r="AA127" s="230"/>
      <c r="AB127" s="663" t="str">
        <f>AB125&amp;".2"</f>
        <v>16.2</v>
      </c>
      <c r="AC127" s="723" t="s">
        <v>1757</v>
      </c>
      <c r="AD127" s="623" t="s">
        <v>695</v>
      </c>
      <c r="AE127" s="124" cm="1" t="str">
        <f t="array" ref="AE127:AE127">AE125</f>
        <v>0</v>
      </c>
      <c r="AF127" s="616"/>
      <c r="AG127" s="616"/>
      <c r="AH127" s="616"/>
      <c r="AI127" s="124" cm="1" t="str">
        <f t="array" ref="AI127:AI127">AI125</f>
        <v>0</v>
      </c>
      <c r="AJ127" s="1956" cm="1" t="str">
        <f t="array" ref="AJ127:AJ127">AJ125</f>
        <v>0</v>
      </c>
      <c r="AK127" s="124" cm="1" t="str">
        <f t="array" ref="AK127:AK127">AK125</f>
        <v>0</v>
      </c>
      <c r="AL127" s="124" cm="1" t="str">
        <f t="array" ref="AL127:AL127">AL125</f>
        <v>0</v>
      </c>
      <c r="AM127" s="124" cm="1" t="str">
        <f t="array" ref="AM127:AM127">AM125</f>
        <v>0</v>
      </c>
      <c r="AN127" s="124" cm="1" t="str">
        <f t="array" ref="AN127:AN127">AN125</f>
        <v>0</v>
      </c>
      <c r="AO127" s="124" cm="1" t="str">
        <f t="array" ref="AO127:AO127">AO125</f>
        <v>0</v>
      </c>
      <c r="AP127" s="124" cm="1" t="str">
        <f t="array" ref="AP127:AP127">AP125</f>
        <v>0</v>
      </c>
      <c r="AQ127" s="124" cm="1" t="str">
        <f t="array" ref="AQ127:AQ127">AQ125</f>
        <v>0</v>
      </c>
      <c r="AR127" s="124" cm="1" t="str">
        <f t="array" ref="AR127:AR127">AR125</f>
        <v>0</v>
      </c>
      <c r="AS127" s="124" cm="1" t="str">
        <f t="array" ref="AS127:AS127">AS125</f>
        <v>0</v>
      </c>
      <c r="AT127" s="1956" cm="1" t="str">
        <f t="array" ref="AT127:AT127">AT125</f>
        <v>0</v>
      </c>
      <c r="AU127" s="124" cm="1" t="str">
        <f t="array" ref="AU127:AU127">AU125</f>
        <v>0</v>
      </c>
      <c r="AV127" s="124" cm="1" t="str">
        <f t="array" ref="AV127:AV127">AV125</f>
        <v>0</v>
      </c>
      <c r="AW127" s="124" cm="1" t="str">
        <f t="array" ref="AW127:AW127">AW125</f>
        <v>0</v>
      </c>
      <c r="AX127" s="124" cm="1" t="str">
        <f t="array" ref="AX127:AX127">AX125</f>
        <v>0</v>
      </c>
      <c r="AY127" s="124" cm="1" t="str">
        <f t="array" ref="AY127:AY127">AY125</f>
        <v>0</v>
      </c>
      <c r="AZ127" s="124" cm="1" t="str">
        <f t="array" ref="AZ127:AZ127">AZ125</f>
        <v>0</v>
      </c>
      <c r="BA127" s="124" cm="1" t="str">
        <f t="array" ref="BA127:BA127">BA125</f>
        <v>0</v>
      </c>
      <c r="BB127" s="124" cm="1" t="str">
        <f t="array" ref="BB127:BB127">BB125</f>
        <v>0</v>
      </c>
      <c r="BC127" s="124" cm="1" t="str">
        <f t="array" ref="BC127:BC127">BC125</f>
        <v>0</v>
      </c>
      <c r="BD127" s="377"/>
      <c r="BE127" s="377"/>
      <c r="BF127" s="377"/>
      <c r="BG127" s="377"/>
      <c r="BH127" s="377"/>
      <c r="BI127" s="377"/>
      <c r="BJ127" s="377"/>
      <c r="BK127" s="377"/>
      <c r="BL127" s="377"/>
      <c r="BM127" s="377"/>
      <c r="BN127" s="73"/>
      <c r="BO127" s="73"/>
      <c r="BP127" s="73"/>
      <c r="BQ127" s="230"/>
      <c r="BR127" s="230"/>
      <c r="BS127" s="1235" t="s">
        <v>1758</v>
      </c>
      <c r="BT127" s="1235"/>
      <c r="BU127" s="1235"/>
      <c r="BV127" s="1236"/>
      <c r="BW127" s="1236"/>
      <c r="BX127" s="1271"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M10476::ТЭ.42.28873685.0002::Неопределено::8.0.5.::Неопределено::Неопределено::Неопределено</v>
      </c>
    </row>
    <row s="1632" customFormat="1" customHeight="1" ht="14.25" hidden="1">
      <c r="A128" s="228"/>
      <c r="B128" s="927"/>
      <c r="C128" s="1301"/>
      <c r="D128" s="1260"/>
      <c r="E128" s="797">
        <v>15</v>
      </c>
      <c r="F128" s="922" cm="1" t="str">
        <f t="array" ref="F128:F128">OFFSET(G128,-1,-1)</f>
        <v>1</v>
      </c>
      <c r="G128" s="230"/>
      <c r="H128" s="230"/>
      <c r="I128" s="230"/>
      <c r="J128" s="230"/>
      <c r="K128" s="230"/>
      <c r="L128" s="193" t="s">
        <v>1712</v>
      </c>
      <c r="M128" s="1284"/>
      <c r="N128" s="1284" cm="1" t="str">
        <f t="array" ref="N128:N128">OFFSET(M128,-1,1)</f>
        <v>ТЭ.42.28873685.0002</v>
      </c>
      <c r="O128" s="1285"/>
      <c r="P128" s="1285"/>
      <c r="Q128" s="1285"/>
      <c r="R128" s="1285"/>
      <c r="S128" s="0"/>
      <c r="T128" s="808" cm="1" t="str">
        <f t="array" ref="T128:T128">T127</f>
        <v>false</v>
      </c>
      <c r="U128" s="1582"/>
      <c r="V128" s="1582"/>
      <c r="W128" s="1582"/>
      <c r="X128" s="1582"/>
      <c r="Y128" s="1582"/>
      <c r="Z128" s="1582"/>
      <c r="AA128" s="230"/>
      <c r="AB128" s="662" t="s">
        <v>1759</v>
      </c>
      <c r="AC128" s="621" t="s">
        <v>1760</v>
      </c>
      <c r="AD128" s="622"/>
      <c r="AE128" s="616"/>
      <c r="AF128" s="616"/>
      <c r="AG128" s="616"/>
      <c r="AH128" s="616"/>
      <c r="AI128" s="616"/>
      <c r="AJ128" s="616"/>
      <c r="AK128" s="616"/>
      <c r="AL128" s="616"/>
      <c r="AM128" s="616"/>
      <c r="AN128" s="616"/>
      <c r="AO128" s="616"/>
      <c r="AP128" s="616"/>
      <c r="AQ128" s="616"/>
      <c r="AR128" s="616"/>
      <c r="AS128" s="616"/>
      <c r="AT128" s="616"/>
      <c r="AU128" s="616"/>
      <c r="AV128" s="616"/>
      <c r="AW128" s="616"/>
      <c r="AX128" s="616"/>
      <c r="AY128" s="616"/>
      <c r="AZ128" s="616"/>
      <c r="BA128" s="616"/>
      <c r="BB128" s="616"/>
      <c r="BC128" s="616"/>
      <c r="BD128" s="377"/>
      <c r="BE128" s="377"/>
      <c r="BF128" s="377"/>
      <c r="BG128" s="377"/>
      <c r="BH128" s="377"/>
      <c r="BI128" s="377"/>
      <c r="BJ128" s="377"/>
      <c r="BK128" s="377"/>
      <c r="BL128" s="377"/>
      <c r="BM128" s="377"/>
      <c r="BN128" s="73"/>
      <c r="BO128" s="73"/>
      <c r="BP128" s="73"/>
      <c r="BQ128" s="230"/>
      <c r="BR128" s="230"/>
      <c r="BS128" s="1235" t="s">
        <v>1761</v>
      </c>
      <c r="BT128" s="1235"/>
      <c r="BU128" s="1235"/>
      <c r="BV128" s="1236"/>
      <c r="BW128" s="1236"/>
      <c r="BX128" s="1339"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M11407::ТЭ.42.28873685.0002::Неопределено::Неопределено::Неопределено::Неопределено::Неопределено</v>
      </c>
    </row>
    <row s="1632" customFormat="1" customHeight="1" ht="14.25" hidden="1">
      <c r="A129" s="228"/>
      <c r="B129" s="927"/>
      <c r="C129" s="1301" t="s">
        <v>1762</v>
      </c>
      <c r="D129" s="1260" t="s">
        <v>1763</v>
      </c>
      <c r="E129" s="797">
        <v>15</v>
      </c>
      <c r="F129" s="922" cm="1" t="str">
        <f t="array" ref="F129:F129">OFFSET(G129,-1,-1)</f>
        <v>1</v>
      </c>
      <c r="G129" s="193" t="s">
        <v>1764</v>
      </c>
      <c r="H129" s="230"/>
      <c r="I129" s="230"/>
      <c r="J129" s="230"/>
      <c r="K129" s="230"/>
      <c r="L129" s="193" t="s">
        <v>1712</v>
      </c>
      <c r="M129" s="1284"/>
      <c r="N129" s="1284" cm="1" t="str">
        <f t="array" ref="N129:N129">OFFSET(M129,-1,1)</f>
        <v>ТЭ.42.28873685.0002</v>
      </c>
      <c r="O129" s="1285" t="s">
        <v>1726</v>
      </c>
      <c r="P129" s="1285"/>
      <c r="Q129" s="1285"/>
      <c r="R129" s="1285"/>
      <c r="S129" s="0"/>
      <c r="T129" s="808" cm="1" t="str">
        <f t="array" ref="T129:T129">T128</f>
        <v>false</v>
      </c>
      <c r="U129" s="1582"/>
      <c r="V129" s="1582"/>
      <c r="W129" s="1582"/>
      <c r="X129" s="1582"/>
      <c r="Y129" s="1582"/>
      <c r="Z129" s="1582"/>
      <c r="AA129" s="230"/>
      <c r="AB129" s="663" t="str">
        <f>AB128&amp;".1"</f>
        <v>17.1</v>
      </c>
      <c r="AC129" s="1349" t="s">
        <v>1765</v>
      </c>
      <c r="AD129" s="520" t="s">
        <v>900</v>
      </c>
      <c r="AE129" s="124"/>
      <c r="AF129" s="616"/>
      <c r="AG129" s="616"/>
      <c r="AH129" s="616"/>
      <c r="AI129" s="124">
        <f>MIN(AE130,_xlfn.IFERROR(AI116*1000/AI118,0))</f>
        <v>913.078563810878</v>
      </c>
      <c r="AJ129" s="1956">
        <f>MIN(AI130,_xlfn.IFERROR(AJ116*1000/AJ118,0))</f>
        <v>913.078563810878</v>
      </c>
      <c r="AK129" s="124">
        <f>MIN(AJ130,_xlfn.IFERROR(AK116*1000/AK118,0))</f>
        <v>0</v>
      </c>
      <c r="AL129" s="124">
        <f>MIN(AK130,_xlfn.IFERROR(AL116*1000/AL118,0))</f>
        <v>0</v>
      </c>
      <c r="AM129" s="124">
        <f>MIN(AL130,_xlfn.IFERROR(AM116*1000/AM118,0))</f>
        <v>0</v>
      </c>
      <c r="AN129" s="124">
        <f>MIN(AM130,_xlfn.IFERROR(AN116*1000/AN118,0))</f>
        <v>0</v>
      </c>
      <c r="AO129" s="124">
        <f>MIN(AN130,_xlfn.IFERROR(AO116*1000/AO118,0))</f>
        <v>0</v>
      </c>
      <c r="AP129" s="124">
        <f>MIN(AO130,_xlfn.IFERROR(AP116*1000/AP118,0))</f>
        <v>0</v>
      </c>
      <c r="AQ129" s="124">
        <f>MIN(AP130,_xlfn.IFERROR(AQ116*1000/AQ118,0))</f>
        <v>0</v>
      </c>
      <c r="AR129" s="124">
        <f>MIN(AQ130,_xlfn.IFERROR(AR116*1000/AR118,0))</f>
        <v>0</v>
      </c>
      <c r="AS129" s="124">
        <f>MIN(AR130,_xlfn.IFERROR(AS116*1000/AS118,0))</f>
        <v>0</v>
      </c>
      <c r="AT129" s="1956">
        <f>MIN(AI130,_xlfn.IFERROR(AT116*1000/AT118,0))</f>
        <v>913.078563810878</v>
      </c>
      <c r="AU129" s="124">
        <f>MIN(AT130,_xlfn.IFERROR(AU116*1000/AU118,0))</f>
        <v>0</v>
      </c>
      <c r="AV129" s="124">
        <f>MIN(AU130,_xlfn.IFERROR(AV116*1000/AV118,0))</f>
        <v>0</v>
      </c>
      <c r="AW129" s="124">
        <f>MIN(AV130,_xlfn.IFERROR(AW116*1000/AW118,0))</f>
        <v>0</v>
      </c>
      <c r="AX129" s="124">
        <f>MIN(AW130,_xlfn.IFERROR(AX116*1000/AX118,0))</f>
        <v>0</v>
      </c>
      <c r="AY129" s="124">
        <f>MIN(AX130,_xlfn.IFERROR(AY116*1000/AY118,0))</f>
        <v>0</v>
      </c>
      <c r="AZ129" s="124">
        <f>MIN(AY130,_xlfn.IFERROR(AZ116*1000/AZ118,0))</f>
        <v>0</v>
      </c>
      <c r="BA129" s="124">
        <f>MIN(AZ130,_xlfn.IFERROR(BA116*1000/BA118,0))</f>
        <v>0</v>
      </c>
      <c r="BB129" s="124">
        <f>MIN(BA130,_xlfn.IFERROR(BB116*1000/BB118,0))</f>
        <v>0</v>
      </c>
      <c r="BC129" s="124">
        <f>MIN(BB130,_xlfn.IFERROR(BC116*1000/BC118,0))</f>
        <v>0</v>
      </c>
      <c r="BD129" s="377"/>
      <c r="BE129" s="377"/>
      <c r="BF129" s="377"/>
      <c r="BG129" s="377"/>
      <c r="BH129" s="377"/>
      <c r="BI129" s="377"/>
      <c r="BJ129" s="377"/>
      <c r="BK129" s="377"/>
      <c r="BL129" s="377"/>
      <c r="BM129" s="377"/>
      <c r="BN129" s="73"/>
      <c r="BO129" s="73"/>
      <c r="BP129" s="73"/>
      <c r="BQ129" s="230"/>
      <c r="BR129" s="230"/>
      <c r="BS129" s="1235" t="s">
        <v>1766</v>
      </c>
      <c r="BT129" s="1235"/>
      <c r="BU129" s="1235"/>
      <c r="BV129" s="1236"/>
      <c r="BW129" s="1236"/>
      <c r="BX129" s="1271"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M11407::ТЭ.42.28873685.0002::Неопределено::8.0.3.::Неопределено::Неопределено::Неопределено</v>
      </c>
    </row>
    <row s="1632" customFormat="1" customHeight="1" ht="14.25" hidden="1">
      <c r="A130" s="228"/>
      <c r="B130" s="927"/>
      <c r="C130" s="1301" t="s">
        <v>1762</v>
      </c>
      <c r="D130" s="1260" t="s">
        <v>1763</v>
      </c>
      <c r="E130" s="797">
        <v>15</v>
      </c>
      <c r="F130" s="922" cm="1" t="str">
        <f t="array" ref="F130:F130">OFFSET(G130,-1,-1)</f>
        <v>1</v>
      </c>
      <c r="G130" s="193" t="s">
        <v>1767</v>
      </c>
      <c r="H130" s="230"/>
      <c r="I130" s="230"/>
      <c r="J130" s="230"/>
      <c r="K130" s="230"/>
      <c r="L130" s="193" t="s">
        <v>1712</v>
      </c>
      <c r="M130" s="1284"/>
      <c r="N130" s="1284" cm="1" t="str">
        <f t="array" ref="N130:N130">OFFSET(M130,-1,1)</f>
        <v>ТЭ.42.28873685.0002</v>
      </c>
      <c r="O130" s="1285" t="s">
        <v>1735</v>
      </c>
      <c r="P130" s="1285"/>
      <c r="Q130" s="1285"/>
      <c r="R130" s="1285"/>
      <c r="S130" s="0"/>
      <c r="T130" s="808" cm="1" t="str">
        <f t="array" ref="T130:T130">T129</f>
        <v>false</v>
      </c>
      <c r="U130" s="1582"/>
      <c r="V130" s="1582"/>
      <c r="W130" s="1582"/>
      <c r="X130" s="1582"/>
      <c r="Y130" s="1582"/>
      <c r="Z130" s="1582"/>
      <c r="AA130" s="230"/>
      <c r="AB130" s="663" t="str">
        <f>AB128&amp;".2"</f>
        <v>17.2</v>
      </c>
      <c r="AC130" s="1349" t="s">
        <v>1768</v>
      </c>
      <c r="AD130" s="520" t="s">
        <v>900</v>
      </c>
      <c r="AE130" s="615">
        <f>_xlfn.IFERROR((AE116*1000-AE119*AE129)/AE121,0)</f>
        <v>1904.70371402386</v>
      </c>
      <c r="AF130" s="616"/>
      <c r="AG130" s="616"/>
      <c r="AH130" s="616"/>
      <c r="AI130" s="615">
        <f>_xlfn.IFERROR((AI116*1000-AI119*AI129)/AI121,0)</f>
        <v>913.078563810878</v>
      </c>
      <c r="AJ130" s="615">
        <f>_xlfn.IFERROR((AJ116*1000-AJ119*AJ129)/AJ121,0)</f>
        <v>1069.8347577247</v>
      </c>
      <c r="AK130" s="615">
        <f>_xlfn.IFERROR((AK116*1000-AK119*AK129)/AK121,0)</f>
        <v>0</v>
      </c>
      <c r="AL130" s="615">
        <f>_xlfn.IFERROR((AL116*1000-AL119*AL129)/AL121,0)</f>
        <v>0</v>
      </c>
      <c r="AM130" s="615">
        <f>_xlfn.IFERROR((AM116*1000-AM119*AM129)/AM121,0)</f>
        <v>0</v>
      </c>
      <c r="AN130" s="615">
        <f>_xlfn.IFERROR((AN116*1000-AN119*AN129)/AN121,0)</f>
        <v>0</v>
      </c>
      <c r="AO130" s="615">
        <f>_xlfn.IFERROR((AO116*1000-AO119*AO129)/AO121,0)</f>
        <v>0</v>
      </c>
      <c r="AP130" s="615">
        <f>_xlfn.IFERROR((AP116*1000-AP119*AP129)/AP121,0)</f>
        <v>0</v>
      </c>
      <c r="AQ130" s="615">
        <f>_xlfn.IFERROR((AQ116*1000-AQ119*AQ129)/AQ121,0)</f>
        <v>0</v>
      </c>
      <c r="AR130" s="615">
        <f>_xlfn.IFERROR((AR116*1000-AR119*AR129)/AR121,0)</f>
        <v>0</v>
      </c>
      <c r="AS130" s="615">
        <f>_xlfn.IFERROR((AS116*1000-AS119*AS129)/AS121,0)</f>
        <v>0</v>
      </c>
      <c r="AT130" s="615">
        <f>_xlfn.IFERROR((AT116*1000-AT119*AT129)/AT121,0)</f>
        <v>1012.56539248562</v>
      </c>
      <c r="AU130" s="615">
        <f>_xlfn.IFERROR((AU116*1000-AU119*AU129)/AU121,0)</f>
        <v>0</v>
      </c>
      <c r="AV130" s="615">
        <f>_xlfn.IFERROR((AV116*1000-AV119*AV129)/AV121,0)</f>
        <v>0</v>
      </c>
      <c r="AW130" s="615">
        <f>_xlfn.IFERROR((AW116*1000-AW119*AW129)/AW121,0)</f>
        <v>0</v>
      </c>
      <c r="AX130" s="615">
        <f>_xlfn.IFERROR((AX116*1000-AX119*AX129)/AX121,0)</f>
        <v>0</v>
      </c>
      <c r="AY130" s="615">
        <f>_xlfn.IFERROR((AY116*1000-AY119*AY129)/AY121,0)</f>
        <v>0</v>
      </c>
      <c r="AZ130" s="615">
        <f>_xlfn.IFERROR((AZ116*1000-AZ119*AZ129)/AZ121,0)</f>
        <v>0</v>
      </c>
      <c r="BA130" s="615">
        <f>_xlfn.IFERROR((BA116*1000-BA119*BA129)/BA121,0)</f>
        <v>0</v>
      </c>
      <c r="BB130" s="615">
        <f>_xlfn.IFERROR((BB116*1000-BB119*BB129)/BB121,0)</f>
        <v>0</v>
      </c>
      <c r="BC130" s="615">
        <f>_xlfn.IFERROR((BC116*1000-BC119*BC129)/BC121,0)</f>
        <v>0</v>
      </c>
      <c r="BD130" s="377"/>
      <c r="BE130" s="377"/>
      <c r="BF130" s="377"/>
      <c r="BG130" s="377"/>
      <c r="BH130" s="377"/>
      <c r="BI130" s="377"/>
      <c r="BJ130" s="377"/>
      <c r="BK130" s="377"/>
      <c r="BL130" s="377"/>
      <c r="BM130" s="377"/>
      <c r="BN130" s="73"/>
      <c r="BO130" s="73"/>
      <c r="BP130" s="73"/>
      <c r="BQ130" s="230"/>
      <c r="BR130" s="230"/>
      <c r="BS130" s="1235" t="s">
        <v>1769</v>
      </c>
      <c r="BT130" s="1235"/>
      <c r="BU130" s="1235"/>
      <c r="BV130" s="1236"/>
      <c r="BW130" s="1236"/>
      <c r="BX130" s="1271"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M11407::ТЭ.42.28873685.0002::Неопределено::8.0.5.::Неопределено::Неопределено::Неопределено</v>
      </c>
    </row>
    <row s="1632" customFormat="1" customHeight="1" ht="14.25" hidden="1">
      <c r="A131" s="228"/>
      <c r="B131" s="927"/>
      <c r="C131" s="1301" t="s">
        <v>1770</v>
      </c>
      <c r="D131" s="1260" t="s">
        <v>1771</v>
      </c>
      <c r="E131" s="797">
        <v>15</v>
      </c>
      <c r="F131" s="922" cm="1" t="str">
        <f t="array" ref="F131:F131">OFFSET(G131,-1,-1)</f>
        <v>1</v>
      </c>
      <c r="G131" s="230"/>
      <c r="H131" s="230"/>
      <c r="I131" s="230"/>
      <c r="J131" s="230"/>
      <c r="K131" s="230"/>
      <c r="L131" s="193" t="s">
        <v>1712</v>
      </c>
      <c r="M131" s="1284"/>
      <c r="N131" s="1284" cm="1" t="str">
        <f t="array" ref="N131:N131">OFFSET(M131,-1,1)</f>
        <v>ТЭ.42.28873685.0002</v>
      </c>
      <c r="O131" s="1285"/>
      <c r="P131" s="1285" t="s">
        <v>1772</v>
      </c>
      <c r="Q131" s="1285"/>
      <c r="R131" s="1285"/>
      <c r="S131" s="0"/>
      <c r="T131" s="808" cm="1" t="str">
        <f t="array" ref="T131:T131">T130</f>
        <v>false</v>
      </c>
      <c r="U131" s="1582"/>
      <c r="V131" s="1582"/>
      <c r="W131" s="1582"/>
      <c r="X131" s="1582"/>
      <c r="Y131" s="1582"/>
      <c r="Z131" s="1582"/>
      <c r="AA131" s="230"/>
      <c r="AB131" s="663" t="str">
        <f>AB128&amp;".3"</f>
        <v>17.3</v>
      </c>
      <c r="AC131" s="315" t="s">
        <v>1773</v>
      </c>
      <c r="AD131" s="520" t="s">
        <v>498</v>
      </c>
      <c r="AE131" s="665">
        <f>_xlfn.IFERROR(AE130/AE129,0)</f>
        <v>0</v>
      </c>
      <c r="AF131" s="616"/>
      <c r="AG131" s="616"/>
      <c r="AH131" s="616"/>
      <c r="AI131" s="665">
        <f>_xlfn.IFERROR(AI130/AI129,0)</f>
        <v>1</v>
      </c>
      <c r="AJ131" s="665">
        <f>_xlfn.IFERROR(AJ130/AJ129,0)</f>
        <v>1.17167875813399</v>
      </c>
      <c r="AK131" s="665">
        <f>_xlfn.IFERROR(AK130/AK129,0)</f>
        <v>0</v>
      </c>
      <c r="AL131" s="665">
        <f>_xlfn.IFERROR(AL130/AL129,0)</f>
        <v>0</v>
      </c>
      <c r="AM131" s="665">
        <f>_xlfn.IFERROR(AM130/AM129,0)</f>
        <v>0</v>
      </c>
      <c r="AN131" s="665">
        <f>_xlfn.IFERROR(AN130/AN129,0)</f>
        <v>0</v>
      </c>
      <c r="AO131" s="665">
        <f>_xlfn.IFERROR(AO130/AO129,0)</f>
        <v>0</v>
      </c>
      <c r="AP131" s="665">
        <f>_xlfn.IFERROR(AP130/AP129,0)</f>
        <v>0</v>
      </c>
      <c r="AQ131" s="665">
        <f>_xlfn.IFERROR(AQ130/AQ129,0)</f>
        <v>0</v>
      </c>
      <c r="AR131" s="665">
        <f>_xlfn.IFERROR(AR130/AR129,0)</f>
        <v>0</v>
      </c>
      <c r="AS131" s="665">
        <f>_xlfn.IFERROR(AS130/AS129,0)</f>
        <v>0</v>
      </c>
      <c r="AT131" s="665">
        <f>_xlfn.IFERROR(AT130/AT129,0)</f>
        <v>1.10895757782279</v>
      </c>
      <c r="AU131" s="665">
        <f>_xlfn.IFERROR(AU130/AU129,0)</f>
        <v>0</v>
      </c>
      <c r="AV131" s="665">
        <f>_xlfn.IFERROR(AV130/AV129,0)</f>
        <v>0</v>
      </c>
      <c r="AW131" s="665">
        <f>_xlfn.IFERROR(AW130/AW129,0)</f>
        <v>0</v>
      </c>
      <c r="AX131" s="665">
        <f>_xlfn.IFERROR(AX130/AX129,0)</f>
        <v>0</v>
      </c>
      <c r="AY131" s="665">
        <f>_xlfn.IFERROR(AY130/AY129,0)</f>
        <v>0</v>
      </c>
      <c r="AZ131" s="665">
        <f>_xlfn.IFERROR(AZ130/AZ129,0)</f>
        <v>0</v>
      </c>
      <c r="BA131" s="665">
        <f>_xlfn.IFERROR(BA130/BA129,0)</f>
        <v>0</v>
      </c>
      <c r="BB131" s="665">
        <f>_xlfn.IFERROR(BB130/BB129,0)</f>
        <v>0</v>
      </c>
      <c r="BC131" s="665">
        <f>_xlfn.IFERROR(BC130/BC129,0)</f>
        <v>0</v>
      </c>
      <c r="BD131" s="377"/>
      <c r="BE131" s="377"/>
      <c r="BF131" s="377"/>
      <c r="BG131" s="377"/>
      <c r="BH131" s="377"/>
      <c r="BI131" s="377"/>
      <c r="BJ131" s="377"/>
      <c r="BK131" s="377"/>
      <c r="BL131" s="377"/>
      <c r="BM131" s="377"/>
      <c r="BN131" s="73"/>
      <c r="BO131" s="73"/>
      <c r="BP131" s="73"/>
      <c r="BQ131" s="230"/>
      <c r="BR131" s="230"/>
      <c r="BS131" s="1235" t="s">
        <v>1774</v>
      </c>
      <c r="BT131" s="1235"/>
      <c r="BU131" s="1235"/>
      <c r="BV131" s="1236"/>
      <c r="BW131" s="1236"/>
      <c r="BX131" s="1271"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M10444::ТЭ.42.28873685.0002::Неопределено::Неопределено::90.0.0.::Неопределено::Неопределено</v>
      </c>
    </row>
    <row s="1632" customFormat="1" customHeight="1" ht="31.5" hidden="1">
      <c r="A132" s="228"/>
      <c r="B132" s="927"/>
      <c r="C132" s="1301"/>
      <c r="D132" s="1260"/>
      <c r="E132" s="797">
        <v>33</v>
      </c>
      <c r="F132" s="922" cm="1" t="str">
        <f t="array" ref="F132:F132">OFFSET(G132,-1,-1)</f>
        <v>1</v>
      </c>
      <c r="G132" s="230"/>
      <c r="H132" s="230"/>
      <c r="I132" s="230"/>
      <c r="J132" s="230"/>
      <c r="K132" s="230"/>
      <c r="L132" s="193" t="s">
        <v>1712</v>
      </c>
      <c r="M132" s="1284"/>
      <c r="N132" s="1284" cm="1" t="str">
        <f t="array" ref="N132:N132">OFFSET(M132,-1,1)</f>
        <v>ТЭ.42.28873685.0002</v>
      </c>
      <c r="O132" s="1285"/>
      <c r="P132" s="1285"/>
      <c r="Q132" s="1285"/>
      <c r="R132" s="1285"/>
      <c r="S132" s="0"/>
      <c r="T132" s="808" cm="1" t="str">
        <f t="array" ref="T132:T132">T131</f>
        <v>false</v>
      </c>
      <c r="U132" s="1582"/>
      <c r="V132" s="1582"/>
      <c r="W132" s="1582"/>
      <c r="X132" s="1582"/>
      <c r="Y132" s="1582"/>
      <c r="Z132" s="1582"/>
      <c r="AA132" s="230"/>
      <c r="AB132" s="286" t="s">
        <v>561</v>
      </c>
      <c r="AC132" s="621" t="s">
        <v>1775</v>
      </c>
      <c r="AD132" s="622"/>
      <c r="AE132" s="616"/>
      <c r="AF132" s="616"/>
      <c r="AG132" s="616"/>
      <c r="AH132" s="616"/>
      <c r="AI132" s="616"/>
      <c r="AJ132" s="616"/>
      <c r="AK132" s="616"/>
      <c r="AL132" s="616"/>
      <c r="AM132" s="616"/>
      <c r="AN132" s="616"/>
      <c r="AO132" s="616"/>
      <c r="AP132" s="616"/>
      <c r="AQ132" s="616"/>
      <c r="AR132" s="616"/>
      <c r="AS132" s="616"/>
      <c r="AT132" s="616"/>
      <c r="AU132" s="616"/>
      <c r="AV132" s="616"/>
      <c r="AW132" s="616"/>
      <c r="AX132" s="616"/>
      <c r="AY132" s="616"/>
      <c r="AZ132" s="616"/>
      <c r="BA132" s="616"/>
      <c r="BB132" s="616"/>
      <c r="BC132" s="616"/>
      <c r="BD132" s="377"/>
      <c r="BE132" s="377"/>
      <c r="BF132" s="377"/>
      <c r="BG132" s="377"/>
      <c r="BH132" s="377"/>
      <c r="BI132" s="377"/>
      <c r="BJ132" s="377"/>
      <c r="BK132" s="377"/>
      <c r="BL132" s="377"/>
      <c r="BM132" s="377"/>
      <c r="BN132" s="73"/>
      <c r="BO132" s="73"/>
      <c r="BP132" s="73"/>
      <c r="BQ132" s="230"/>
      <c r="BR132" s="230"/>
      <c r="BS132" s="1235" t="s">
        <v>1776</v>
      </c>
      <c r="BT132" s="1235"/>
      <c r="BU132" s="1235"/>
      <c r="BV132" s="1236"/>
      <c r="BW132" s="1236"/>
      <c r="BX132" s="1339"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M11397::ТЭ.42.28873685.0002::Неопределено::Неопределено::Неопределено::Неопределено::Неопределено</v>
      </c>
    </row>
    <row s="1632" customFormat="1" customHeight="1" ht="31.5" hidden="1">
      <c r="A133" s="228"/>
      <c r="B133" s="927"/>
      <c r="C133" s="1301" t="s">
        <v>1777</v>
      </c>
      <c r="D133" s="1260" t="s">
        <v>1778</v>
      </c>
      <c r="E133" s="797">
        <v>33</v>
      </c>
      <c r="F133" s="922" cm="1" t="str">
        <f t="array" ref="F133:F133">OFFSET(G133,-1,-1)</f>
        <v>1</v>
      </c>
      <c r="G133" s="193" t="s">
        <v>1779</v>
      </c>
      <c r="H133" s="230"/>
      <c r="I133" s="230"/>
      <c r="J133" s="230"/>
      <c r="K133" s="230"/>
      <c r="L133" s="193" t="s">
        <v>1712</v>
      </c>
      <c r="M133" s="1284"/>
      <c r="N133" s="1284" cm="1" t="str">
        <f t="array" ref="N133:N133">OFFSET(M133,-1,1)</f>
        <v>ТЭ.42.28873685.0002</v>
      </c>
      <c r="O133" s="1285" t="s">
        <v>1726</v>
      </c>
      <c r="P133" s="1285"/>
      <c r="Q133" s="1285"/>
      <c r="R133" s="1285"/>
      <c r="S133" s="0"/>
      <c r="T133" s="808" cm="1" t="str">
        <f t="array" ref="T133:T133">T132</f>
        <v>false</v>
      </c>
      <c r="U133" s="1582"/>
      <c r="V133" s="1582"/>
      <c r="W133" s="1582"/>
      <c r="X133" s="1582"/>
      <c r="Y133" s="1582"/>
      <c r="Z133" s="1582"/>
      <c r="AA133" s="230"/>
      <c r="AB133" s="663" t="str">
        <f>AB132&amp;".1"</f>
        <v>18.1</v>
      </c>
      <c r="AC133" s="164" t="s">
        <v>1780</v>
      </c>
      <c r="AD133" s="520" t="s">
        <v>1781</v>
      </c>
      <c r="AE133" s="98"/>
      <c r="AF133" s="377"/>
      <c r="AG133" s="377"/>
      <c r="AH133" s="377"/>
      <c r="AI133" s="124">
        <f>MIN(AE134,_xlfn.IFERROR(AI117/AI125/12,0))</f>
        <v>0</v>
      </c>
      <c r="AJ133" s="1956">
        <f>MIN(AI134,_xlfn.IFERROR(AJ117/AJ125/12,0))</f>
        <v>0</v>
      </c>
      <c r="AK133" s="124">
        <f>MIN(AJ134,_xlfn.IFERROR(AK117/AK125/12,0))</f>
        <v>0</v>
      </c>
      <c r="AL133" s="124">
        <f>MIN(AK134,_xlfn.IFERROR(AL117/AL125/12,0))</f>
        <v>0</v>
      </c>
      <c r="AM133" s="124">
        <f>MIN(AL134,_xlfn.IFERROR(AM117/AM125/12,0))</f>
        <v>0</v>
      </c>
      <c r="AN133" s="124">
        <f>MIN(AM134,_xlfn.IFERROR(AN117/AN125/12,0))</f>
        <v>0</v>
      </c>
      <c r="AO133" s="124">
        <f>MIN(AN134,_xlfn.IFERROR(AO117/AO125/12,0))</f>
        <v>0</v>
      </c>
      <c r="AP133" s="124">
        <f>MIN(AO134,_xlfn.IFERROR(AP117/AP125/12,0))</f>
        <v>0</v>
      </c>
      <c r="AQ133" s="124">
        <f>MIN(AP134,_xlfn.IFERROR(AQ117/AQ125/12,0))</f>
        <v>0</v>
      </c>
      <c r="AR133" s="124">
        <f>MIN(AQ134,_xlfn.IFERROR(AR117/AR125/12,0))</f>
        <v>0</v>
      </c>
      <c r="AS133" s="124">
        <f>MIN(AR134,_xlfn.IFERROR(AS117/AS125/12,0))</f>
        <v>0</v>
      </c>
      <c r="AT133" s="1956">
        <f>MIN(AI134,_xlfn.IFERROR(AT117/AT125/12,0))</f>
        <v>0</v>
      </c>
      <c r="AU133" s="124">
        <f>MIN(AT134,_xlfn.IFERROR(AU117/AU125/12,0))</f>
        <v>0</v>
      </c>
      <c r="AV133" s="124">
        <f>MIN(AU134,_xlfn.IFERROR(AV117/AV125/12,0))</f>
        <v>0</v>
      </c>
      <c r="AW133" s="124">
        <f>MIN(AV134,_xlfn.IFERROR(AW117/AW125/12,0))</f>
        <v>0</v>
      </c>
      <c r="AX133" s="124">
        <f>MIN(AW134,_xlfn.IFERROR(AX117/AX125/12,0))</f>
        <v>0</v>
      </c>
      <c r="AY133" s="124">
        <f>MIN(AX134,_xlfn.IFERROR(AY117/AY125/12,0))</f>
        <v>0</v>
      </c>
      <c r="AZ133" s="124">
        <f>MIN(AY134,_xlfn.IFERROR(AZ117/AZ125/12,0))</f>
        <v>0</v>
      </c>
      <c r="BA133" s="124">
        <f>MIN(AZ134,_xlfn.IFERROR(BA117/BA125/12,0))</f>
        <v>0</v>
      </c>
      <c r="BB133" s="124">
        <f>MIN(BA134,_xlfn.IFERROR(BB117/BB125/12,0))</f>
        <v>0</v>
      </c>
      <c r="BC133" s="124">
        <f>MIN(BB134,_xlfn.IFERROR(BC117/BC125/12,0))</f>
        <v>0</v>
      </c>
      <c r="BD133" s="377"/>
      <c r="BE133" s="377"/>
      <c r="BF133" s="377"/>
      <c r="BG133" s="377"/>
      <c r="BH133" s="377"/>
      <c r="BI133" s="377"/>
      <c r="BJ133" s="377"/>
      <c r="BK133" s="377"/>
      <c r="BL133" s="377"/>
      <c r="BM133" s="377"/>
      <c r="BN133" s="73"/>
      <c r="BO133" s="73"/>
      <c r="BP133" s="73"/>
      <c r="BQ133" s="230"/>
      <c r="BR133" s="230"/>
      <c r="BS133" s="1235" t="s">
        <v>1782</v>
      </c>
      <c r="BT133" s="1235"/>
      <c r="BU133" s="1235"/>
      <c r="BV133" s="1236"/>
      <c r="BW133" s="1236"/>
      <c r="BX133" s="1271"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M11397::ТЭ.42.28873685.0002::Неопределено::8.0.3.::Неопределено::Неопределено::Неопределено</v>
      </c>
    </row>
    <row s="1632" customFormat="1" customHeight="1" ht="31.5" hidden="1">
      <c r="A134" s="228"/>
      <c r="B134" s="927"/>
      <c r="C134" s="1301" t="s">
        <v>1777</v>
      </c>
      <c r="D134" s="1260" t="s">
        <v>1778</v>
      </c>
      <c r="E134" s="797">
        <v>33</v>
      </c>
      <c r="F134" s="922" cm="1" t="str">
        <f t="array" ref="F134:F134">OFFSET(G134,-1,-1)</f>
        <v>1</v>
      </c>
      <c r="G134" s="193" t="s">
        <v>1783</v>
      </c>
      <c r="H134" s="230"/>
      <c r="I134" s="230"/>
      <c r="J134" s="230"/>
      <c r="K134" s="230"/>
      <c r="L134" s="193" t="s">
        <v>1712</v>
      </c>
      <c r="M134" s="1284"/>
      <c r="N134" s="1284" cm="1" t="str">
        <f t="array" ref="N134:N134">OFFSET(M134,-1,1)</f>
        <v>ТЭ.42.28873685.0002</v>
      </c>
      <c r="O134" s="1285" t="s">
        <v>1735</v>
      </c>
      <c r="P134" s="1285"/>
      <c r="Q134" s="1285"/>
      <c r="R134" s="1285"/>
      <c r="S134" s="0"/>
      <c r="T134" s="808" cm="1" t="str">
        <f t="array" ref="T134:T134">T133</f>
        <v>false</v>
      </c>
      <c r="U134" s="1582"/>
      <c r="V134" s="1582"/>
      <c r="W134" s="1582"/>
      <c r="X134" s="1582"/>
      <c r="Y134" s="1582"/>
      <c r="Z134" s="1582"/>
      <c r="AA134" s="230"/>
      <c r="AB134" s="663" t="str">
        <f>AB132&amp;".2"</f>
        <v>18.2</v>
      </c>
      <c r="AC134" s="164" t="s">
        <v>1784</v>
      </c>
      <c r="AD134" s="520" t="s">
        <v>1781</v>
      </c>
      <c r="AE134" s="310">
        <f>_xlfn.IFERROR((AE117-AE126*6*AE133)/AE127/6,0)</f>
        <v>0</v>
      </c>
      <c r="AF134" s="377"/>
      <c r="AG134" s="377"/>
      <c r="AH134" s="377"/>
      <c r="AI134" s="310">
        <f>_xlfn.IFERROR((AI117-AI126*6*AI133)/AI127/6,0)</f>
        <v>0</v>
      </c>
      <c r="AJ134" s="310">
        <f>_xlfn.IFERROR((AJ117-AJ126*IF(god=2026,9,6)*AJ133)/AJ127/IF(god=2026,3,6),0)</f>
        <v>0</v>
      </c>
      <c r="AK134" s="310">
        <f>_xlfn.IFERROR((AK117-AK126*IF(god=2025,9,6)*AK133)/AK127/IF(god=2025,3,6),0)</f>
        <v>0</v>
      </c>
      <c r="AL134" s="310">
        <f>_xlfn.IFERROR((AL117-AL126*6*AL133)/AL127/6,0)</f>
        <v>0</v>
      </c>
      <c r="AM134" s="310">
        <f>_xlfn.IFERROR((AM117-AM126*6*AM133)/AM127/6,0)</f>
        <v>0</v>
      </c>
      <c r="AN134" s="310">
        <f>_xlfn.IFERROR((AN117-AN126*6*AN133)/AN127/6,0)</f>
        <v>0</v>
      </c>
      <c r="AO134" s="310">
        <f>_xlfn.IFERROR((AO117-AO126*6*AO133)/AO127/6,0)</f>
        <v>0</v>
      </c>
      <c r="AP134" s="310">
        <f>_xlfn.IFERROR((AP117-AP126*6*AP133)/AP127/6,0)</f>
        <v>0</v>
      </c>
      <c r="AQ134" s="310">
        <f>_xlfn.IFERROR((AQ117-AQ126*6*AQ133)/AQ127/6,0)</f>
        <v>0</v>
      </c>
      <c r="AR134" s="310">
        <f>_xlfn.IFERROR((AR117-AR126*6*AR133)/AR127/6,0)</f>
        <v>0</v>
      </c>
      <c r="AS134" s="310">
        <f>_xlfn.IFERROR((AS117-AS126*6*AS133)/AS127/6,0)</f>
        <v>0</v>
      </c>
      <c r="AT134" s="310">
        <f>_xlfn.IFERROR((AT117-AT126*IF(god=2026,9,6)*AT133)/AT127/IF(god=2026,3,6),0)</f>
        <v>0</v>
      </c>
      <c r="AU134" s="310">
        <f>_xlfn.IFERROR((AU117-AU126*IF(god=2025,9,6)*AU133)/AU127/IF(god=2025,3,6),0)</f>
        <v>0</v>
      </c>
      <c r="AV134" s="310">
        <f>_xlfn.IFERROR((AV117-AV126*6*AV133)/AV127/6,0)</f>
        <v>0</v>
      </c>
      <c r="AW134" s="310">
        <f>_xlfn.IFERROR((AW117-AW126*6*AW133)/AW127/6,0)</f>
        <v>0</v>
      </c>
      <c r="AX134" s="310">
        <f>_xlfn.IFERROR((AX117-AX126*6*AX133)/AX127/6,0)</f>
        <v>0</v>
      </c>
      <c r="AY134" s="310">
        <f>_xlfn.IFERROR((AY117-AY126*6*AY133)/AY127/6,0)</f>
        <v>0</v>
      </c>
      <c r="AZ134" s="310">
        <f>_xlfn.IFERROR((AZ117-AZ126*6*AZ133)/AZ127/6,0)</f>
        <v>0</v>
      </c>
      <c r="BA134" s="310">
        <f>_xlfn.IFERROR((BA117-BA126*6*BA133)/BA127/6,0)</f>
        <v>0</v>
      </c>
      <c r="BB134" s="310">
        <f>_xlfn.IFERROR((BB117-BB126*6*BB133)/BB127/6,0)</f>
        <v>0</v>
      </c>
      <c r="BC134" s="310">
        <f>_xlfn.IFERROR((BC117-BC126*6*BC133)/BC127/6,0)</f>
        <v>0</v>
      </c>
      <c r="BD134" s="377"/>
      <c r="BE134" s="377"/>
      <c r="BF134" s="377"/>
      <c r="BG134" s="377"/>
      <c r="BH134" s="377"/>
      <c r="BI134" s="377"/>
      <c r="BJ134" s="377"/>
      <c r="BK134" s="377"/>
      <c r="BL134" s="377"/>
      <c r="BM134" s="377"/>
      <c r="BN134" s="73"/>
      <c r="BO134" s="73"/>
      <c r="BP134" s="73"/>
      <c r="BQ134" s="230"/>
      <c r="BR134" s="230"/>
      <c r="BS134" s="1235" t="s">
        <v>1785</v>
      </c>
      <c r="BT134" s="1235"/>
      <c r="BU134" s="1235"/>
      <c r="BV134" s="1236"/>
      <c r="BW134" s="1236"/>
      <c r="BX134" s="1271"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M11397::ТЭ.42.28873685.0002::Неопределено::8.0.5.::Неопределено::Неопределено::Неопределено</v>
      </c>
    </row>
    <row s="1632" customFormat="1" customHeight="1" ht="14.25" hidden="1">
      <c r="A135" s="228"/>
      <c r="B135" s="927"/>
      <c r="C135" s="1301" t="s">
        <v>1770</v>
      </c>
      <c r="D135" s="1260" t="s">
        <v>1771</v>
      </c>
      <c r="E135" s="797">
        <v>15</v>
      </c>
      <c r="F135" s="922" cm="1" t="str">
        <f t="array" ref="F135:F135">OFFSET(G135,-1,-1)</f>
        <v>1</v>
      </c>
      <c r="G135" s="230"/>
      <c r="H135" s="230"/>
      <c r="I135" s="230"/>
      <c r="J135" s="230"/>
      <c r="K135" s="230"/>
      <c r="L135" s="193" t="s">
        <v>1712</v>
      </c>
      <c r="M135" s="1284"/>
      <c r="N135" s="1284" cm="1" t="str">
        <f t="array" ref="N135:N135">OFFSET(M135,-1,1)</f>
        <v>ТЭ.42.28873685.0002</v>
      </c>
      <c r="O135" s="1285"/>
      <c r="P135" s="1285"/>
      <c r="Q135" s="1285" t="s">
        <v>1786</v>
      </c>
      <c r="R135" s="1285"/>
      <c r="S135" s="0"/>
      <c r="T135" s="808" cm="1" t="str">
        <f t="array" ref="T135:T135">T134</f>
        <v>false</v>
      </c>
      <c r="U135" s="1582"/>
      <c r="V135" s="1582"/>
      <c r="W135" s="1582"/>
      <c r="X135" s="1582"/>
      <c r="Y135" s="1582"/>
      <c r="Z135" s="1582"/>
      <c r="AA135" s="230"/>
      <c r="AB135" s="663" t="str">
        <f>AB132&amp;".3"</f>
        <v>18.3</v>
      </c>
      <c r="AC135" s="315" t="s">
        <v>1787</v>
      </c>
      <c r="AD135" s="720" t="s">
        <v>498</v>
      </c>
      <c r="AE135" s="1064">
        <f>_xlfn.IFERROR(AE134/AE133,0)</f>
        <v>0</v>
      </c>
      <c r="AF135" s="377"/>
      <c r="AG135" s="377"/>
      <c r="AH135" s="1065"/>
      <c r="AI135" s="665">
        <f>_xlfn.IFERROR(AI134/AI133,0)</f>
        <v>0</v>
      </c>
      <c r="AJ135" s="665">
        <f>_xlfn.IFERROR(AJ134/AJ133,0)</f>
        <v>0</v>
      </c>
      <c r="AK135" s="665">
        <f>_xlfn.IFERROR(AK134/AK133,0)</f>
        <v>0</v>
      </c>
      <c r="AL135" s="665">
        <f>_xlfn.IFERROR(AL134/AL133,0)</f>
        <v>0</v>
      </c>
      <c r="AM135" s="665">
        <f>_xlfn.IFERROR(AM134/AM133,0)</f>
        <v>0</v>
      </c>
      <c r="AN135" s="665">
        <f>_xlfn.IFERROR(AN134/AN133,0)</f>
        <v>0</v>
      </c>
      <c r="AO135" s="665">
        <f>_xlfn.IFERROR(AO134/AO133,0)</f>
        <v>0</v>
      </c>
      <c r="AP135" s="665">
        <f>_xlfn.IFERROR(AP134/AP133,0)</f>
        <v>0</v>
      </c>
      <c r="AQ135" s="665">
        <f>_xlfn.IFERROR(AQ134/AQ133,0)</f>
        <v>0</v>
      </c>
      <c r="AR135" s="665">
        <f>_xlfn.IFERROR(AR134/AR133,0)</f>
        <v>0</v>
      </c>
      <c r="AS135" s="665">
        <f>_xlfn.IFERROR(AS134/AS133,0)</f>
        <v>0</v>
      </c>
      <c r="AT135" s="665">
        <f>_xlfn.IFERROR(AT134/AT133,0)</f>
        <v>0</v>
      </c>
      <c r="AU135" s="665">
        <f>_xlfn.IFERROR(AU134/AU133,0)</f>
        <v>0</v>
      </c>
      <c r="AV135" s="665">
        <f>_xlfn.IFERROR(AV134/AV133,0)</f>
        <v>0</v>
      </c>
      <c r="AW135" s="665">
        <f>_xlfn.IFERROR(AW134/AW133,0)</f>
        <v>0</v>
      </c>
      <c r="AX135" s="665">
        <f>_xlfn.IFERROR(AX134/AX133,0)</f>
        <v>0</v>
      </c>
      <c r="AY135" s="665">
        <f>_xlfn.IFERROR(AY134/AY133,0)</f>
        <v>0</v>
      </c>
      <c r="AZ135" s="665">
        <f>_xlfn.IFERROR(AZ134/AZ133,0)</f>
        <v>0</v>
      </c>
      <c r="BA135" s="665">
        <f>_xlfn.IFERROR(BA134/BA133,0)</f>
        <v>0</v>
      </c>
      <c r="BB135" s="665">
        <f>_xlfn.IFERROR(BB134/BB133,0)</f>
        <v>0</v>
      </c>
      <c r="BC135" s="665">
        <f>_xlfn.IFERROR(BC134/BC133,0)</f>
        <v>0</v>
      </c>
      <c r="BD135" s="377"/>
      <c r="BE135" s="377"/>
      <c r="BF135" s="377"/>
      <c r="BG135" s="377"/>
      <c r="BH135" s="377"/>
      <c r="BI135" s="377"/>
      <c r="BJ135" s="377"/>
      <c r="BK135" s="377"/>
      <c r="BL135" s="377"/>
      <c r="BM135" s="377"/>
      <c r="BN135" s="73"/>
      <c r="BO135" s="73"/>
      <c r="BP135" s="73"/>
      <c r="BQ135" s="230"/>
      <c r="BR135" s="230"/>
      <c r="BS135" s="1235" t="s">
        <v>1788</v>
      </c>
      <c r="BT135" s="1235"/>
      <c r="BU135" s="1235"/>
      <c r="BV135" s="1236"/>
      <c r="BW135" s="1236"/>
      <c r="BX135" s="1271"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M10444::ТЭ.42.28873685.0002::Неопределено::Неопределено::Неопределено::225.0.1.::Неопределено</v>
      </c>
    </row>
    <row s="1632" customFormat="1" customHeight="1" ht="29.25">
      <c r="A136" s="228"/>
      <c r="B136" s="927"/>
      <c r="C136" s="1301" t="s">
        <v>1789</v>
      </c>
      <c r="D136" s="1260" t="s">
        <v>1790</v>
      </c>
      <c r="E136" s="797">
        <v>30</v>
      </c>
      <c r="F136" s="922" cm="1" t="str">
        <f t="array" ref="F136:F136">OFFSET(G136,-1,-1)</f>
        <v>1</v>
      </c>
      <c r="G136" s="230"/>
      <c r="H136" s="230"/>
      <c r="I136" s="230"/>
      <c r="J136" s="230"/>
      <c r="K136" s="230"/>
      <c r="L136" s="193"/>
      <c r="M136" s="1284"/>
      <c r="N136" s="1284" cm="1" t="str">
        <f t="array" ref="N136:N136">OFFSET(M136,-1,1)</f>
        <v>ТЭ.42.28873685.0002</v>
      </c>
      <c r="O136" s="1285"/>
      <c r="P136" s="1285"/>
      <c r="Q136" s="1285"/>
      <c r="R136" s="1285"/>
      <c r="S136" s="0"/>
      <c r="T136" s="808" cm="1" t="str">
        <f t="array" ref="T136:T136">T115</f>
        <v>true</v>
      </c>
      <c r="U136" s="1582"/>
      <c r="V136" s="1582"/>
      <c r="W136" s="1582"/>
      <c r="X136" s="1582"/>
      <c r="Y136" s="1582"/>
      <c r="Z136" s="1582"/>
      <c r="AA136" s="230"/>
      <c r="AB136" s="288" t="s">
        <v>1791</v>
      </c>
      <c r="AC136" s="1062" t="s">
        <v>1792</v>
      </c>
      <c r="AD136" s="580" t="s">
        <v>1023</v>
      </c>
      <c r="AE136" s="1868"/>
      <c r="AF136" s="1868"/>
      <c r="AG136" s="1989"/>
      <c r="AH136" s="310">
        <f>AG136-AF136</f>
        <v>0</v>
      </c>
      <c r="AI136" s="1980"/>
      <c r="AJ136" s="1980"/>
      <c r="AK136" s="1980"/>
      <c r="AL136" s="1980"/>
      <c r="AM136" s="1980"/>
      <c r="AN136" s="1980"/>
      <c r="AO136" s="1980"/>
      <c r="AP136" s="1980"/>
      <c r="AQ136" s="1980"/>
      <c r="AR136" s="1980"/>
      <c r="AS136" s="1980"/>
      <c r="AT136" s="1980"/>
      <c r="AU136" s="1980"/>
      <c r="AV136" s="1980"/>
      <c r="AW136" s="1980"/>
      <c r="AX136" s="1980"/>
      <c r="AY136" s="1980"/>
      <c r="AZ136" s="1980"/>
      <c r="BA136" s="1980"/>
      <c r="BB136" s="1980"/>
      <c r="BC136" s="1980"/>
      <c r="BD136" s="310">
        <f>IF(AI136=0,0,(AT136-AI136)/AI136*100)</f>
        <v>0</v>
      </c>
      <c r="BE136" s="310">
        <f>IF(AT136=0,0,(AU136-AT136)/AT136*100)</f>
        <v>0</v>
      </c>
      <c r="BF136" s="310">
        <f>IF(AU136=0,0,(AV136-AU136)/AU136*100)</f>
        <v>0</v>
      </c>
      <c r="BG136" s="310">
        <f>IF(AV136=0,0,(AW136-AV136)/AV136*100)</f>
        <v>0</v>
      </c>
      <c r="BH136" s="310">
        <f>IF(AW136=0,0,(AX136-AW136)/AW136*100)</f>
        <v>0</v>
      </c>
      <c r="BI136" s="310">
        <f>IF(AX136=0,0,(AY136-AX136)/AX136*100)</f>
        <v>0</v>
      </c>
      <c r="BJ136" s="310">
        <f>IF(AY136=0,0,(AZ136-AY136)/AY136*100)</f>
        <v>0</v>
      </c>
      <c r="BK136" s="310">
        <f>IF(AZ136=0,0,(BA136-AZ136)/AZ136*100)</f>
        <v>0</v>
      </c>
      <c r="BL136" s="310">
        <f>IF(BA136=0,0,(BB136-BA136)/BA136*100)</f>
        <v>0</v>
      </c>
      <c r="BM136" s="310">
        <f>IF(BB136=0,0,(BC136-BB136)/BB136*100)</f>
        <v>0</v>
      </c>
      <c r="BN136" s="1719"/>
      <c r="BO136" s="1719"/>
      <c r="BP136" s="1719"/>
      <c r="BQ136" s="230"/>
      <c r="BR136" s="230"/>
      <c r="BS136" s="1235" t="s">
        <v>1793</v>
      </c>
      <c r="BT136" s="1235"/>
      <c r="BU136" s="1235"/>
      <c r="BV136" s="1236"/>
      <c r="BW136" s="1236"/>
      <c r="BX136" s="1271"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M10591::ТЭ.42.28873685.0002::Неопределено::Неопределено::Неопределено::Неопределено::Неопределено</v>
      </c>
    </row>
    <row customHeight="1" ht="9.945">
      <c r="E137" s="797">
        <v>10.2</v>
      </c>
      <c r="U137" s="179" t="s">
        <v>236</v>
      </c>
      <c r="V137" s="171" t="s">
        <v>1794</v>
      </c>
      <c r="AJ137" s="230"/>
      <c r="AK137" s="230"/>
      <c r="AL137" s="230"/>
      <c r="AM137" s="230"/>
      <c r="AN137" s="230"/>
      <c r="AO137" s="230"/>
      <c r="AP137" s="230"/>
      <c r="AQ137" s="230"/>
      <c r="AR137" s="230"/>
      <c r="AS137" s="230"/>
      <c r="AT137" s="230"/>
      <c r="AU137" s="230"/>
      <c r="AV137" s="230"/>
      <c r="AW137" s="230"/>
      <c r="AX137" s="230"/>
      <c r="AY137" s="230"/>
      <c r="AZ137" s="230"/>
      <c r="BA137" s="230"/>
      <c r="BB137" s="230"/>
      <c r="BC137" s="230"/>
      <c r="BD137" s="230"/>
      <c r="BE137" s="230"/>
      <c r="BF137" s="230"/>
      <c r="BG137" s="230"/>
      <c r="BH137" s="230"/>
      <c r="BI137" s="230"/>
      <c r="BJ137" s="230"/>
      <c r="BK137" s="230"/>
      <c r="BL137" s="230"/>
      <c r="BM137" s="230"/>
    </row>
    <row customHeight="1" ht="11.25" hidden="1">
      <c r="E138" s="797">
        <v>0</v>
      </c>
      <c r="AJ138" s="230"/>
      <c r="AK138" s="230"/>
      <c r="AL138" s="230"/>
      <c r="AM138" s="230"/>
      <c r="AN138" s="230"/>
      <c r="AO138" s="230"/>
      <c r="AP138" s="230"/>
      <c r="AQ138" s="230"/>
      <c r="AR138" s="230"/>
      <c r="AS138" s="230"/>
      <c r="AT138" s="230"/>
      <c r="AU138" s="230"/>
      <c r="AV138" s="230"/>
      <c r="AW138" s="230"/>
      <c r="AX138" s="230"/>
      <c r="AY138" s="230"/>
      <c r="AZ138" s="230"/>
      <c r="BA138" s="230"/>
      <c r="BB138" s="230"/>
      <c r="BC138" s="230"/>
      <c r="BD138" s="230"/>
      <c r="BE138" s="230"/>
      <c r="BF138" s="230"/>
      <c r="BG138" s="230"/>
      <c r="BH138" s="230"/>
      <c r="BI138" s="230"/>
      <c r="BJ138" s="230"/>
      <c r="BK138" s="230"/>
      <c r="BL138" s="230"/>
      <c r="BM138" s="230"/>
    </row>
    <row customHeight="1" ht="14.625">
      <c r="E139" s="797">
        <v>15</v>
      </c>
      <c r="AB139" s="1530" t="s">
        <v>705</v>
      </c>
      <c r="AC139" s="1530"/>
      <c r="AD139" s="1530"/>
      <c r="AE139" s="1530"/>
      <c r="AF139" s="1530"/>
      <c r="AG139" s="1530"/>
      <c r="AH139" s="1530"/>
      <c r="AI139" s="1530"/>
      <c r="AJ139" s="1530"/>
      <c r="AK139" s="1530"/>
      <c r="AL139" s="1530"/>
      <c r="AM139" s="1530"/>
      <c r="AN139" s="1530"/>
      <c r="AO139" s="1530"/>
      <c r="AP139" s="1530"/>
      <c r="AQ139" s="1530"/>
      <c r="AR139" s="1530"/>
      <c r="AS139" s="1530"/>
      <c r="AT139" s="1530"/>
      <c r="AU139" s="1530"/>
      <c r="AV139" s="1530"/>
      <c r="AW139" s="1530"/>
      <c r="AX139" s="1530"/>
      <c r="AY139" s="1530"/>
      <c r="AZ139" s="1530"/>
      <c r="BA139" s="1530"/>
      <c r="BB139" s="1530"/>
      <c r="BC139" s="1530"/>
      <c r="BD139" s="1530"/>
      <c r="BE139" s="1530"/>
      <c r="BF139" s="1530"/>
      <c r="BG139" s="1530"/>
      <c r="BH139" s="1530"/>
      <c r="BI139" s="1530"/>
      <c r="BJ139" s="1530"/>
      <c r="BK139" s="1530"/>
      <c r="BL139" s="1530"/>
      <c r="BM139" s="1530"/>
      <c r="BN139" s="1530"/>
      <c r="BO139" s="1530"/>
      <c r="BP139" s="1530"/>
    </row>
    <row customHeight="1" ht="14.625">
      <c r="E140" s="797">
        <v>15</v>
      </c>
      <c r="AA140" s="921"/>
      <c r="AB140" s="1543"/>
      <c r="AC140" s="1544"/>
      <c r="AD140" s="1544"/>
      <c r="AE140" s="1544"/>
      <c r="AF140" s="1544"/>
      <c r="AG140" s="1544"/>
      <c r="AH140" s="1544"/>
      <c r="AI140" s="1544"/>
      <c r="AJ140" s="1544"/>
      <c r="AK140" s="1544"/>
      <c r="AL140" s="1544"/>
      <c r="AM140" s="1544"/>
      <c r="AN140" s="1544"/>
      <c r="AO140" s="1544"/>
      <c r="AP140" s="1544"/>
      <c r="AQ140" s="1544"/>
      <c r="AR140" s="1544"/>
      <c r="AS140" s="1544"/>
      <c r="AT140" s="1544"/>
      <c r="AU140" s="1544"/>
      <c r="AV140" s="1544"/>
      <c r="AW140" s="1544"/>
      <c r="AX140" s="1544"/>
      <c r="AY140" s="1544"/>
      <c r="AZ140" s="1544"/>
      <c r="BA140" s="1544"/>
      <c r="BB140" s="1544"/>
      <c r="BC140" s="1544"/>
      <c r="BD140" s="1544"/>
      <c r="BE140" s="1544"/>
      <c r="BF140" s="1544"/>
      <c r="BG140" s="1544"/>
      <c r="BH140" s="1544"/>
      <c r="BI140" s="1544"/>
      <c r="BJ140" s="1544"/>
      <c r="BK140" s="1544"/>
      <c r="BL140" s="1544"/>
      <c r="BM140" s="1544"/>
      <c r="BN140" s="1544"/>
      <c r="BO140" s="1544"/>
      <c r="BP140" s="1544"/>
    </row>
    <row customHeight="1" ht="14.625" hidden="1">
      <c r="A141" s="228"/>
      <c r="B141" s="927"/>
      <c r="C141" s="1302"/>
      <c r="D141" s="1266"/>
      <c r="E141" s="797">
        <v>15</v>
      </c>
      <c r="F141" s="228"/>
      <c r="G141" s="230"/>
      <c r="H141" s="230"/>
      <c r="I141" s="230"/>
      <c r="J141" s="230"/>
      <c r="K141" s="230"/>
      <c r="L141" s="193"/>
      <c r="M141" s="1270"/>
      <c r="N141" s="1270"/>
      <c r="O141" s="1278"/>
      <c r="P141" s="1278"/>
      <c r="Q141" s="1278"/>
      <c r="R141" s="1278"/>
      <c r="S141" s="0"/>
      <c r="T141" s="808">
        <f>ROW(W141)&gt;ROW(W$141)</f>
        <v>0</v>
      </c>
      <c r="U141" s="1582"/>
      <c r="V141" s="1582"/>
      <c r="W141" s="175" t="s">
        <v>234</v>
      </c>
      <c r="X141" s="1582"/>
      <c r="Y141" s="1582"/>
      <c r="Z141" s="1582"/>
      <c r="AA141" s="917" t="s">
        <v>218</v>
      </c>
      <c r="AB141" s="1932"/>
      <c r="AC141" s="1544"/>
      <c r="AD141" s="1544"/>
      <c r="AE141" s="1544"/>
      <c r="AF141" s="1544"/>
      <c r="AG141" s="1544"/>
      <c r="AH141" s="1544"/>
      <c r="AI141" s="1544"/>
      <c r="AJ141" s="1544"/>
      <c r="AK141" s="1544"/>
      <c r="AL141" s="1544"/>
      <c r="AM141" s="1544"/>
      <c r="AN141" s="1544"/>
      <c r="AO141" s="1544"/>
      <c r="AP141" s="1544"/>
      <c r="AQ141" s="1544"/>
      <c r="AR141" s="1544"/>
      <c r="AS141" s="1544"/>
      <c r="AT141" s="1544"/>
      <c r="AU141" s="1544"/>
      <c r="AV141" s="1544"/>
      <c r="AW141" s="1544"/>
      <c r="AX141" s="1544"/>
      <c r="AY141" s="1544"/>
      <c r="AZ141" s="1544"/>
      <c r="BA141" s="1544"/>
      <c r="BB141" s="1544"/>
      <c r="BC141" s="1544"/>
      <c r="BD141" s="1544"/>
      <c r="BE141" s="1544"/>
      <c r="BF141" s="1544"/>
      <c r="BG141" s="1544"/>
      <c r="BH141" s="1544"/>
      <c r="BI141" s="1544"/>
      <c r="BJ141" s="1544"/>
      <c r="BK141" s="1544"/>
      <c r="BL141" s="1544"/>
      <c r="BM141" s="1544"/>
      <c r="BN141" s="1544"/>
      <c r="BO141" s="1544"/>
      <c r="BP141" s="1544"/>
      <c r="BQ141" s="230"/>
      <c r="BR141" s="230"/>
      <c r="BS141" s="1235"/>
      <c r="BT141" s="1235"/>
      <c r="BU141" s="1235"/>
      <c r="BV141" s="1236"/>
      <c r="BW141" s="1236"/>
      <c r="BX141" s="1333"/>
    </row>
    <row customHeight="1" ht="14.625">
      <c r="E142" s="797">
        <v>15</v>
      </c>
      <c r="W142" s="171" t="s">
        <v>235</v>
      </c>
      <c r="AA142" s="213"/>
      <c r="AB142" s="1478" t="s">
        <v>706</v>
      </c>
      <c r="AC142" s="1479"/>
      <c r="AD142" s="383"/>
      <c r="AE142" s="383"/>
      <c r="AF142" s="383"/>
      <c r="AG142" s="383"/>
      <c r="AH142" s="383"/>
      <c r="AI142" s="383"/>
      <c r="AJ142" s="383"/>
      <c r="AK142" s="383"/>
      <c r="AL142" s="383"/>
      <c r="AM142" s="383"/>
      <c r="AN142" s="383"/>
      <c r="AO142" s="383"/>
      <c r="AP142" s="383"/>
      <c r="AQ142" s="383"/>
      <c r="AR142" s="383"/>
      <c r="AS142" s="383"/>
      <c r="AT142" s="383"/>
      <c r="AU142" s="383"/>
      <c r="AV142" s="383"/>
      <c r="AW142" s="383"/>
      <c r="AX142" s="383"/>
      <c r="AY142" s="383"/>
      <c r="AZ142" s="383"/>
      <c r="BA142" s="383"/>
      <c r="BB142" s="383"/>
      <c r="BC142" s="383"/>
      <c r="BD142" s="383"/>
      <c r="BE142" s="383"/>
      <c r="BF142" s="383"/>
      <c r="BG142" s="383"/>
      <c r="BH142" s="383"/>
      <c r="BI142" s="383"/>
      <c r="BJ142" s="383"/>
      <c r="BK142" s="383"/>
      <c r="BL142" s="383"/>
      <c r="BM142" s="383"/>
      <c r="BN142" s="383"/>
      <c r="BO142" s="383"/>
      <c r="BP142" s="350"/>
    </row>
    <row customHeight="1" ht="11.25">
      <c r="AJ143" s="230"/>
      <c r="AK143" s="230"/>
      <c r="AL143" s="230"/>
      <c r="AM143" s="230"/>
      <c r="AN143" s="230"/>
      <c r="AO143" s="230"/>
      <c r="AP143" s="230"/>
      <c r="AQ143" s="230"/>
      <c r="AR143" s="230"/>
      <c r="AS143" s="230"/>
      <c r="AT143" s="230"/>
      <c r="AU143" s="230"/>
      <c r="AV143" s="230"/>
      <c r="AW143" s="230"/>
      <c r="AX143" s="230"/>
      <c r="AY143" s="230"/>
      <c r="AZ143" s="230"/>
      <c r="BA143" s="230"/>
      <c r="BB143" s="230"/>
      <c r="BC143" s="230"/>
      <c r="BD143" s="230"/>
      <c r="BE143" s="230"/>
      <c r="BF143" s="230"/>
      <c r="BG143" s="230"/>
      <c r="BH143" s="230"/>
      <c r="BI143" s="230"/>
      <c r="BJ143" s="230"/>
      <c r="BK143" s="230"/>
      <c r="BL143" s="230"/>
      <c r="BM143" s="230"/>
      <c r="BQ143" s="230"/>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3A65D9-19F8-FB68-9C9C-E27A4D012B8D}"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3" style="1306" width="12.140625" hidden="1" customWidth="1"/>
    <col min="4" max="4" style="1266" width="12.140625" hidden="1" customWidth="1"/>
    <col min="5" max="5" style="925" width="8.421875" hidden="1" customWidth="1"/>
    <col min="6" max="6" style="228" width="6.421875" hidden="1" customWidth="1"/>
    <col min="7" max="11" style="230" width="3.57421875" hidden="1" customWidth="1"/>
    <col min="12" max="19" style="1331" width="8.71093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6.003906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4" style="1233" width="9.140625" hidden="1"/>
    <col min="45" max="45" style="1333" width="9.140625" hidden="1"/>
  </cols>
  <sheetData>
    <row s="228" customFormat="1" customHeight="1" ht="12" hidden="1">
      <c r="A1" s="1186"/>
      <c r="B1" s="788"/>
      <c r="C1" s="1306" t="s">
        <v>84</v>
      </c>
      <c r="D1" s="1266" t="s">
        <v>85</v>
      </c>
      <c r="E1" s="788"/>
      <c r="F1" s="819" t="s">
        <v>83</v>
      </c>
      <c r="G1" s="230"/>
      <c r="H1" s="230"/>
      <c r="I1" s="230"/>
      <c r="J1" s="230"/>
      <c r="K1" s="230"/>
      <c r="L1" s="1279" t="s">
        <v>1795</v>
      </c>
      <c r="M1" s="1279" t="s">
        <v>1568</v>
      </c>
      <c r="N1" s="1279" t="s">
        <v>1796</v>
      </c>
      <c r="O1" s="1279" t="s">
        <v>1797</v>
      </c>
      <c r="P1" s="1279" t="s">
        <v>1798</v>
      </c>
      <c r="Q1" s="1279" t="s">
        <v>1799</v>
      </c>
      <c r="R1" s="1279" t="s">
        <v>1571</v>
      </c>
      <c r="S1" s="1269" t="s">
        <v>1569</v>
      </c>
      <c r="T1" s="808" t="s">
        <v>86</v>
      </c>
      <c r="U1" s="808" t="s">
        <v>91</v>
      </c>
      <c r="V1" s="808" t="s">
        <v>87</v>
      </c>
      <c r="W1" s="808" t="s">
        <v>88</v>
      </c>
      <c r="X1" s="808" t="s">
        <v>89</v>
      </c>
      <c r="Y1" s="819" t="s">
        <v>372</v>
      </c>
      <c r="Z1" s="808" t="s">
        <v>93</v>
      </c>
      <c r="AA1" s="819" t="s">
        <v>90</v>
      </c>
      <c r="AB1" s="819" t="s">
        <v>92</v>
      </c>
      <c r="AJ1" s="228"/>
      <c r="AK1" s="228"/>
      <c r="AL1" s="228"/>
      <c r="AR1" s="1233" t="s">
        <v>373</v>
      </c>
      <c r="AS1" s="1279" t="s">
        <v>1572</v>
      </c>
    </row>
    <row s="927" customFormat="1" customHeight="1" ht="12" hidden="1">
      <c r="A2" s="1194"/>
      <c r="B2" s="910" t="s">
        <v>15</v>
      </c>
      <c r="C2" s="1303"/>
      <c r="D2" s="1262"/>
      <c r="G2" s="930"/>
      <c r="H2" s="930"/>
      <c r="I2" s="930"/>
      <c r="J2" s="930"/>
      <c r="K2" s="930"/>
      <c r="L2" s="1295"/>
      <c r="M2" s="1295"/>
      <c r="N2" s="1295"/>
      <c r="O2" s="1295"/>
      <c r="P2" s="1295"/>
      <c r="Q2" s="1295"/>
      <c r="R2" s="1295"/>
      <c r="S2" s="1295"/>
      <c r="AC2" s="792"/>
      <c r="AJ2" s="809">
        <f>AJ6&lt;=last_year_vis</f>
        <v>1</v>
      </c>
      <c r="AK2" s="809">
        <f>AK6&lt;=last_year_vis</f>
        <v>1</v>
      </c>
      <c r="AL2" s="809">
        <f>AL6&lt;=last_year_vis</f>
        <v>1</v>
      </c>
      <c r="AR2" s="1160"/>
      <c r="AS2" s="1258"/>
    </row>
    <row s="228" customFormat="1" customHeight="1" ht="12" hidden="1">
      <c r="A3" s="1186"/>
      <c r="B3" s="788"/>
      <c r="C3" s="1300"/>
      <c r="D3" s="1263"/>
      <c r="E3" s="788"/>
      <c r="G3" s="230"/>
      <c r="H3" s="230"/>
      <c r="I3" s="230"/>
      <c r="J3" s="230"/>
      <c r="K3" s="230"/>
      <c r="L3" s="1279"/>
      <c r="M3" s="1279"/>
      <c r="N3" s="1279"/>
      <c r="O3" s="1279"/>
      <c r="P3" s="1279"/>
      <c r="Q3" s="1279"/>
      <c r="R3" s="1279"/>
      <c r="S3" s="1279"/>
      <c r="T3" s="175"/>
      <c r="U3" s="175"/>
      <c r="V3" s="175"/>
      <c r="W3" s="175"/>
      <c r="X3" s="175"/>
      <c r="Y3" s="175"/>
      <c r="Z3" s="175"/>
      <c r="AC3" s="232"/>
      <c r="AJ3" s="228"/>
      <c r="AK3" s="228"/>
      <c r="AL3" s="228"/>
      <c r="AR3" s="1233"/>
      <c r="AS3" s="1269"/>
    </row>
    <row s="228" customFormat="1" customHeight="1" ht="12" hidden="1">
      <c r="A4" s="1186"/>
      <c r="B4" s="788"/>
      <c r="C4" s="1300"/>
      <c r="D4" s="1263"/>
      <c r="E4" s="788"/>
      <c r="G4" s="230"/>
      <c r="H4" s="230"/>
      <c r="I4" s="230"/>
      <c r="J4" s="230"/>
      <c r="K4" s="230"/>
      <c r="L4" s="1279"/>
      <c r="M4" s="1279"/>
      <c r="N4" s="1279"/>
      <c r="O4" s="1279"/>
      <c r="P4" s="1279"/>
      <c r="Q4" s="1279"/>
      <c r="R4" s="1279"/>
      <c r="S4" s="1279"/>
      <c r="T4" s="175"/>
      <c r="U4" s="175"/>
      <c r="V4" s="175"/>
      <c r="W4" s="175"/>
      <c r="X4" s="175"/>
      <c r="Y4" s="175"/>
      <c r="Z4" s="175"/>
      <c r="AC4" s="232"/>
      <c r="AJ4" s="228"/>
      <c r="AK4" s="228"/>
      <c r="AL4" s="228"/>
      <c r="AR4" s="1233"/>
      <c r="AS4" s="1269"/>
    </row>
    <row s="925" customFormat="1" customHeight="1" ht="12" hidden="1">
      <c r="A5" s="1194"/>
      <c r="B5" s="788"/>
      <c r="C5" s="1303"/>
      <c r="D5" s="1262"/>
      <c r="E5" s="797" t="s">
        <v>16</v>
      </c>
      <c r="G5" s="931"/>
      <c r="H5" s="931"/>
      <c r="I5" s="931"/>
      <c r="J5" s="931"/>
      <c r="K5" s="931"/>
      <c r="L5" s="1295"/>
      <c r="M5" s="1295"/>
      <c r="N5" s="1295"/>
      <c r="O5" s="1295"/>
      <c r="P5" s="1295"/>
      <c r="Q5" s="1295"/>
      <c r="R5" s="1295"/>
      <c r="S5" s="1295"/>
      <c r="AA5" s="797">
        <v>3</v>
      </c>
      <c r="AB5" s="797">
        <v>8.13</v>
      </c>
      <c r="AC5" s="803">
        <v>70.13</v>
      </c>
      <c r="AD5" s="797">
        <v>14.38</v>
      </c>
      <c r="AE5" s="797">
        <v>12.63</v>
      </c>
      <c r="AF5" s="797">
        <v>12.63</v>
      </c>
      <c r="AG5" s="797">
        <v>12.63</v>
      </c>
      <c r="AH5" s="797">
        <v>19.13</v>
      </c>
      <c r="AI5" s="797">
        <v>12.63</v>
      </c>
      <c r="AJ5" s="797">
        <v>12.63</v>
      </c>
      <c r="AK5" s="797">
        <v>12.63</v>
      </c>
      <c r="AL5" s="797">
        <v>36</v>
      </c>
      <c r="AM5" s="797">
        <v>19</v>
      </c>
      <c r="AN5" s="797">
        <v>17.25</v>
      </c>
      <c r="AO5" s="797">
        <v>31.25</v>
      </c>
      <c r="AP5" s="797">
        <v>3</v>
      </c>
      <c r="AR5" s="1160"/>
      <c r="AS5" s="1258"/>
    </row>
    <row s="228" customFormat="1" customHeight="1" ht="12" hidden="1">
      <c r="A6" s="1186"/>
      <c r="B6" s="788"/>
      <c r="C6" s="1300"/>
      <c r="D6" s="1263"/>
      <c r="E6" s="797"/>
      <c r="G6" s="230"/>
      <c r="H6" s="230"/>
      <c r="I6" s="230"/>
      <c r="J6" s="230"/>
      <c r="K6" s="230"/>
      <c r="L6" s="1279"/>
      <c r="M6" s="1279"/>
      <c r="N6" s="1279"/>
      <c r="O6" s="1279"/>
      <c r="P6" s="1279"/>
      <c r="Q6" s="1279"/>
      <c r="R6" s="1279"/>
      <c r="S6" s="1279"/>
      <c r="T6" s="175"/>
      <c r="U6" s="175"/>
      <c r="V6" s="175"/>
      <c r="W6" s="175"/>
      <c r="X6" s="175"/>
      <c r="Y6" s="175"/>
      <c r="Z6" s="175"/>
      <c r="AC6" s="232"/>
      <c r="AE6" s="228">
        <f>god-2</f>
        <v>2024</v>
      </c>
      <c r="AF6" s="228">
        <f>god-2</f>
        <v>2024</v>
      </c>
      <c r="AG6" s="228">
        <f>god-2</f>
        <v>2024</v>
      </c>
      <c r="AH6" s="228">
        <f>god-2</f>
        <v>2024</v>
      </c>
      <c r="AI6" s="175">
        <f>god-1</f>
        <v>2025</v>
      </c>
      <c r="AJ6" s="175" cm="1" t="str">
        <f t="array" ref="AJ6:AJ6">god</f>
        <v>2026</v>
      </c>
      <c r="AK6" s="175" cm="1" t="str">
        <f t="array" ref="AK6:AK6">god</f>
        <v>2026</v>
      </c>
      <c r="AL6" s="175" cm="1" t="str">
        <f t="array" ref="AL6:AL6">god</f>
        <v>2026</v>
      </c>
      <c r="AR6" s="1233"/>
      <c r="AS6" s="1269"/>
    </row>
    <row customHeight="1" ht="12" hidden="1">
      <c r="F7" s="230"/>
      <c r="T7" s="213"/>
      <c r="U7" s="213"/>
      <c r="V7" s="213"/>
      <c r="W7" s="213"/>
      <c r="X7" s="213"/>
      <c r="Y7" s="213"/>
      <c r="Z7" s="213"/>
      <c r="AB7" s="230"/>
      <c r="AD7" s="230"/>
      <c r="AE7" s="213" cm="1" t="str">
        <f t="array" ref="AE7:AE7">AE25</f>
        <v>Принято органом регулирования</v>
      </c>
      <c r="AF7" s="213" cm="1" t="str">
        <f t="array" ref="AF7:AF7">AF25</f>
        <v>Факт по данным организации</v>
      </c>
      <c r="AG7" s="213" cm="1" t="str">
        <f t="array" ref="AG7:AG7">AG25</f>
        <v>Факт, принятый органом регулирования</v>
      </c>
      <c r="AH7" s="213" cm="1" t="str">
        <f t="array" ref="AH7:AH7">AH25</f>
        <v>отклонение факта по данным организации к факту принятому органом регулирования</v>
      </c>
      <c r="AI7" s="213" cm="1" t="str">
        <f t="array" ref="AI7:AI7">AI25</f>
        <v>Принято органом регулирования</v>
      </c>
      <c r="AJ7" s="213" cm="1" t="str">
        <f t="array" ref="AJ7:AJ7">$AJ$25</f>
        <v>Предложение организации</v>
      </c>
      <c r="AK7" s="213" cm="1" t="str">
        <f t="array" ref="AK7:AK7">$AK$25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234" customFormat="1" customHeight="1" ht="12" hidden="1">
      <c r="A9" s="1161" t="s">
        <v>437</v>
      </c>
      <c r="B9" s="1154"/>
      <c r="C9" s="1300"/>
      <c r="D9" s="1263"/>
      <c r="E9" s="1154"/>
      <c r="L9" s="1264"/>
      <c r="M9" s="1264"/>
      <c r="N9" s="1264"/>
      <c r="O9" s="1264"/>
      <c r="P9" s="1264"/>
      <c r="Q9" s="1264"/>
      <c r="R9" s="1264"/>
      <c r="S9" s="1264"/>
      <c r="T9" s="1162"/>
      <c r="U9" s="1162"/>
      <c r="V9" s="1162"/>
      <c r="W9" s="1162"/>
      <c r="X9" s="1162"/>
      <c r="Y9" s="1162"/>
      <c r="Z9" s="1162"/>
      <c r="AE9" s="1234">
        <f>god-2</f>
        <v>2024</v>
      </c>
      <c r="AF9" s="1234">
        <f>god-2</f>
        <v>2024</v>
      </c>
      <c r="AG9" s="1234">
        <f>god-2</f>
        <v>2024</v>
      </c>
      <c r="AH9" s="1234">
        <f>god-2</f>
        <v>2024</v>
      </c>
      <c r="AI9" s="1234">
        <f>god-1</f>
        <v>2025</v>
      </c>
      <c r="AJ9" s="1234" cm="1" t="str">
        <f t="array" ref="AJ9:AJ9">god</f>
        <v>2026</v>
      </c>
      <c r="AK9" s="1234" cm="1" t="str">
        <f t="array" ref="AK9:AK9">god</f>
        <v>2026</v>
      </c>
      <c r="AL9" s="1234" cm="1" t="str">
        <f t="array" ref="AL9:AL9">god</f>
        <v>2026</v>
      </c>
      <c r="AR9" s="1233"/>
      <c r="AS9" s="1269"/>
    </row>
    <row s="1234" customFormat="1" customHeight="1" ht="12" hidden="1">
      <c r="A10" s="1161" t="s">
        <v>438</v>
      </c>
      <c r="B10" s="1154"/>
      <c r="C10" s="1300"/>
      <c r="D10" s="1263"/>
      <c r="E10" s="1154"/>
      <c r="L10" s="1264"/>
      <c r="M10" s="1264"/>
      <c r="N10" s="1264"/>
      <c r="O10" s="1264"/>
      <c r="P10" s="1264"/>
      <c r="Q10" s="1264"/>
      <c r="R10" s="1264"/>
      <c r="S10" s="1264"/>
      <c r="T10" s="1162"/>
      <c r="U10" s="1162"/>
      <c r="V10" s="1162"/>
      <c r="W10" s="1162"/>
      <c r="X10" s="1162"/>
      <c r="Y10" s="1162"/>
      <c r="Z10" s="1162"/>
      <c r="AE10" s="1234" cm="1" t="str">
        <f t="array" ref="AE10:AE10">AE25</f>
        <v>Принято органом регулирования</v>
      </c>
      <c r="AF10" s="1234" cm="1" t="str">
        <f t="array" ref="AF10:AF10">AF25</f>
        <v>Факт по данным организации</v>
      </c>
      <c r="AG10" s="1234" cm="1" t="str">
        <f t="array" ref="AG10:AG10">AG25</f>
        <v>Факт, принятый органом регулирования</v>
      </c>
      <c r="AH10" s="1234" cm="1" t="str">
        <f t="array" ref="AH10:AH10">AH25</f>
        <v>отклонение факта по данным организации к факту принятому органом регулирования</v>
      </c>
      <c r="AI10" s="1234" cm="1" t="str">
        <f t="array" ref="AI10:AI10">AI25</f>
        <v>Принято органом регулирования</v>
      </c>
      <c r="AJ10" s="1234" cm="1" t="str">
        <f t="array" ref="AJ10:AJ10">AJ25</f>
        <v>Предложение организации</v>
      </c>
      <c r="AK10" s="1234" cm="1" t="str">
        <f t="array" ref="AK10:AK10">AK25</f>
        <v>Принято органом регулирования</v>
      </c>
      <c r="AL10" s="1234"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69"/>
    </row>
    <row s="1234" customFormat="1" customHeight="1" ht="12" hidden="1">
      <c r="A11" s="1161" t="s">
        <v>439</v>
      </c>
      <c r="B11" s="1154"/>
      <c r="C11" s="1300"/>
      <c r="D11" s="1263"/>
      <c r="E11" s="1154"/>
      <c r="G11" s="1237"/>
      <c r="H11" s="1237"/>
      <c r="I11" s="1237"/>
      <c r="J11" s="1237"/>
      <c r="K11" s="1237"/>
      <c r="L11" s="1279"/>
      <c r="M11" s="1279"/>
      <c r="N11" s="1279"/>
      <c r="O11" s="1279"/>
      <c r="P11" s="1279"/>
      <c r="Q11" s="1279"/>
      <c r="R11" s="1279"/>
      <c r="S11" s="1279"/>
      <c r="T11" s="1162"/>
      <c r="U11" s="1162"/>
      <c r="V11" s="1162"/>
      <c r="W11" s="1162"/>
      <c r="X11" s="1162"/>
      <c r="Y11" s="1162"/>
      <c r="Z11" s="1162"/>
      <c r="AC11" s="1238"/>
      <c r="AJ11" s="1234"/>
      <c r="AK11" s="1234"/>
      <c r="AL11" s="1234"/>
      <c r="AM11" s="1234" cm="1" t="str">
        <f t="array" ref="AM11:AM11">AM24</f>
        <v>Указание на подтверждающие документы / URL-ссылка на копии подтверждающих документов</v>
      </c>
      <c r="AN11" s="1234" cm="1" t="str">
        <f t="array" ref="AN11:AN11">AN24</f>
        <v>Ссылка на правовую норму (основание для принятия показателя в расчет тарифа)</v>
      </c>
      <c r="AO11" s="1234"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69"/>
    </row>
    <row s="1270" customFormat="1" customHeight="1" ht="12" hidden="1">
      <c r="A12" s="1276" t="s">
        <v>103</v>
      </c>
      <c r="B12" s="1258"/>
      <c r="C12" s="1300"/>
      <c r="D12" s="1263"/>
      <c r="E12" s="1258"/>
      <c r="G12" s="1271"/>
      <c r="H12" s="1271"/>
      <c r="I12" s="1271"/>
      <c r="J12" s="1271"/>
      <c r="K12" s="1271"/>
      <c r="L12" s="1279"/>
      <c r="M12" s="1279"/>
      <c r="N12" s="1279"/>
      <c r="O12" s="1279"/>
      <c r="P12" s="1279"/>
      <c r="Q12" s="1279"/>
      <c r="R12" s="1279"/>
      <c r="S12" s="1279"/>
      <c r="T12" s="1273"/>
      <c r="U12" s="1273"/>
      <c r="V12" s="1273"/>
      <c r="W12" s="1273"/>
      <c r="X12" s="1273"/>
      <c r="Y12" s="1273"/>
      <c r="Z12" s="1273"/>
      <c r="AC12" s="1274"/>
      <c r="AE12" s="1269" t="s">
        <v>1573</v>
      </c>
      <c r="AF12" s="1269" t="s">
        <v>1573</v>
      </c>
      <c r="AG12" s="1269" t="s">
        <v>1573</v>
      </c>
      <c r="AH12" s="1269" t="s">
        <v>1573</v>
      </c>
      <c r="AI12" s="1269" t="s">
        <v>1573</v>
      </c>
      <c r="AJ12" s="1269" t="s">
        <v>1573</v>
      </c>
      <c r="AK12" s="1269" t="s">
        <v>1573</v>
      </c>
      <c r="AL12" s="1269" t="s">
        <v>1573</v>
      </c>
    </row>
    <row s="1270" customFormat="1" customHeight="1" ht="12" hidden="1">
      <c r="A13" s="1276" t="s">
        <v>1574</v>
      </c>
      <c r="B13" s="1258"/>
      <c r="C13" s="1300"/>
      <c r="D13" s="1263"/>
      <c r="E13" s="1258"/>
      <c r="G13" s="1271"/>
      <c r="H13" s="1271"/>
      <c r="I13" s="1271"/>
      <c r="J13" s="1271"/>
      <c r="K13" s="1271"/>
      <c r="L13" s="1279"/>
      <c r="M13" s="1279"/>
      <c r="N13" s="1279"/>
      <c r="O13" s="1279"/>
      <c r="P13" s="1279"/>
      <c r="Q13" s="1279"/>
      <c r="R13" s="1279"/>
      <c r="S13" s="1279"/>
      <c r="T13" s="1273"/>
      <c r="U13" s="1273"/>
      <c r="V13" s="1273"/>
      <c r="W13" s="1273"/>
      <c r="X13" s="1273"/>
      <c r="Y13" s="1273"/>
      <c r="Z13" s="1273"/>
      <c r="AC13" s="1274"/>
      <c r="AE13" s="1269" cm="1" t="str">
        <f t="array" ref="AE13:AE13">AE6</f>
        <v>2024</v>
      </c>
      <c r="AF13" s="1269" cm="1" t="str">
        <f t="array" ref="AF13:AF13">AF6</f>
        <v>2024</v>
      </c>
      <c r="AG13" s="1269" cm="1" t="str">
        <f t="array" ref="AG13:AG13">AG6</f>
        <v>2024</v>
      </c>
      <c r="AH13" s="1269" cm="1" t="str">
        <f t="array" ref="AH13:AH13">AH6</f>
        <v>2024</v>
      </c>
      <c r="AI13" s="1269" cm="1" t="str">
        <f t="array" ref="AI13:AI13">AI6</f>
        <v>2025</v>
      </c>
      <c r="AJ13" s="1269" cm="1" t="str">
        <f t="array" ref="AJ13:AJ13">AJ6</f>
        <v>2026</v>
      </c>
      <c r="AK13" s="1269" cm="1" t="str">
        <f t="array" ref="AK13:AK13">AK6</f>
        <v>2026</v>
      </c>
      <c r="AL13" s="1269" cm="1" t="str">
        <f t="array" ref="AL13:AL13">AL6</f>
        <v>2026</v>
      </c>
    </row>
    <row s="1270" customFormat="1" customHeight="1" ht="12" hidden="1">
      <c r="A14" s="1276" t="s">
        <v>1575</v>
      </c>
      <c r="B14" s="1258"/>
      <c r="C14" s="1300"/>
      <c r="D14" s="1263"/>
      <c r="E14" s="1258"/>
      <c r="G14" s="1271"/>
      <c r="H14" s="1271"/>
      <c r="I14" s="1271"/>
      <c r="J14" s="1271"/>
      <c r="K14" s="1271"/>
      <c r="L14" s="1279"/>
      <c r="M14" s="1279"/>
      <c r="N14" s="1279"/>
      <c r="O14" s="1279"/>
      <c r="P14" s="1279"/>
      <c r="Q14" s="1279"/>
      <c r="R14" s="1279"/>
      <c r="S14" s="1279"/>
      <c r="T14" s="1273"/>
      <c r="U14" s="1273"/>
      <c r="V14" s="1273"/>
      <c r="W14" s="1273"/>
      <c r="X14" s="1273"/>
      <c r="Y14" s="1273"/>
      <c r="Z14" s="1273"/>
      <c r="AC14" s="1274"/>
      <c r="AE14" s="1269" t="s">
        <v>1576</v>
      </c>
      <c r="AF14" s="1269" t="s">
        <v>1577</v>
      </c>
      <c r="AG14" s="1269" t="s">
        <v>1576</v>
      </c>
      <c r="AH14" s="1269" t="s">
        <v>1578</v>
      </c>
      <c r="AI14" s="1269" t="s">
        <v>1576</v>
      </c>
      <c r="AJ14" s="1269" t="s">
        <v>1577</v>
      </c>
      <c r="AK14" s="1269" t="s">
        <v>1576</v>
      </c>
      <c r="AL14" s="1269" t="s">
        <v>1578</v>
      </c>
    </row>
    <row s="1270" customFormat="1" customHeight="1" ht="12" hidden="1">
      <c r="A15" s="1276" t="s">
        <v>1579</v>
      </c>
      <c r="B15" s="1258"/>
      <c r="C15" s="1300"/>
      <c r="D15" s="1263"/>
      <c r="E15" s="1258"/>
      <c r="G15" s="1271"/>
      <c r="H15" s="1271"/>
      <c r="I15" s="1271"/>
      <c r="J15" s="1271"/>
      <c r="K15" s="1271"/>
      <c r="L15" s="1279"/>
      <c r="M15" s="1279"/>
      <c r="N15" s="1279"/>
      <c r="O15" s="1279"/>
      <c r="P15" s="1279"/>
      <c r="Q15" s="1279"/>
      <c r="R15" s="1279"/>
      <c r="S15" s="1279"/>
      <c r="T15" s="1273"/>
      <c r="U15" s="1273"/>
      <c r="V15" s="1273"/>
      <c r="W15" s="1273"/>
      <c r="X15" s="1273"/>
      <c r="Y15" s="1273"/>
      <c r="Z15" s="1273"/>
      <c r="AC15" s="1274"/>
      <c r="AE15" s="1269" t="s">
        <v>1580</v>
      </c>
      <c r="AF15" s="1269" t="s">
        <v>1581</v>
      </c>
      <c r="AG15" s="1269" t="s">
        <v>1581</v>
      </c>
      <c r="AH15" s="1269" t="s">
        <v>1582</v>
      </c>
      <c r="AJ15" s="1273"/>
      <c r="AK15" s="1273"/>
      <c r="AL15" s="1273"/>
    </row>
    <row s="1270" customFormat="1" customHeight="1" ht="12" hidden="1">
      <c r="A16" s="1308" t="s">
        <v>1583</v>
      </c>
      <c r="B16" s="1258"/>
      <c r="C16" s="1300"/>
      <c r="D16" s="1263"/>
      <c r="E16" s="1258"/>
      <c r="G16" s="1271"/>
      <c r="H16" s="1271"/>
      <c r="I16" s="1271"/>
      <c r="J16" s="1271"/>
      <c r="K16" s="1271"/>
      <c r="L16" s="1279"/>
      <c r="M16" s="1279"/>
      <c r="N16" s="1279"/>
      <c r="O16" s="1279"/>
      <c r="P16" s="1279"/>
      <c r="Q16" s="1279"/>
      <c r="R16" s="1279"/>
      <c r="S16" s="1279"/>
      <c r="T16" s="1273"/>
      <c r="U16" s="1273"/>
      <c r="V16" s="1273"/>
      <c r="W16" s="1273"/>
      <c r="X16" s="1273"/>
      <c r="Y16" s="1273"/>
      <c r="Z16" s="1273"/>
      <c r="AC16" s="1274"/>
      <c r="AJ16" s="1273"/>
      <c r="AK16" s="1273"/>
      <c r="AL16" s="1273"/>
      <c r="AM16" s="1269" t="s">
        <v>1584</v>
      </c>
      <c r="AN16" s="1269" t="s">
        <v>1585</v>
      </c>
      <c r="AO16" s="1269" t="s">
        <v>1586</v>
      </c>
      <c r="AR16" s="1308"/>
    </row>
    <row s="228" customFormat="1" customHeight="1" ht="12" hidden="1">
      <c r="A17" s="1186"/>
      <c r="B17" s="788"/>
      <c r="C17" s="1300"/>
      <c r="D17" s="1263"/>
      <c r="E17" s="797"/>
      <c r="G17" s="230"/>
      <c r="H17" s="230"/>
      <c r="I17" s="230"/>
      <c r="J17" s="230"/>
      <c r="K17" s="230"/>
      <c r="L17" s="1279"/>
      <c r="M17" s="1279"/>
      <c r="N17" s="1279"/>
      <c r="O17" s="1279"/>
      <c r="P17" s="1279"/>
      <c r="Q17" s="1279"/>
      <c r="R17" s="1279"/>
      <c r="S17" s="1279"/>
      <c r="T17" s="175"/>
      <c r="U17" s="175"/>
      <c r="V17" s="175"/>
      <c r="W17" s="175"/>
      <c r="X17" s="175"/>
      <c r="Y17" s="175"/>
      <c r="Z17" s="175"/>
      <c r="AC17" s="232"/>
      <c r="AJ17" s="228"/>
      <c r="AK17" s="228"/>
      <c r="AL17" s="228"/>
      <c r="AR17" s="1233"/>
      <c r="AS17" s="1269"/>
    </row>
    <row s="228" customFormat="1" customHeight="1" ht="12" hidden="1">
      <c r="A18" s="1186"/>
      <c r="B18" s="788"/>
      <c r="C18" s="1300"/>
      <c r="D18" s="1263"/>
      <c r="E18" s="797"/>
      <c r="G18" s="230"/>
      <c r="H18" s="230"/>
      <c r="I18" s="230"/>
      <c r="J18" s="230"/>
      <c r="K18" s="230"/>
      <c r="L18" s="1279"/>
      <c r="M18" s="1279"/>
      <c r="N18" s="1279"/>
      <c r="O18" s="1279"/>
      <c r="P18" s="1279"/>
      <c r="Q18" s="1279"/>
      <c r="R18" s="1279"/>
      <c r="S18" s="1279"/>
      <c r="T18" s="175"/>
      <c r="U18" s="175"/>
      <c r="V18" s="175"/>
      <c r="W18" s="175"/>
      <c r="X18" s="175"/>
      <c r="Y18" s="175"/>
      <c r="Z18" s="175"/>
      <c r="AC18" s="232"/>
      <c r="AJ18" s="228"/>
      <c r="AK18" s="228"/>
      <c r="AL18" s="228"/>
      <c r="AR18" s="1233"/>
      <c r="AS18" s="1269"/>
    </row>
    <row s="228" customFormat="1" customHeight="1" ht="12" hidden="1">
      <c r="A19" s="1186"/>
      <c r="B19" s="788"/>
      <c r="C19" s="1300"/>
      <c r="D19" s="1263"/>
      <c r="E19" s="797"/>
      <c r="G19" s="230"/>
      <c r="H19" s="230"/>
      <c r="I19" s="230"/>
      <c r="J19" s="230"/>
      <c r="K19" s="230"/>
      <c r="L19" s="1279"/>
      <c r="M19" s="1279"/>
      <c r="N19" s="1279"/>
      <c r="O19" s="1279"/>
      <c r="P19" s="1279"/>
      <c r="Q19" s="1279"/>
      <c r="R19" s="1279"/>
      <c r="S19" s="1279"/>
      <c r="T19" s="175"/>
      <c r="U19" s="175"/>
      <c r="V19" s="175"/>
      <c r="W19" s="175"/>
      <c r="X19" s="175"/>
      <c r="Y19" s="175"/>
      <c r="Z19" s="175"/>
      <c r="AC19" s="232"/>
      <c r="AJ19" s="228"/>
      <c r="AK19" s="228"/>
      <c r="AL19" s="228"/>
      <c r="AR19" s="1233"/>
      <c r="AS19" s="1269"/>
    </row>
    <row s="228" customFormat="1" customHeight="1" ht="12" hidden="1">
      <c r="A20" s="1186"/>
      <c r="B20" s="788"/>
      <c r="C20" s="1300"/>
      <c r="D20" s="1263"/>
      <c r="E20" s="797"/>
      <c r="G20" s="230"/>
      <c r="H20" s="230"/>
      <c r="I20" s="230"/>
      <c r="J20" s="230"/>
      <c r="K20" s="230"/>
      <c r="L20" s="1279"/>
      <c r="M20" s="1279"/>
      <c r="N20" s="1279"/>
      <c r="O20" s="1279"/>
      <c r="P20" s="1279"/>
      <c r="Q20" s="1279"/>
      <c r="R20" s="1279"/>
      <c r="S20" s="1279"/>
      <c r="T20" s="175"/>
      <c r="U20" s="175"/>
      <c r="V20" s="175"/>
      <c r="W20" s="175"/>
      <c r="X20" s="175"/>
      <c r="Y20" s="175"/>
      <c r="Z20" s="175"/>
      <c r="AC20" s="232"/>
      <c r="AJ20" s="228"/>
      <c r="AK20" s="228"/>
      <c r="AL20" s="228"/>
      <c r="AR20" s="1233"/>
      <c r="AS20" s="1269"/>
    </row>
    <row customHeight="1" ht="14.625">
      <c r="E21" s="797">
        <v>15</v>
      </c>
      <c r="AA21" s="820"/>
      <c r="AB21" s="230"/>
      <c r="AC21" s="403" cm="1" t="str">
        <f t="array" ref="AC21:AC21">tpl_title</f>
        <v>Кемеровская область / 2026 / ООО "ВЕЛЕС" (ИНН:4212036655, КПП:421201001) / ДПР: 2016-2025</v>
      </c>
      <c r="AD21" s="230"/>
      <c r="AJ21" s="230"/>
      <c r="AK21" s="230"/>
      <c r="AL21" s="230"/>
    </row>
    <row s="1535" customFormat="1" customHeight="1" ht="19.5975">
      <c r="A22" s="988"/>
      <c r="B22" s="788"/>
      <c r="C22" s="1304"/>
      <c r="D22" s="1263"/>
      <c r="E22" s="797">
        <v>20.1</v>
      </c>
      <c r="F22" s="183"/>
      <c r="L22" s="1279"/>
      <c r="M22" s="1279"/>
      <c r="N22" s="1279"/>
      <c r="O22" s="1279"/>
      <c r="P22" s="1279"/>
      <c r="Q22" s="1279"/>
      <c r="R22" s="1279"/>
      <c r="S22" s="1279"/>
      <c r="T22" s="179"/>
      <c r="U22" s="179"/>
      <c r="V22" s="179"/>
      <c r="W22" s="179"/>
      <c r="X22" s="179"/>
      <c r="Y22" s="179"/>
      <c r="Z22" s="179"/>
      <c r="AB22" s="392" t="s">
        <v>65</v>
      </c>
      <c r="AC22" s="329"/>
      <c r="AD22" s="329"/>
      <c r="AE22" s="329"/>
      <c r="AF22" s="329"/>
      <c r="AG22" s="329"/>
      <c r="AH22" s="329"/>
      <c r="AI22" s="329"/>
      <c r="AJ22" s="329"/>
      <c r="AK22" s="329"/>
      <c r="AL22" s="329"/>
      <c r="AM22" s="329"/>
      <c r="AN22" s="329"/>
      <c r="AO22" s="329"/>
      <c r="AR22" s="1223"/>
      <c r="AS22" s="1279"/>
    </row>
    <row s="1535" customFormat="1" customHeight="1" ht="9.945">
      <c r="A23" s="988"/>
      <c r="B23" s="788"/>
      <c r="C23" s="1304"/>
      <c r="D23" s="1263"/>
      <c r="E23" s="797">
        <v>10.2</v>
      </c>
      <c r="F23" s="183"/>
      <c r="L23" s="1279"/>
      <c r="M23" s="1279"/>
      <c r="N23" s="1279"/>
      <c r="O23" s="1279"/>
      <c r="P23" s="1279"/>
      <c r="Q23" s="1279"/>
      <c r="R23" s="1279"/>
      <c r="S23" s="1279"/>
      <c r="T23" s="179"/>
      <c r="U23" s="179"/>
      <c r="V23" s="179"/>
      <c r="W23" s="179"/>
      <c r="X23" s="179"/>
      <c r="Y23" s="179"/>
      <c r="Z23" s="179"/>
      <c r="AB23" s="231"/>
      <c r="AC23" s="231"/>
      <c r="AD23" s="231"/>
      <c r="AE23" s="231"/>
      <c r="AF23" s="231"/>
      <c r="AG23" s="231"/>
      <c r="AH23" s="231"/>
      <c r="AI23" s="231"/>
      <c r="AJ23" s="231"/>
      <c r="AK23" s="231"/>
      <c r="AL23" s="231"/>
      <c r="AM23" s="231"/>
      <c r="AN23" s="231"/>
      <c r="AO23" s="231"/>
      <c r="AR23" s="1223"/>
      <c r="AS23" s="1279"/>
    </row>
    <row s="229" customFormat="1" customHeight="1" ht="24.180000000000003">
      <c r="A24" s="332"/>
      <c r="B24" s="792"/>
      <c r="C24" s="1300"/>
      <c r="D24" s="1293"/>
      <c r="E24" s="803">
        <v>24.8</v>
      </c>
      <c r="F24" s="232"/>
      <c r="L24" s="1296"/>
      <c r="M24" s="1296"/>
      <c r="N24" s="1296"/>
      <c r="O24" s="1296"/>
      <c r="P24" s="1296"/>
      <c r="Q24" s="1296"/>
      <c r="R24" s="1296"/>
      <c r="S24" s="1296"/>
      <c r="T24" s="171"/>
      <c r="U24" s="171"/>
      <c r="V24" s="171"/>
      <c r="W24" s="171"/>
      <c r="X24" s="171"/>
      <c r="Y24" s="171"/>
      <c r="Z24" s="171"/>
      <c r="AB24" s="1547" t="s">
        <v>386</v>
      </c>
      <c r="AC24" s="1547" t="s">
        <v>440</v>
      </c>
      <c r="AD24" s="1547" t="s">
        <v>441</v>
      </c>
      <c r="AE24" s="261" t="str">
        <f>god-2&amp;" год"</f>
        <v>2024 год</v>
      </c>
      <c r="AF24" s="1362" t="str">
        <f>god-2&amp;" год"</f>
        <v>2024 год</v>
      </c>
      <c r="AG24" s="261" t="str">
        <f>god-2&amp;" год"</f>
        <v>2024 год</v>
      </c>
      <c r="AH24" s="261" t="str">
        <f>god-2&amp;" год"</f>
        <v>2024 год</v>
      </c>
      <c r="AI24" s="169" t="str">
        <f>god-1&amp;" год"</f>
        <v>2025 год</v>
      </c>
      <c r="AJ24" s="1356" t="str">
        <f>god&amp;" год"</f>
        <v>2026 год</v>
      </c>
      <c r="AK24" s="170" t="str">
        <f>god&amp;" год"</f>
        <v>2026 год</v>
      </c>
      <c r="AL24" s="170" t="str">
        <f>god&amp;" год"</f>
        <v>2026 год</v>
      </c>
      <c r="AM24" s="1546" t="s">
        <v>1290</v>
      </c>
      <c r="AN24" s="1546" t="s">
        <v>595</v>
      </c>
      <c r="AO24" s="1546" t="s">
        <v>1291</v>
      </c>
      <c r="AR24" s="1233"/>
      <c r="AS24" s="1281"/>
    </row>
    <row s="229" customFormat="1" customHeight="1" ht="44.655">
      <c r="A25" s="332"/>
      <c r="B25" s="792"/>
      <c r="C25" s="1300"/>
      <c r="D25" s="1293"/>
      <c r="E25" s="803">
        <v>45.8</v>
      </c>
      <c r="F25" s="232"/>
      <c r="L25" s="1296"/>
      <c r="M25" s="1296"/>
      <c r="N25" s="1296"/>
      <c r="O25" s="1296"/>
      <c r="P25" s="1296"/>
      <c r="Q25" s="1296"/>
      <c r="R25" s="1296"/>
      <c r="S25" s="1296"/>
      <c r="T25" s="171"/>
      <c r="U25" s="171"/>
      <c r="V25" s="171"/>
      <c r="W25" s="171"/>
      <c r="X25" s="171"/>
      <c r="Y25" s="171"/>
      <c r="Z25" s="171"/>
      <c r="AB25" s="1547"/>
      <c r="AC25" s="1547"/>
      <c r="AD25" s="1547"/>
      <c r="AE25" s="169" t="s">
        <v>402</v>
      </c>
      <c r="AF25" s="1358" t="s">
        <v>596</v>
      </c>
      <c r="AG25" s="169" t="s">
        <v>597</v>
      </c>
      <c r="AH25" s="261" t="s">
        <v>1292</v>
      </c>
      <c r="AI25" s="169" t="s">
        <v>402</v>
      </c>
      <c r="AJ25" s="1357" t="s">
        <v>403</v>
      </c>
      <c r="AK25" s="413" t="s">
        <v>402</v>
      </c>
      <c r="AL25" s="261" t="s">
        <v>1293</v>
      </c>
      <c r="AM25" s="1546"/>
      <c r="AN25" s="1546"/>
      <c r="AO25" s="1546"/>
      <c r="AR25" s="1233"/>
      <c r="AS25" s="1281"/>
    </row>
    <row s="229" customFormat="1" customHeight="1" ht="14.25" hidden="1">
      <c r="A26" s="332"/>
      <c r="B26" s="792"/>
      <c r="C26" s="1300"/>
      <c r="D26" s="1293"/>
      <c r="E26" s="803">
        <v>0</v>
      </c>
      <c r="F26" s="232"/>
      <c r="L26" s="1296"/>
      <c r="M26" s="1296"/>
      <c r="N26" s="1296"/>
      <c r="O26" s="1296"/>
      <c r="P26" s="1296"/>
      <c r="Q26" s="1296"/>
      <c r="R26" s="1296"/>
      <c r="S26" s="1296"/>
      <c r="T26" s="171"/>
      <c r="U26" s="171"/>
      <c r="V26" s="171"/>
      <c r="W26" s="171"/>
      <c r="X26" s="171"/>
      <c r="Y26" s="171"/>
      <c r="Z26" s="171"/>
      <c r="AB26" s="712"/>
      <c r="AC26" s="712"/>
      <c r="AD26" s="712"/>
      <c r="AE26" s="171"/>
      <c r="AF26" s="171"/>
      <c r="AG26" s="171"/>
      <c r="AH26" s="232"/>
      <c r="AI26" s="171"/>
      <c r="AJ26" s="171"/>
      <c r="AK26" s="171"/>
      <c r="AL26" s="232"/>
      <c r="AM26" s="232"/>
      <c r="AN26" s="232"/>
      <c r="AO26" s="232"/>
      <c r="AR26" s="1233"/>
      <c r="AS26" s="1281"/>
    </row>
    <row s="220" customFormat="1" customHeight="1" ht="16.672500000000003" hidden="1">
      <c r="C27" s="1305"/>
      <c r="D27" s="1255"/>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L27" s="1295"/>
      <c r="M27" s="1295"/>
      <c r="N27" s="1295"/>
      <c r="O27" s="1295"/>
      <c r="P27" s="1295"/>
      <c r="Q27" s="1295"/>
      <c r="R27" s="1295"/>
      <c r="S27" s="1295"/>
      <c r="T27" s="808">
        <f>X27&gt;0</f>
        <v>0</v>
      </c>
      <c r="V27" s="175" t="s">
        <v>310</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R27" s="1206"/>
      <c r="AS27" s="1283"/>
    </row>
    <row customHeight="1" ht="34.125" hidden="1">
      <c r="C28" s="1301" t="s">
        <v>1800</v>
      </c>
      <c r="D28" s="1260" t="s">
        <v>1801</v>
      </c>
      <c r="E28" s="797">
        <v>35</v>
      </c>
      <c r="F28" s="922" cm="1" t="str">
        <f t="array" ref="F28:F28">OFFSET(G28,-1,-1)</f>
        <v>0</v>
      </c>
      <c r="L28" s="1289"/>
      <c r="M28" s="1289" cm="1" t="str">
        <f t="array" ref="M28:M28">INDEX('Общие сведения'!$N$169:$N$202,MATCH($F27,'Общие сведения'!$Z$169:$Z$202,0)+1)</f>
        <v>0</v>
      </c>
      <c r="N28" s="1289"/>
      <c r="O28" s="1289"/>
      <c r="P28" s="1289"/>
      <c r="Q28" s="1289"/>
      <c r="R28" s="1289"/>
      <c r="S28" s="1289"/>
      <c r="T28" s="808" cm="1" t="str">
        <f t="array" ref="T28:T28">T27</f>
        <v>false</v>
      </c>
      <c r="AB28" s="989">
        <v>1</v>
      </c>
      <c r="AC28" s="990" t="s">
        <v>1802</v>
      </c>
      <c r="AD28" s="991" t="s">
        <v>1023</v>
      </c>
      <c r="AE28" s="615">
        <f>AE29+AE30+AE31+AE34+AE35+AE36+AE37+AE38+AE40+AE41+AE42+AE43+AE44+AE45+AE46+AE47+AE48+AE49</f>
        <v>0</v>
      </c>
      <c r="AF28" s="615">
        <f>AF29+AF30+AF31+AF34+AF35+AF36+AF37+AF38+AF40+AF41+AF42+AF43+AF44+AF45+AF46+AF47+AF48+AF49</f>
        <v>0</v>
      </c>
      <c r="AG28" s="615">
        <f>AG29+AG30+AG31+AG34+AG35+AG36+AG37+AG38+AG40+AG41+AG42+AG43+AG44+AG45+AG46+AG47+AG48+AG49</f>
        <v>0</v>
      </c>
      <c r="AH28" s="310">
        <f>AG28-AF28</f>
        <v>0</v>
      </c>
      <c r="AI28" s="615">
        <f>AI29+AI30+AI31+AI34+AI35+AI36+AI37+AI38+AI40+AI41+AI42+AI43+AI44+AI45+AI46+AI47+AI48+AI49</f>
        <v>0</v>
      </c>
      <c r="AJ28" s="615">
        <f>AJ29+AJ30+AJ31+AJ34+AJ35+AJ36+AJ37+AJ38+AJ40+AJ41+AJ42+AJ43+AJ44+AJ45+AJ46+AJ47+AJ48+AJ49</f>
        <v>0</v>
      </c>
      <c r="AK28" s="615">
        <f>AK29+AK30+AK31+AK34+AK35+AK36+AK37+AK38+AK40+AK41+AK42+AK43+AK44+AK45+AK46+AK47+AK48+AK49</f>
        <v>0</v>
      </c>
      <c r="AL28" s="310">
        <f>IF(AI28=0,0,(AK28-AI28)/AI28*100)</f>
        <v>0</v>
      </c>
      <c r="AM28" s="73"/>
      <c r="AN28" s="73"/>
      <c r="AO28" s="73"/>
      <c r="AR28" s="1233" t="s">
        <v>1803</v>
      </c>
      <c r="AS28" s="1271"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1" t="s">
        <v>1800</v>
      </c>
      <c r="D29" s="1260" t="s">
        <v>1801</v>
      </c>
      <c r="E29" s="797">
        <v>17.1</v>
      </c>
      <c r="F29" s="922" cm="1" t="str">
        <f t="array" ref="F29:F29">OFFSET(G29,-1,-1)</f>
        <v>0</v>
      </c>
      <c r="L29" s="1289" t="s">
        <v>1804</v>
      </c>
      <c r="M29" s="1287" cm="1" t="str">
        <f t="array" ref="M29:M29">OFFSET(L29,-1,1)</f>
        <v>0</v>
      </c>
      <c r="N29" s="1289"/>
      <c r="O29" s="1289"/>
      <c r="P29" s="1289"/>
      <c r="Q29" s="1289"/>
      <c r="R29" s="1289"/>
      <c r="S29" s="1289"/>
      <c r="T29" s="808" cm="1" t="str">
        <f t="array" ref="T29:T29">T28</f>
        <v>false</v>
      </c>
      <c r="AB29" s="992" t="s">
        <v>449</v>
      </c>
      <c r="AC29" s="993" t="s">
        <v>1805</v>
      </c>
      <c r="AD29" s="994" t="s">
        <v>1023</v>
      </c>
      <c r="AE29" s="124"/>
      <c r="AF29" s="124"/>
      <c r="AG29" s="124"/>
      <c r="AH29" s="310">
        <f>AG29-AF29</f>
        <v>0</v>
      </c>
      <c r="AI29" s="124"/>
      <c r="AJ29" s="1956"/>
      <c r="AK29" s="1956"/>
      <c r="AL29" s="310">
        <f>IF(AI29=0,0,(AK29-AI29)/AI29*100)</f>
        <v>0</v>
      </c>
      <c r="AM29" s="73"/>
      <c r="AN29" s="73"/>
      <c r="AO29" s="73"/>
      <c r="AR29" s="1233" t="s">
        <v>1298</v>
      </c>
      <c r="AS29" s="1271"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1" t="s">
        <v>1800</v>
      </c>
      <c r="D30" s="1260" t="s">
        <v>1801</v>
      </c>
      <c r="E30" s="797">
        <v>26.3</v>
      </c>
      <c r="F30" s="922" cm="1" t="str">
        <f t="array" ref="F30:F30">OFFSET(G30,-1,-1)</f>
        <v>0</v>
      </c>
      <c r="G30" s="193" t="s">
        <v>1387</v>
      </c>
      <c r="L30" s="1289" t="s">
        <v>1806</v>
      </c>
      <c r="M30" s="1287" cm="1" t="str">
        <f t="array" ref="M30:M30">OFFSET(L30,-1,1)</f>
        <v>0</v>
      </c>
      <c r="N30" s="1289"/>
      <c r="O30" s="1289"/>
      <c r="P30" s="1289"/>
      <c r="Q30" s="1289"/>
      <c r="R30" s="1289"/>
      <c r="S30" s="1289"/>
      <c r="T30" s="808" cm="1" t="str">
        <f t="array" ref="T30:T30">T29</f>
        <v>false</v>
      </c>
      <c r="AB30" s="992" t="s">
        <v>935</v>
      </c>
      <c r="AC30" s="993" t="s">
        <v>1388</v>
      </c>
      <c r="AD30" s="994" t="s">
        <v>1023</v>
      </c>
      <c r="AE30" s="310">
        <f>_xlfn.SUMIFS('Топливо 4.4'!AH$27:AH$275,'Топливо 4.4'!$F$27:$F$275,$F30,'Топливо 4.4'!$G$27:$G$275,$G30)</f>
        <v>0</v>
      </c>
      <c r="AF30" s="310">
        <f>_xlfn.SUMIFS('Топливо 4.4'!AI$27:AI$275,'Топливо 4.4'!$F$27:$F$275,$F30,'Топливо 4.4'!$G$27:$G$275,$G30)</f>
        <v>0</v>
      </c>
      <c r="AG30" s="310">
        <f>_xlfn.SUMIFS('Топливо 4.4'!AJ$27:AJ$275,'Топливо 4.4'!$F$27:$F$275,$F30,'Топливо 4.4'!$G$27:$G$275,$G30)</f>
        <v>0</v>
      </c>
      <c r="AH30" s="310">
        <f>AG30-AF30</f>
        <v>0</v>
      </c>
      <c r="AI30" s="310">
        <f>_xlfn.SUMIFS('Топливо 4.4'!AK$27:AK$275,'Топливо 4.4'!$F$27:$F$275,$F30,'Топливо 4.4'!$G$27:$G$275,$G30)</f>
        <v>0</v>
      </c>
      <c r="AJ30" s="310">
        <f>_xlfn.SUMIFS('Топливо 4.4'!AL$27:AL$275,'Топливо 4.4'!$F$27:$F$275,$F30,'Топливо 4.4'!$G$27:$G$275,$G30)</f>
        <v>0</v>
      </c>
      <c r="AK30" s="310">
        <f>_xlfn.SUMIFS('Топливо 4.4'!BP$27:BP$275,'Топливо 4.4'!$F$27:$F$275,$F30,'Топливо 4.4'!$G$27:$G$275,$G30)</f>
        <v>0</v>
      </c>
      <c r="AL30" s="310">
        <f>IF(AI30=0,0,(AK30-AI30)/AI30*100)</f>
        <v>0</v>
      </c>
      <c r="AM30" s="73"/>
      <c r="AN30" s="73"/>
      <c r="AO30" s="73"/>
      <c r="AR30" s="1233" t="s">
        <v>1382</v>
      </c>
      <c r="AS30" s="1271"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1" t="s">
        <v>1800</v>
      </c>
      <c r="D31" s="1260" t="s">
        <v>1801</v>
      </c>
      <c r="E31" s="797">
        <v>17.1</v>
      </c>
      <c r="F31" s="922" cm="1" t="str">
        <f t="array" ref="F31:F31">OFFSET(G31,-1,-1)</f>
        <v>0</v>
      </c>
      <c r="L31" s="1289" t="s">
        <v>1807</v>
      </c>
      <c r="M31" s="1287" cm="1" t="str">
        <f t="array" ref="M31:M31">OFFSET(L31,-1,1)</f>
        <v>0</v>
      </c>
      <c r="N31" s="1289"/>
      <c r="O31" s="1289"/>
      <c r="P31" s="1289"/>
      <c r="Q31" s="1289"/>
      <c r="R31" s="1289"/>
      <c r="S31" s="1289"/>
      <c r="T31" s="808" cm="1" t="str">
        <f t="array" ref="T31:T31">T30</f>
        <v>false</v>
      </c>
      <c r="AB31" s="992" t="s">
        <v>937</v>
      </c>
      <c r="AC31" s="993" t="s">
        <v>39</v>
      </c>
      <c r="AD31" s="994" t="s">
        <v>1023</v>
      </c>
      <c r="AE31" s="615">
        <f>SUM(AE32:AE33)</f>
        <v>0</v>
      </c>
      <c r="AF31" s="615">
        <f>SUM(AF32:AF33)</f>
        <v>0</v>
      </c>
      <c r="AG31" s="615">
        <f>SUM(AG32:AG33)</f>
        <v>0</v>
      </c>
      <c r="AH31" s="310">
        <f>AG31-AF31</f>
        <v>0</v>
      </c>
      <c r="AI31" s="615">
        <f>SUM(AI32:AI33)</f>
        <v>0</v>
      </c>
      <c r="AJ31" s="615">
        <f>SUM(AJ32:AJ33)</f>
        <v>0</v>
      </c>
      <c r="AK31" s="615">
        <f>SUM(AK32:AK33)</f>
        <v>0</v>
      </c>
      <c r="AL31" s="310">
        <f>IF(AI31=0,0,(AK31-AI31)/AI31*100)</f>
        <v>0</v>
      </c>
      <c r="AM31" s="73"/>
      <c r="AN31" s="73"/>
      <c r="AO31" s="73"/>
      <c r="AR31" s="1233" t="s">
        <v>1808</v>
      </c>
      <c r="AS31" s="1271"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1" t="s">
        <v>1800</v>
      </c>
      <c r="D32" s="1260" t="s">
        <v>1801</v>
      </c>
      <c r="E32" s="797">
        <v>17.1</v>
      </c>
      <c r="F32" s="922" cm="1" t="str">
        <f t="array" ref="F32:F32">OFFSET(G32,-1,-1)</f>
        <v>0</v>
      </c>
      <c r="G32" s="193" t="s">
        <v>929</v>
      </c>
      <c r="L32" s="1289" t="s">
        <v>1809</v>
      </c>
      <c r="M32" s="1287" cm="1" t="str">
        <f t="array" ref="M32:M32">OFFSET(L32,-1,1)</f>
        <v>0</v>
      </c>
      <c r="N32" s="1289"/>
      <c r="O32" s="1289"/>
      <c r="P32" s="1289"/>
      <c r="Q32" s="1289"/>
      <c r="R32" s="1289"/>
      <c r="S32" s="1289"/>
      <c r="T32" s="808" cm="1" t="str">
        <f t="array" ref="T32:T32">T31</f>
        <v>false</v>
      </c>
      <c r="AB32" s="992" t="s">
        <v>1169</v>
      </c>
      <c r="AC32" s="685" t="s">
        <v>1810</v>
      </c>
      <c r="AD32" s="994" t="s">
        <v>1023</v>
      </c>
      <c r="AE32" s="310">
        <f>_xlfn.SUMIFS(ЭнергоРесурсы!AE$26:AE$112,ЭнергоРесурсы!$F$26:$F$112,$F32,ЭнергоРесурсы!$G$26:$G$112,$G32)</f>
        <v>0</v>
      </c>
      <c r="AF32" s="310">
        <f>_xlfn.SUMIFS(ЭнергоРесурсы!AF$26:AF$112,ЭнергоРесурсы!$F$26:$F$112,$F32,ЭнергоРесурсы!$G$26:$G$112,$G32)</f>
        <v>0</v>
      </c>
      <c r="AG32" s="310">
        <f>_xlfn.SUMIFS(ЭнергоРесурсы!AG$26:AG$112,ЭнергоРесурсы!$F$26:$F$112,$F32,ЭнергоРесурсы!$G$26:$G$112,$G32)</f>
        <v>0</v>
      </c>
      <c r="AH32" s="310">
        <f>AG32-AF32</f>
        <v>0</v>
      </c>
      <c r="AI32" s="310">
        <f>_xlfn.SUMIFS(ЭнергоРесурсы!AH$26:AH$112,ЭнергоРесурсы!$F$26:$F$112,$F32,ЭнергоРесурсы!$G$26:$G$112,$G32)</f>
        <v>0</v>
      </c>
      <c r="AJ32" s="310">
        <f>_xlfn.SUMIFS(ЭнергоРесурсы!AI$26:AI$112,ЭнергоРесурсы!$F$26:$F$112,$F32,ЭнергоРесурсы!$G$26:$G$112,$G32)</f>
        <v>0</v>
      </c>
      <c r="AK32" s="310">
        <f>_xlfn.SUMIFS(ЭнергоРесурсы!AS$26:AS$112,ЭнергоРесурсы!$F$26:$F$112,$F32,ЭнергоРесурсы!$G$26:$G$112,$G32)</f>
        <v>0</v>
      </c>
      <c r="AL32" s="310">
        <f>IF(AI32=0,0,(AK32-AI32)/AI32*100)</f>
        <v>0</v>
      </c>
      <c r="AM32" s="73"/>
      <c r="AN32" s="73"/>
      <c r="AO32" s="73"/>
      <c r="AR32" s="1233" t="s">
        <v>1811</v>
      </c>
      <c r="AS32" s="1271"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1" t="s">
        <v>1800</v>
      </c>
      <c r="D33" s="1260" t="s">
        <v>1801</v>
      </c>
      <c r="E33" s="797">
        <v>17.1</v>
      </c>
      <c r="F33" s="922" cm="1" t="str">
        <f t="array" ref="F33:F33">OFFSET(G33,-1,-1)</f>
        <v>0</v>
      </c>
      <c r="G33" s="193" t="s">
        <v>964</v>
      </c>
      <c r="L33" s="1289" t="s">
        <v>1812</v>
      </c>
      <c r="M33" s="1287" cm="1" t="str">
        <f t="array" ref="M33:M33">OFFSET(L33,-1,1)</f>
        <v>0</v>
      </c>
      <c r="N33" s="1289"/>
      <c r="O33" s="1289"/>
      <c r="P33" s="1289"/>
      <c r="Q33" s="1289"/>
      <c r="R33" s="1289"/>
      <c r="S33" s="1289"/>
      <c r="T33" s="808" cm="1" t="str">
        <f t="array" ref="T33:T33">T32</f>
        <v>false</v>
      </c>
      <c r="AB33" s="992" t="s">
        <v>1173</v>
      </c>
      <c r="AC33" s="685" t="s">
        <v>1813</v>
      </c>
      <c r="AD33" s="994" t="s">
        <v>1023</v>
      </c>
      <c r="AE33" s="310">
        <f>_xlfn.SUMIFS(ЭнергоРесурсы!AE$26:AE$112,ЭнергоРесурсы!$F$26:$F$112,$F33,ЭнергоРесурсы!$G$26:$G$112,$G33)</f>
        <v>0</v>
      </c>
      <c r="AF33" s="310">
        <f>_xlfn.SUMIFS(ЭнергоРесурсы!AF$26:AF$112,ЭнергоРесурсы!$F$26:$F$112,$F33,ЭнергоРесурсы!$G$26:$G$112,$G33)</f>
        <v>0</v>
      </c>
      <c r="AG33" s="310">
        <f>_xlfn.SUMIFS(ЭнергоРесурсы!AG$26:AG$112,ЭнергоРесурсы!$F$26:$F$112,$F33,ЭнергоРесурсы!$G$26:$G$112,$G33)</f>
        <v>0</v>
      </c>
      <c r="AH33" s="310">
        <f>AG33-AF33</f>
        <v>0</v>
      </c>
      <c r="AI33" s="310">
        <f>_xlfn.SUMIFS(ЭнергоРесурсы!AH$26:AH$112,ЭнергоРесурсы!$F$26:$F$112,$F33,ЭнергоРесурсы!$G$26:$G$112,$G33)</f>
        <v>0</v>
      </c>
      <c r="AJ33" s="310">
        <f>_xlfn.SUMIFS(ЭнергоРесурсы!AI$26:AI$112,ЭнергоРесурсы!$F$26:$F$112,$F33,ЭнергоРесурсы!$G$26:$G$112,$G33)</f>
        <v>0</v>
      </c>
      <c r="AK33" s="310">
        <f>_xlfn.SUMIFS(ЭнергоРесурсы!AS$26:AS$112,ЭнергоРесурсы!$F$26:$F$112,$F33,ЭнергоРесурсы!$G$26:$G$112,$G33)</f>
        <v>0</v>
      </c>
      <c r="AL33" s="310">
        <f>IF(AI33=0,0,(AK33-AI33)/AI33*100)</f>
        <v>0</v>
      </c>
      <c r="AM33" s="73"/>
      <c r="AN33" s="73"/>
      <c r="AO33" s="73"/>
      <c r="AR33" s="1233" t="s">
        <v>1814</v>
      </c>
      <c r="AS33" s="1271"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1" t="s">
        <v>1800</v>
      </c>
      <c r="D34" s="1260" t="s">
        <v>1801</v>
      </c>
      <c r="E34" s="797">
        <v>17.1</v>
      </c>
      <c r="F34" s="922" cm="1" t="str">
        <f t="array" ref="F34:F34">OFFSET(G34,-1,-1)</f>
        <v>0</v>
      </c>
      <c r="G34" s="193" t="s">
        <v>996</v>
      </c>
      <c r="L34" s="1289" t="s">
        <v>1815</v>
      </c>
      <c r="M34" s="1287" cm="1" t="str">
        <f t="array" ref="M34:M34">OFFSET(L34,-1,1)</f>
        <v>0</v>
      </c>
      <c r="N34" s="1289"/>
      <c r="O34" s="1289"/>
      <c r="P34" s="1289"/>
      <c r="Q34" s="1289"/>
      <c r="R34" s="1289"/>
      <c r="S34" s="1289"/>
      <c r="T34" s="808" cm="1" t="str">
        <f t="array" ref="T34:T34">T33</f>
        <v>false</v>
      </c>
      <c r="AB34" s="992" t="s">
        <v>941</v>
      </c>
      <c r="AC34" s="993" t="s">
        <v>997</v>
      </c>
      <c r="AD34" s="994" t="s">
        <v>1023</v>
      </c>
      <c r="AE34" s="550">
        <f>_xlfn.SUMIFS('ХВС, ТН'!AE$26:AE$56,'ХВС, ТН'!$F$26:$F$56,$F34,'ХВС, ТН'!$G$26:$G$56,$G34)</f>
        <v>0</v>
      </c>
      <c r="AF34" s="550">
        <f>_xlfn.SUMIFS('ХВС, ТН'!AF$26:AF$56,'ХВС, ТН'!$F$26:$F$56,$F34,'ХВС, ТН'!$G$26:$G$56,$G34)</f>
        <v>0</v>
      </c>
      <c r="AG34" s="550">
        <f>_xlfn.SUMIFS('ХВС, ТН'!AG$26:AG$56,'ХВС, ТН'!$F$26:$F$56,$F34,'ХВС, ТН'!$G$26:$G$56,$G34)</f>
        <v>0</v>
      </c>
      <c r="AH34" s="310">
        <f>AG34-AF34</f>
        <v>0</v>
      </c>
      <c r="AI34" s="550">
        <f>_xlfn.SUMIFS('ХВС, ТН'!AH$26:AH$56,'ХВС, ТН'!$F$26:$F$56,$F34,'ХВС, ТН'!$G$26:$G$56,$G34)</f>
        <v>0</v>
      </c>
      <c r="AJ34" s="550">
        <f>_xlfn.SUMIFS('ХВС, ТН'!AI$26:AI$56,'ХВС, ТН'!$F$26:$F$56,$F34,'ХВС, ТН'!$G$26:$G$56,$G34)</f>
        <v>0</v>
      </c>
      <c r="AK34" s="550">
        <f>_xlfn.SUMIFS('ХВС, ТН'!AS$26:AS$56,'ХВС, ТН'!$F$26:$F$56,$F34,'ХВС, ТН'!$G$26:$G$56,$G34)</f>
        <v>0</v>
      </c>
      <c r="AL34" s="310">
        <f>IF(AI34=0,0,(AK34-AI34)/AI34*100)</f>
        <v>0</v>
      </c>
      <c r="AM34" s="73"/>
      <c r="AN34" s="73"/>
      <c r="AO34" s="73"/>
      <c r="AR34" s="1233" t="s">
        <v>1392</v>
      </c>
      <c r="AS34" s="1271"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1" t="s">
        <v>1800</v>
      </c>
      <c r="D35" s="1260" t="s">
        <v>1801</v>
      </c>
      <c r="E35" s="797">
        <v>17.1</v>
      </c>
      <c r="F35" s="922" cm="1" t="str">
        <f t="array" ref="F35:F35">OFFSET(G35,-1,-1)</f>
        <v>0</v>
      </c>
      <c r="G35" s="193" t="s">
        <v>1007</v>
      </c>
      <c r="L35" s="1289" t="s">
        <v>1816</v>
      </c>
      <c r="M35" s="1287" cm="1" t="str">
        <f t="array" ref="M35:M35">OFFSET(L35,-1,1)</f>
        <v>0</v>
      </c>
      <c r="N35" s="1289"/>
      <c r="O35" s="1289"/>
      <c r="P35" s="1289"/>
      <c r="Q35" s="1289"/>
      <c r="R35" s="1289"/>
      <c r="S35" s="1289"/>
      <c r="T35" s="808" cm="1" t="str">
        <f t="array" ref="T35:T35">T34</f>
        <v>false</v>
      </c>
      <c r="AB35" s="992" t="s">
        <v>1046</v>
      </c>
      <c r="AC35" s="993" t="s">
        <v>1008</v>
      </c>
      <c r="AD35" s="994" t="s">
        <v>1023</v>
      </c>
      <c r="AE35" s="550">
        <f>_xlfn.SUMIFS('ХВС, ТН'!AE$26:AE$56,'ХВС, ТН'!$F$26:$F$56,$F35,'ХВС, ТН'!$G$26:$G$56,$G35)</f>
        <v>0</v>
      </c>
      <c r="AF35" s="550">
        <f>_xlfn.SUMIFS('ХВС, ТН'!AF$26:AF$56,'ХВС, ТН'!$F$26:$F$56,$F35,'ХВС, ТН'!$G$26:$G$56,$G35)</f>
        <v>0</v>
      </c>
      <c r="AG35" s="550">
        <f>_xlfn.SUMIFS('ХВС, ТН'!AG$26:AG$56,'ХВС, ТН'!$F$26:$F$56,$F35,'ХВС, ТН'!$G$26:$G$56,$G35)</f>
        <v>0</v>
      </c>
      <c r="AH35" s="310">
        <f>AG35-AF35</f>
        <v>0</v>
      </c>
      <c r="AI35" s="550">
        <f>_xlfn.SUMIFS('ХВС, ТН'!AH$26:AH$56,'ХВС, ТН'!$F$26:$F$56,$F35,'ХВС, ТН'!$G$26:$G$56,$G35)</f>
        <v>0</v>
      </c>
      <c r="AJ35" s="550">
        <f>_xlfn.SUMIFS('ХВС, ТН'!AI$26:AI$56,'ХВС, ТН'!$F$26:$F$56,$F35,'ХВС, ТН'!$G$26:$G$56,$G35)</f>
        <v>0</v>
      </c>
      <c r="AK35" s="550">
        <f>_xlfn.SUMIFS('ХВС, ТН'!AS$26:AS$56,'ХВС, ТН'!$F$26:$F$56,$F35,'ХВС, ТН'!$G$26:$G$56,$G35)</f>
        <v>0</v>
      </c>
      <c r="AL35" s="310">
        <f>IF(AI35=0,0,(AK35-AI35)/AI35*100)</f>
        <v>0</v>
      </c>
      <c r="AM35" s="73"/>
      <c r="AN35" s="73"/>
      <c r="AO35" s="73"/>
      <c r="AR35" s="1233" t="s">
        <v>1393</v>
      </c>
      <c r="AS35" s="1271"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1" t="s">
        <v>1800</v>
      </c>
      <c r="D36" s="1260" t="s">
        <v>1801</v>
      </c>
      <c r="E36" s="797">
        <v>17.1</v>
      </c>
      <c r="F36" s="922" cm="1" t="str">
        <f t="array" ref="F36:F36">OFFSET(G36,-1,-1)</f>
        <v>0</v>
      </c>
      <c r="G36" s="193" t="s">
        <v>1133</v>
      </c>
      <c r="L36" s="1289" t="s">
        <v>1817</v>
      </c>
      <c r="M36" s="1287" cm="1" t="str">
        <f t="array" ref="M36:M36">OFFSET(L36,-1,1)</f>
        <v>0</v>
      </c>
      <c r="N36" s="1289"/>
      <c r="O36" s="1289"/>
      <c r="P36" s="1289"/>
      <c r="Q36" s="1289"/>
      <c r="R36" s="1289"/>
      <c r="S36" s="1289"/>
      <c r="T36" s="808" cm="1" t="str">
        <f t="array" ref="T36:T36">T35</f>
        <v>false</v>
      </c>
      <c r="AB36" s="992" t="s">
        <v>1049</v>
      </c>
      <c r="AC36" s="993" t="s">
        <v>1371</v>
      </c>
      <c r="AD36" s="994" t="s">
        <v>1023</v>
      </c>
      <c r="AE36" s="615">
        <f>_xlfn.SUMIFS(Амортизация!AE$26:AE$225,Амортизация!$F$26:$F$225,$F36,Амортизация!$G$26:$G$225,$G36)</f>
        <v>0</v>
      </c>
      <c r="AF36" s="615">
        <f>_xlfn.SUMIFS(Амортизация!AF$26:AF$225,Амортизация!$F$26:$F$225,$F36,Амортизация!$G$26:$G$225,$G36)</f>
        <v>0</v>
      </c>
      <c r="AG36" s="615">
        <f>_xlfn.SUMIFS(Амортизация!AG$26:AG$225,Амортизация!$F$26:$F$225,$F36,Амортизация!$G$26:$G$225,$G36)</f>
        <v>0</v>
      </c>
      <c r="AH36" s="310">
        <f>AG36-AF36</f>
        <v>0</v>
      </c>
      <c r="AI36" s="615">
        <f>_xlfn.SUMIFS(Амортизация!AH$26:AH$225,Амортизация!$F$26:$F$225,$F36,Амортизация!$G$26:$G$225,$G36)</f>
        <v>0</v>
      </c>
      <c r="AJ36" s="615">
        <f>_xlfn.SUMIFS(Амортизация!AI$26:AI$225,Амортизация!$F$26:$F$225,$F36,Амортизация!$G$26:$G$225,$G36)</f>
        <v>0</v>
      </c>
      <c r="AK36" s="615">
        <f>_xlfn.SUMIFS(Амортизация!AS$26:AS$225,Амортизация!$F$26:$F$225,$F36,Амортизация!$G$26:$G$225,$G36)</f>
        <v>0</v>
      </c>
      <c r="AL36" s="310">
        <f>IF(AI36=0,0,(AK36-AI36)/AI36*100)</f>
        <v>0</v>
      </c>
      <c r="AM36" s="73"/>
      <c r="AN36" s="73"/>
      <c r="AO36" s="73"/>
      <c r="AR36" s="1233" t="s">
        <v>1372</v>
      </c>
      <c r="AS36" s="1271"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1" t="s">
        <v>1800</v>
      </c>
      <c r="D37" s="1260" t="s">
        <v>1801</v>
      </c>
      <c r="E37" s="797">
        <v>17.1</v>
      </c>
      <c r="F37" s="922" cm="1" t="str">
        <f t="array" ref="F37:F37">OFFSET(G37,-1,-1)</f>
        <v>0</v>
      </c>
      <c r="G37" s="193" t="s">
        <v>48</v>
      </c>
      <c r="L37" s="1289" t="s">
        <v>1818</v>
      </c>
      <c r="M37" s="1287" cm="1" t="str">
        <f t="array" ref="M37:M37">OFFSET(L37,-1,1)</f>
        <v>0</v>
      </c>
      <c r="N37" s="1289"/>
      <c r="O37" s="1289"/>
      <c r="P37" s="1289"/>
      <c r="Q37" s="1289"/>
      <c r="R37" s="1289"/>
      <c r="S37" s="1289"/>
      <c r="T37" s="808" cm="1" t="str">
        <f t="array" ref="T37:T37">T36</f>
        <v>false</v>
      </c>
      <c r="AB37" s="992" t="s">
        <v>1052</v>
      </c>
      <c r="AC37" s="993" t="s">
        <v>1819</v>
      </c>
      <c r="AD37" s="994" t="s">
        <v>1023</v>
      </c>
      <c r="AE37" s="310">
        <f>_xlfn.SUMIFS(ФОТ!AE$26:AE$83,ФОТ!$F$26:$F$83,$F37,ФОТ!$G$26:$G$83,$G37)</f>
        <v>0</v>
      </c>
      <c r="AF37" s="310">
        <f>_xlfn.SUMIFS(ФОТ!AF$26:AF$83,ФОТ!$F$26:$F$83,$F37,ФОТ!$G$26:$G$83,$G37)</f>
        <v>0</v>
      </c>
      <c r="AG37" s="310">
        <f>_xlfn.SUMIFS(ФОТ!AG$26:AG$83,ФОТ!$F$26:$F$83,$F37,ФОТ!$G$26:$G$83,$G37)</f>
        <v>0</v>
      </c>
      <c r="AH37" s="310">
        <f>AG37-AF37</f>
        <v>0</v>
      </c>
      <c r="AI37" s="310">
        <f>_xlfn.SUMIFS(ФОТ!AH$26:AH$83,ФОТ!$F$26:$F$83,$F37,ФОТ!$G$26:$G$83,$G37)</f>
        <v>0</v>
      </c>
      <c r="AJ37" s="310">
        <f>_xlfn.SUMIFS(ФОТ!AI$26:AI$83,ФОТ!$F$26:$F$83,$F37,ФОТ!$G$26:$G$83,$G37)</f>
        <v>0</v>
      </c>
      <c r="AK37" s="310">
        <f>_xlfn.SUMIFS(ФОТ!AJ$26:AJ$83,ФОТ!$F$26:$F$83,$F37,ФОТ!$G$26:$G$83,$G37)</f>
        <v>0</v>
      </c>
      <c r="AL37" s="310">
        <f>IF(AI37=0,0,(AK37-AI37)/AI37*100)</f>
        <v>0</v>
      </c>
      <c r="AM37" s="73"/>
      <c r="AN37" s="73"/>
      <c r="AO37" s="73"/>
      <c r="AR37" s="1233" t="s">
        <v>1301</v>
      </c>
      <c r="AS37" s="1271"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1" t="s">
        <v>1800</v>
      </c>
      <c r="D38" s="1260" t="s">
        <v>1801</v>
      </c>
      <c r="E38" s="797">
        <v>17.1</v>
      </c>
      <c r="F38" s="922" cm="1" t="str">
        <f t="array" ref="F38:F38">OFFSET(G38,-1,-1)</f>
        <v>0</v>
      </c>
      <c r="L38" s="1289" t="s">
        <v>1820</v>
      </c>
      <c r="M38" s="1287" cm="1" t="str">
        <f t="array" ref="M38:M38">OFFSET(L38,-1,1)</f>
        <v>0</v>
      </c>
      <c r="N38" s="1289"/>
      <c r="O38" s="1289"/>
      <c r="P38" s="1289"/>
      <c r="Q38" s="1289"/>
      <c r="R38" s="1289"/>
      <c r="S38" s="1289"/>
      <c r="T38" s="808" cm="1" t="str">
        <f t="array" ref="T38:T38">T37</f>
        <v>false</v>
      </c>
      <c r="AB38" s="992" t="s">
        <v>1055</v>
      </c>
      <c r="AC38" s="993" t="s">
        <v>1364</v>
      </c>
      <c r="AD38" s="994" t="s">
        <v>1023</v>
      </c>
      <c r="AE38" s="124"/>
      <c r="AF38" s="124"/>
      <c r="AG38" s="124"/>
      <c r="AH38" s="310">
        <f>AG38-AF38</f>
        <v>0</v>
      </c>
      <c r="AI38" s="124"/>
      <c r="AJ38" s="1956"/>
      <c r="AK38" s="1956"/>
      <c r="AL38" s="310">
        <f>IF(AI38=0,0,(AK38-AI38)/AI38*100)</f>
        <v>0</v>
      </c>
      <c r="AM38" s="73"/>
      <c r="AN38" s="73"/>
      <c r="AO38" s="73"/>
      <c r="AR38" s="1233" t="s">
        <v>1365</v>
      </c>
      <c r="AS38" s="1271"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1" t="s">
        <v>1821</v>
      </c>
      <c r="D39" s="1260" t="s">
        <v>1822</v>
      </c>
      <c r="E39" s="797">
        <v>17.1</v>
      </c>
      <c r="F39" s="922" cm="1" t="str">
        <f t="array" ref="F39:F39">OFFSET(G39,-1,-1)</f>
        <v>0</v>
      </c>
      <c r="L39" s="1289" t="s">
        <v>1823</v>
      </c>
      <c r="M39" s="1287" cm="1" t="str">
        <f t="array" ref="M39:M39">OFFSET(L39,-1,1)</f>
        <v>0</v>
      </c>
      <c r="N39" s="1289"/>
      <c r="O39" s="1289"/>
      <c r="P39" s="1289"/>
      <c r="Q39" s="1289"/>
      <c r="R39" s="1289"/>
      <c r="S39" s="1289"/>
      <c r="T39" s="808" cm="1" t="str">
        <f t="array" ref="T39:T39">T38</f>
        <v>false</v>
      </c>
      <c r="AB39" s="992" t="s">
        <v>1824</v>
      </c>
      <c r="AC39" s="685" t="s">
        <v>1825</v>
      </c>
      <c r="AD39" s="994" t="s">
        <v>498</v>
      </c>
      <c r="AE39" s="124"/>
      <c r="AF39" s="124"/>
      <c r="AG39" s="124"/>
      <c r="AH39" s="310">
        <f>AG39-AF39</f>
        <v>0</v>
      </c>
      <c r="AI39" s="124"/>
      <c r="AJ39" s="1956"/>
      <c r="AK39" s="1956"/>
      <c r="AL39" s="310">
        <f>IF(AI39=0,0,(AK39-AI39)/AI39*100)</f>
        <v>0</v>
      </c>
      <c r="AM39" s="73"/>
      <c r="AN39" s="73"/>
      <c r="AO39" s="73"/>
      <c r="AR39" s="1233" t="s">
        <v>1362</v>
      </c>
      <c r="AS39" s="1271"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1" t="s">
        <v>1826</v>
      </c>
      <c r="D40" s="1260" t="s">
        <v>1827</v>
      </c>
      <c r="E40" s="797">
        <v>17.1</v>
      </c>
      <c r="F40" s="922" cm="1" t="str">
        <f t="array" ref="F40:F40">OFFSET(G40,-1,-1)</f>
        <v>0</v>
      </c>
      <c r="L40" s="1289"/>
      <c r="M40" s="1287" cm="1" t="str">
        <f t="array" ref="M40:M40">OFFSET(L40,-1,1)</f>
        <v>0</v>
      </c>
      <c r="N40" s="1289" t="s">
        <v>1828</v>
      </c>
      <c r="O40" s="1289"/>
      <c r="P40" s="1289"/>
      <c r="Q40" s="1289"/>
      <c r="R40" s="1289"/>
      <c r="S40" s="1289"/>
      <c r="T40" s="808" cm="1" t="str">
        <f t="array" ref="T40:T40">T39</f>
        <v>false</v>
      </c>
      <c r="AB40" s="992" t="s">
        <v>1268</v>
      </c>
      <c r="AC40" s="993" t="s">
        <v>1829</v>
      </c>
      <c r="AD40" s="994" t="s">
        <v>1023</v>
      </c>
      <c r="AE40" s="124"/>
      <c r="AF40" s="124"/>
      <c r="AG40" s="124"/>
      <c r="AH40" s="310">
        <f>AG40-AF40</f>
        <v>0</v>
      </c>
      <c r="AI40" s="124"/>
      <c r="AJ40" s="1956"/>
      <c r="AK40" s="1956"/>
      <c r="AL40" s="310">
        <f>IF(AI40=0,0,(AK40-AI40)/AI40*100)</f>
        <v>0</v>
      </c>
      <c r="AM40" s="73"/>
      <c r="AN40" s="73"/>
      <c r="AO40" s="73"/>
      <c r="AR40" s="1233" t="s">
        <v>1830</v>
      </c>
      <c r="AS40" s="1271"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1" t="s">
        <v>47</v>
      </c>
      <c r="D41" s="1260" t="s">
        <v>1831</v>
      </c>
      <c r="E41" s="797">
        <v>35</v>
      </c>
      <c r="F41" s="922" cm="1" t="str">
        <f t="array" ref="F41:F41">OFFSET(G41,-1,-1)</f>
        <v>0</v>
      </c>
      <c r="G41" s="193" t="s">
        <v>1183</v>
      </c>
      <c r="L41" s="1289"/>
      <c r="M41" s="1287" cm="1" t="str">
        <f t="array" ref="M41:M41">OFFSET(L41,-1,1)</f>
        <v>0</v>
      </c>
      <c r="N41" s="1289" t="s">
        <v>1832</v>
      </c>
      <c r="O41" s="1289"/>
      <c r="P41" s="1289"/>
      <c r="Q41" s="1289"/>
      <c r="R41" s="1289"/>
      <c r="S41" s="1289"/>
      <c r="T41" s="808" cm="1" t="str">
        <f t="array" ref="T41:T41">T40</f>
        <v>false</v>
      </c>
      <c r="AB41" s="992" t="s">
        <v>1833</v>
      </c>
      <c r="AC41" s="993" t="s">
        <v>1834</v>
      </c>
      <c r="AD41" s="994" t="s">
        <v>1023</v>
      </c>
      <c r="AE41" s="615">
        <f>_xlfn.SUMIFS('Покупка услуг'!AE$26:AE$65,'Покупка услуг'!$F$26:$F$65,$F41,'Покупка услуг'!$G$26:$G$65,$G41)</f>
        <v>0</v>
      </c>
      <c r="AF41" s="615">
        <f>_xlfn.SUMIFS('Покупка услуг'!AF$26:AF$65,'Покупка услуг'!$F$26:$F$65,$F41,'Покупка услуг'!$G$26:$G$65,$G41)</f>
        <v>0</v>
      </c>
      <c r="AG41" s="615">
        <f>_xlfn.SUMIFS('Покупка услуг'!AG$26:AG$65,'Покупка услуг'!$F$26:$F$65,$F41,'Покупка услуг'!$G$26:$G$65,$G41)</f>
        <v>0</v>
      </c>
      <c r="AH41" s="310">
        <f>AG41-AF41</f>
        <v>0</v>
      </c>
      <c r="AI41" s="615">
        <f>_xlfn.SUMIFS('Покупка услуг'!AH$26:AH$65,'Покупка услуг'!$F$26:$F$65,$F41,'Покупка услуг'!$G$26:$G$65,$G41)</f>
        <v>0</v>
      </c>
      <c r="AJ41" s="615">
        <f>_xlfn.SUMIFS('Покупка услуг'!AI$26:AI$65,'Покупка услуг'!$F$26:$F$65,$F41,'Покупка услуг'!$G$26:$G$65,$G41)</f>
        <v>0</v>
      </c>
      <c r="AK41" s="615">
        <f>_xlfn.SUMIFS('Покупка услуг'!AS$26:AS$65,'Покупка услуг'!$F$26:$F$65,$F41,'Покупка услуг'!$G$26:$G$65,$G41)</f>
        <v>0</v>
      </c>
      <c r="AL41" s="310">
        <f>IF(AI41=0,0,(AK41-AI41)/AI41*100)</f>
        <v>0</v>
      </c>
      <c r="AM41" s="73"/>
      <c r="AN41" s="73"/>
      <c r="AO41" s="73"/>
      <c r="AR41" s="1233" t="s">
        <v>1835</v>
      </c>
      <c r="AS41" s="1271"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1" t="s">
        <v>1800</v>
      </c>
      <c r="D42" s="1260" t="s">
        <v>1801</v>
      </c>
      <c r="E42" s="797">
        <v>35</v>
      </c>
      <c r="F42" s="922" cm="1" t="str">
        <f t="array" ref="F42:F42">OFFSET(G42,-1,-1)</f>
        <v>0</v>
      </c>
      <c r="L42" s="1289" t="s">
        <v>1836</v>
      </c>
      <c r="M42" s="1287" cm="1" t="str">
        <f t="array" ref="M42:M42">OFFSET(L42,-1,1)</f>
        <v>0</v>
      </c>
      <c r="N42" s="1289"/>
      <c r="O42" s="1289"/>
      <c r="P42" s="1289"/>
      <c r="Q42" s="1289"/>
      <c r="R42" s="1289"/>
      <c r="S42" s="1289"/>
      <c r="T42" s="808" cm="1" t="str">
        <f t="array" ref="T42:T42">T41</f>
        <v>false</v>
      </c>
      <c r="AB42" s="992" t="s">
        <v>1837</v>
      </c>
      <c r="AC42" s="993" t="s">
        <v>1838</v>
      </c>
      <c r="AD42" s="994" t="s">
        <v>1023</v>
      </c>
      <c r="AE42" s="124"/>
      <c r="AF42" s="124"/>
      <c r="AG42" s="124"/>
      <c r="AH42" s="310">
        <f>AG42-AF42</f>
        <v>0</v>
      </c>
      <c r="AI42" s="124"/>
      <c r="AJ42" s="1956"/>
      <c r="AK42" s="1956"/>
      <c r="AL42" s="310">
        <f>IF(AI42=0,0,(AK42-AI42)/AI42*100)</f>
        <v>0</v>
      </c>
      <c r="AM42" s="73"/>
      <c r="AN42" s="73"/>
      <c r="AO42" s="73"/>
      <c r="AR42" s="1233" t="s">
        <v>1839</v>
      </c>
      <c r="AS42" s="1271"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1" t="s">
        <v>1800</v>
      </c>
      <c r="D43" s="1260" t="s">
        <v>1801</v>
      </c>
      <c r="E43" s="797">
        <v>55</v>
      </c>
      <c r="F43" s="922" cm="1" t="str">
        <f t="array" ref="F43:F43">OFFSET(G43,-1,-1)</f>
        <v>0</v>
      </c>
      <c r="L43" s="1289" t="s">
        <v>1840</v>
      </c>
      <c r="M43" s="1287" cm="1" t="str">
        <f t="array" ref="M43:M43">OFFSET(L43,-1,1)</f>
        <v>0</v>
      </c>
      <c r="N43" s="1289"/>
      <c r="O43" s="1289"/>
      <c r="P43" s="1289"/>
      <c r="Q43" s="1289"/>
      <c r="R43" s="1289"/>
      <c r="S43" s="1289"/>
      <c r="T43" s="808" cm="1" t="str">
        <f t="array" ref="T43:T43">T42</f>
        <v>false</v>
      </c>
      <c r="AB43" s="992" t="s">
        <v>1841</v>
      </c>
      <c r="AC43" s="993" t="s">
        <v>1842</v>
      </c>
      <c r="AD43" s="994" t="s">
        <v>1023</v>
      </c>
      <c r="AE43" s="124"/>
      <c r="AF43" s="124"/>
      <c r="AG43" s="124"/>
      <c r="AH43" s="310">
        <f>AG43-AF43</f>
        <v>0</v>
      </c>
      <c r="AI43" s="124"/>
      <c r="AJ43" s="1956"/>
      <c r="AK43" s="1956"/>
      <c r="AL43" s="310">
        <f>IF(AI43=0,0,(AK43-AI43)/AI43*100)</f>
        <v>0</v>
      </c>
      <c r="AM43" s="73"/>
      <c r="AN43" s="73"/>
      <c r="AO43" s="73"/>
      <c r="AR43" s="1233" t="s">
        <v>1843</v>
      </c>
      <c r="AS43" s="1271"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1" t="s">
        <v>1800</v>
      </c>
      <c r="D44" s="1260" t="s">
        <v>1801</v>
      </c>
      <c r="E44" s="797">
        <v>40</v>
      </c>
      <c r="F44" s="922" cm="1" t="str">
        <f t="array" ref="F44:F44">OFFSET(G44,-1,-1)</f>
        <v>0</v>
      </c>
      <c r="G44" s="193" t="s">
        <v>1247</v>
      </c>
      <c r="L44" s="1289" t="s">
        <v>1844</v>
      </c>
      <c r="M44" s="1287" cm="1" t="str">
        <f t="array" ref="M44:M44">OFFSET(L44,-1,1)</f>
        <v>0</v>
      </c>
      <c r="N44" s="1289"/>
      <c r="O44" s="1289"/>
      <c r="P44" s="1289"/>
      <c r="Q44" s="1289"/>
      <c r="R44" s="1289"/>
      <c r="S44" s="1289"/>
      <c r="T44" s="808" cm="1" t="str">
        <f t="array" ref="T44:T44">T43</f>
        <v>false</v>
      </c>
      <c r="AB44" s="992" t="s">
        <v>1845</v>
      </c>
      <c r="AC44" s="993" t="s">
        <v>1846</v>
      </c>
      <c r="AD44" s="994" t="s">
        <v>1023</v>
      </c>
      <c r="AE44" s="615">
        <f>_xlfn.SUMIFS(Налоги!AE$26:AE$55,Налоги!$F$26:$F$55,$F44,Налоги!$G$26:$G$55,$G44)</f>
        <v>0</v>
      </c>
      <c r="AF44" s="615">
        <f>_xlfn.SUMIFS(Налоги!AF$26:AF$55,Налоги!$F$26:$F$55,$F44,Налоги!$G$26:$G$55,$G44)</f>
        <v>0</v>
      </c>
      <c r="AG44" s="615">
        <f>_xlfn.SUMIFS(Налоги!AG$26:AG$55,Налоги!$F$26:$F$55,$F44,Налоги!$G$26:$G$55,$G44)</f>
        <v>0</v>
      </c>
      <c r="AH44" s="310">
        <f>AG44-AF44</f>
        <v>0</v>
      </c>
      <c r="AI44" s="615">
        <f>_xlfn.SUMIFS(Налоги!AH$26:AH$55,Налоги!$F$26:$F$55,$F44,Налоги!$G$26:$G$55,$G44)</f>
        <v>0</v>
      </c>
      <c r="AJ44" s="615">
        <f>_xlfn.SUMIFS(Налоги!AI$26:AI$55,Налоги!$F$26:$F$55,$F44,Налоги!$G$26:$G$55,$G44)</f>
        <v>0</v>
      </c>
      <c r="AK44" s="615">
        <f>_xlfn.SUMIFS(Налоги!AS$26:AS$55,Налоги!$F$26:$F$55,$F44,Налоги!$G$26:$G$55,$G44)</f>
        <v>0</v>
      </c>
      <c r="AL44" s="310">
        <f>IF(AI44=0,0,(AK44-AI44)/AI44*100)</f>
        <v>0</v>
      </c>
      <c r="AM44" s="73"/>
      <c r="AN44" s="73"/>
      <c r="AO44" s="73"/>
      <c r="AR44" s="1233" t="s">
        <v>1360</v>
      </c>
      <c r="AS44" s="1271"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1" t="s">
        <v>1800</v>
      </c>
      <c r="D45" s="1260" t="s">
        <v>1801</v>
      </c>
      <c r="E45" s="797">
        <v>17.1</v>
      </c>
      <c r="F45" s="922" cm="1" t="str">
        <f t="array" ref="F45:F45">OFFSET(G45,-1,-1)</f>
        <v>0</v>
      </c>
      <c r="G45" s="193" t="s">
        <v>1151</v>
      </c>
      <c r="L45" s="1289"/>
      <c r="M45" s="1287" cm="1" t="str">
        <f t="array" ref="M45:M45">OFFSET(L45,-1,1)</f>
        <v>0</v>
      </c>
      <c r="N45" s="1289" t="s">
        <v>1847</v>
      </c>
      <c r="O45" s="1289"/>
      <c r="P45" s="1289"/>
      <c r="Q45" s="1289"/>
      <c r="R45" s="1289"/>
      <c r="S45" s="1289"/>
      <c r="T45" s="808" cm="1" t="str">
        <f t="array" ref="T45:T45">T44</f>
        <v>false</v>
      </c>
      <c r="AB45" s="992" t="s">
        <v>1848</v>
      </c>
      <c r="AC45" s="993" t="s">
        <v>1849</v>
      </c>
      <c r="AD45" s="994" t="s">
        <v>1023</v>
      </c>
      <c r="AE45" s="310">
        <f>_xlfn.SUMIFS(Аренда!AE$26:AE$51,Аренда!$F$26:$F$51,$F45,Аренда!$G$26:$G$51,$G45)</f>
        <v>0</v>
      </c>
      <c r="AF45" s="310">
        <f>_xlfn.SUMIFS(Аренда!AF$26:AF$51,Аренда!$F$26:$F$51,$F45,Аренда!$G$26:$G$51,$G45)</f>
        <v>0</v>
      </c>
      <c r="AG45" s="310">
        <f>_xlfn.SUMIFS(Аренда!AG$26:AG$51,Аренда!$F$26:$F$51,$F45,Аренда!$G$26:$G$51,$G45)</f>
        <v>0</v>
      </c>
      <c r="AH45" s="310">
        <f>AG45-AF45</f>
        <v>0</v>
      </c>
      <c r="AI45" s="310">
        <f>_xlfn.SUMIFS(Аренда!AH$26:AH$51,Аренда!$F$26:$F$51,$F45,Аренда!$G$26:$G$51,$G45)</f>
        <v>0</v>
      </c>
      <c r="AJ45" s="310">
        <f>_xlfn.SUMIFS(Аренда!AI$26:AI$51,Аренда!$F$26:$F$51,$F45,Аренда!$G$26:$G$51,$G45)</f>
        <v>0</v>
      </c>
      <c r="AK45" s="310">
        <f>_xlfn.SUMIFS(Аренда!AS$26:AS$51,Аренда!$F$26:$F$51,$F45,Аренда!$G$26:$G$51,$G45)</f>
        <v>0</v>
      </c>
      <c r="AL45" s="310">
        <f>IF(AI45=0,0,(AK45-AI45)/AI45*100)</f>
        <v>0</v>
      </c>
      <c r="AM45" s="73"/>
      <c r="AN45" s="73"/>
      <c r="AO45" s="73"/>
      <c r="AR45" s="1233" t="s">
        <v>1850</v>
      </c>
      <c r="AS45" s="1271"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1" t="s">
        <v>1800</v>
      </c>
      <c r="D46" s="1260" t="s">
        <v>1801</v>
      </c>
      <c r="E46" s="797">
        <v>17.1</v>
      </c>
      <c r="F46" s="922" cm="1" t="str">
        <f t="array" ref="F46:F46">OFFSET(G46,-1,-1)</f>
        <v>0</v>
      </c>
      <c r="L46" s="1289"/>
      <c r="M46" s="1287" cm="1" t="str">
        <f t="array" ref="M46:M46">OFFSET(L46,-1,1)</f>
        <v>0</v>
      </c>
      <c r="N46" s="1289"/>
      <c r="O46" s="1289" t="s">
        <v>1851</v>
      </c>
      <c r="P46" s="1289"/>
      <c r="Q46" s="1289"/>
      <c r="R46" s="1289"/>
      <c r="S46" s="1289"/>
      <c r="T46" s="808" cm="1" t="str">
        <f t="array" ref="T46:T46">T45</f>
        <v>false</v>
      </c>
      <c r="AB46" s="992" t="s">
        <v>1852</v>
      </c>
      <c r="AC46" s="993" t="s">
        <v>1320</v>
      </c>
      <c r="AD46" s="994" t="s">
        <v>1023</v>
      </c>
      <c r="AE46" s="124"/>
      <c r="AF46" s="124"/>
      <c r="AG46" s="124"/>
      <c r="AH46" s="310">
        <f>AG46-AF46</f>
        <v>0</v>
      </c>
      <c r="AI46" s="124"/>
      <c r="AJ46" s="1956"/>
      <c r="AK46" s="1956"/>
      <c r="AL46" s="310">
        <f>IF(AI46=0,0,(AK46-AI46)/AI46*100)</f>
        <v>0</v>
      </c>
      <c r="AM46" s="73"/>
      <c r="AN46" s="73"/>
      <c r="AO46" s="73"/>
      <c r="AR46" s="1233" t="s">
        <v>1853</v>
      </c>
      <c r="AS46" s="1271"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1" t="s">
        <v>1800</v>
      </c>
      <c r="D47" s="1260" t="s">
        <v>1801</v>
      </c>
      <c r="E47" s="797">
        <v>17.1</v>
      </c>
      <c r="F47" s="922" cm="1" t="str">
        <f t="array" ref="F47:F47">OFFSET(G47,-1,-1)</f>
        <v>0</v>
      </c>
      <c r="L47" s="1289"/>
      <c r="M47" s="1287" cm="1" t="str">
        <f t="array" ref="M47:M47">OFFSET(L47,-1,1)</f>
        <v>0</v>
      </c>
      <c r="N47" s="1289"/>
      <c r="O47" s="1289" t="s">
        <v>1854</v>
      </c>
      <c r="P47" s="1289"/>
      <c r="Q47" s="1289"/>
      <c r="R47" s="1289"/>
      <c r="S47" s="1289"/>
      <c r="T47" s="808" cm="1" t="str">
        <f t="array" ref="T47:T47">T46</f>
        <v>false</v>
      </c>
      <c r="AB47" s="992" t="s">
        <v>1855</v>
      </c>
      <c r="AC47" s="993" t="s">
        <v>1322</v>
      </c>
      <c r="AD47" s="994" t="s">
        <v>1023</v>
      </c>
      <c r="AE47" s="124"/>
      <c r="AF47" s="124"/>
      <c r="AG47" s="124"/>
      <c r="AH47" s="310">
        <f>AG47-AF47</f>
        <v>0</v>
      </c>
      <c r="AI47" s="124"/>
      <c r="AJ47" s="1956"/>
      <c r="AK47" s="1956"/>
      <c r="AL47" s="310">
        <f>IF(AI47=0,0,(AK47-AI47)/AI47*100)</f>
        <v>0</v>
      </c>
      <c r="AM47" s="73"/>
      <c r="AN47" s="73"/>
      <c r="AO47" s="73"/>
      <c r="AR47" s="1233" t="s">
        <v>1323</v>
      </c>
      <c r="AS47" s="1271"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1" t="s">
        <v>1800</v>
      </c>
      <c r="D48" s="1260" t="s">
        <v>1801</v>
      </c>
      <c r="E48" s="797">
        <v>35</v>
      </c>
      <c r="F48" s="922" cm="1" t="str">
        <f t="array" ref="F48:F48">OFFSET(G48,-1,-1)</f>
        <v>0</v>
      </c>
      <c r="G48" s="193" t="s">
        <v>1254</v>
      </c>
      <c r="L48" s="1289"/>
      <c r="M48" s="1287" cm="1" t="str">
        <f t="array" ref="M48:M48">OFFSET(L48,-1,1)</f>
        <v>0</v>
      </c>
      <c r="N48" s="1289"/>
      <c r="O48" s="1289" t="s">
        <v>1856</v>
      </c>
      <c r="P48" s="1289"/>
      <c r="Q48" s="1289"/>
      <c r="R48" s="1289"/>
      <c r="S48" s="1289"/>
      <c r="T48" s="808" cm="1" t="str">
        <f t="array" ref="T48:T48">T47</f>
        <v>false</v>
      </c>
      <c r="AB48" s="992" t="s">
        <v>1857</v>
      </c>
      <c r="AC48" s="993" t="s">
        <v>1858</v>
      </c>
      <c r="AD48" s="994" t="s">
        <v>1023</v>
      </c>
      <c r="AE48" s="615">
        <f>_xlfn.SUMIFS(Налоги!AE$26:AE$55,Налоги!$F$26:$F$55,$F48,Налоги!$G$26:$G$55,$G48)</f>
        <v>0</v>
      </c>
      <c r="AF48" s="615">
        <f>_xlfn.SUMIFS(Налоги!AF$26:AF$55,Налоги!$F$26:$F$55,$F48,Налоги!$G$26:$G$55,$G48)</f>
        <v>0</v>
      </c>
      <c r="AG48" s="615">
        <f>_xlfn.SUMIFS(Налоги!AG$26:AG$55,Налоги!$F$26:$F$55,$F48,Налоги!$G$26:$G$55,$G48)</f>
        <v>0</v>
      </c>
      <c r="AH48" s="310">
        <f>AG48-AF48</f>
        <v>0</v>
      </c>
      <c r="AI48" s="615">
        <f>_xlfn.SUMIFS(Налоги!AH$26:AH$55,Налоги!$F$26:$F$55,$F48,Налоги!$G$26:$G$55,$G48)</f>
        <v>0</v>
      </c>
      <c r="AJ48" s="615">
        <f>_xlfn.SUMIFS(Налоги!AI$26:AI$55,Налоги!$F$26:$F$55,$F48,Налоги!$G$26:$G$55,$G48)</f>
        <v>0</v>
      </c>
      <c r="AK48" s="615">
        <f>_xlfn.SUMIFS(Налоги!AS$26:AS$55,Налоги!$F$26:$F$55,$F48,Налоги!$G$26:$G$55,$G48)</f>
        <v>0</v>
      </c>
      <c r="AL48" s="310">
        <f>IF(AI48=0,0,(AK48-AI48)/AI48*100)</f>
        <v>0</v>
      </c>
      <c r="AM48" s="73"/>
      <c r="AN48" s="73"/>
      <c r="AO48" s="73"/>
      <c r="AR48" s="1233" t="s">
        <v>1859</v>
      </c>
      <c r="AS48" s="1271"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1" t="s">
        <v>1800</v>
      </c>
      <c r="D49" s="1260" t="s">
        <v>1801</v>
      </c>
      <c r="E49" s="797">
        <v>35</v>
      </c>
      <c r="F49" s="922" cm="1" t="str">
        <f t="array" ref="F49:F49">OFFSET(G49,-1,-1)</f>
        <v>0</v>
      </c>
      <c r="L49" s="1289" t="s">
        <v>1860</v>
      </c>
      <c r="M49" s="1287" cm="1" t="str">
        <f t="array" ref="M49:M49">OFFSET(L49,-1,1)</f>
        <v>0</v>
      </c>
      <c r="N49" s="1289"/>
      <c r="O49" s="1289"/>
      <c r="P49" s="1289"/>
      <c r="Q49" s="1289"/>
      <c r="R49" s="1289"/>
      <c r="S49" s="1289"/>
      <c r="T49" s="808" cm="1" t="str">
        <f t="array" ref="T49:T49">T48</f>
        <v>false</v>
      </c>
      <c r="AB49" s="992" t="s">
        <v>1861</v>
      </c>
      <c r="AC49" s="993" t="s">
        <v>1862</v>
      </c>
      <c r="AD49" s="994" t="s">
        <v>1023</v>
      </c>
      <c r="AE49" s="615">
        <f>SUM(AE50:AE54)</f>
        <v>0</v>
      </c>
      <c r="AF49" s="615">
        <f>SUM(AF50:AF54)</f>
        <v>0</v>
      </c>
      <c r="AG49" s="615">
        <f>SUM(AG50:AG54)</f>
        <v>0</v>
      </c>
      <c r="AH49" s="310">
        <f>AG49-AF49</f>
        <v>0</v>
      </c>
      <c r="AI49" s="615">
        <f>SUM(AI50:AI54)</f>
        <v>0</v>
      </c>
      <c r="AJ49" s="615">
        <f>SUM(AJ50:AJ54)</f>
        <v>0</v>
      </c>
      <c r="AK49" s="615">
        <f>SUM(AK50:AK54)</f>
        <v>0</v>
      </c>
      <c r="AL49" s="310">
        <f>IF(AI49=0,0,(AK49-AI49)/AI49*100)</f>
        <v>0</v>
      </c>
      <c r="AM49" s="73"/>
      <c r="AN49" s="73"/>
      <c r="AO49" s="73"/>
      <c r="AR49" s="1233" t="s">
        <v>1270</v>
      </c>
      <c r="AS49" s="1271"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1" t="s">
        <v>1800</v>
      </c>
      <c r="D50" s="1260" t="s">
        <v>1801</v>
      </c>
      <c r="E50" s="797">
        <v>17.1</v>
      </c>
      <c r="F50" s="922" cm="1" t="str">
        <f t="array" ref="F50:F50">OFFSET(G50,-1,-1)</f>
        <v>0</v>
      </c>
      <c r="G50" s="193" t="s">
        <v>1258</v>
      </c>
      <c r="L50" s="1289" t="s">
        <v>1863</v>
      </c>
      <c r="M50" s="1287" cm="1" t="str">
        <f t="array" ref="M50:M50">OFFSET(L50,-1,1)</f>
        <v>0</v>
      </c>
      <c r="N50" s="1289"/>
      <c r="O50" s="1289"/>
      <c r="P50" s="1289"/>
      <c r="Q50" s="1289"/>
      <c r="R50" s="1289"/>
      <c r="S50" s="1289"/>
      <c r="T50" s="808" cm="1" t="str">
        <f t="array" ref="T50:T50">T49</f>
        <v>false</v>
      </c>
      <c r="AB50" s="992" t="s">
        <v>1864</v>
      </c>
      <c r="AC50" s="993" t="s">
        <v>1865</v>
      </c>
      <c r="AD50" s="994" t="s">
        <v>1023</v>
      </c>
      <c r="AE50" s="615">
        <f>_xlfn.SUMIFS(Налоги!AE$26:AE$55,Налоги!$F$26:$F$55,$F50,Налоги!$H$26:$H$55,$G50)</f>
        <v>0</v>
      </c>
      <c r="AF50" s="615">
        <f>_xlfn.SUMIFS(Налоги!AF$26:AF$55,Налоги!$F$26:$F$55,$F50,Налоги!$H$26:$H$55,$G50)</f>
        <v>0</v>
      </c>
      <c r="AG50" s="615">
        <f>_xlfn.SUMIFS(Налоги!AG$26:AG$55,Налоги!$F$26:$F$55,$F50,Налоги!$H$26:$H$55,$G50)</f>
        <v>0</v>
      </c>
      <c r="AH50" s="310">
        <f>AG50-AF50</f>
        <v>0</v>
      </c>
      <c r="AI50" s="615">
        <f>_xlfn.SUMIFS(Налоги!AH$26:AH$55,Налоги!$F$26:$F$55,$F50,Налоги!$H$26:$H$55,$G50)</f>
        <v>0</v>
      </c>
      <c r="AJ50" s="615">
        <f>_xlfn.SUMIFS(Налоги!AI$26:AI$55,Налоги!$F$26:$F$55,$F50,Налоги!$H$26:$H$55,$G50)</f>
        <v>0</v>
      </c>
      <c r="AK50" s="615">
        <f>_xlfn.SUMIFS(Налоги!AS$26:AS$55,Налоги!$F$26:$F$55,$F50,Налоги!$H$26:$H$55,$G50)</f>
        <v>0</v>
      </c>
      <c r="AL50" s="310">
        <f>IF(AI50=0,0,(AK50-AI50)/AI50*100)</f>
        <v>0</v>
      </c>
      <c r="AM50" s="73"/>
      <c r="AN50" s="73"/>
      <c r="AO50" s="73"/>
      <c r="AR50" s="1233" t="s">
        <v>571</v>
      </c>
      <c r="AS50" s="1271"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1" t="s">
        <v>1800</v>
      </c>
      <c r="D51" s="1260" t="s">
        <v>1801</v>
      </c>
      <c r="E51" s="797">
        <v>17.1</v>
      </c>
      <c r="F51" s="922" cm="1" t="str">
        <f t="array" ref="F51:F51">OFFSET(G51,-1,-1)</f>
        <v>0</v>
      </c>
      <c r="G51" s="193" t="s">
        <v>1260</v>
      </c>
      <c r="L51" s="1289" t="s">
        <v>1866</v>
      </c>
      <c r="M51" s="1287" cm="1" t="str">
        <f t="array" ref="M51:M51">OFFSET(L51,-1,1)</f>
        <v>0</v>
      </c>
      <c r="N51" s="1289"/>
      <c r="O51" s="1289"/>
      <c r="P51" s="1289"/>
      <c r="Q51" s="1289"/>
      <c r="R51" s="1289"/>
      <c r="S51" s="1289"/>
      <c r="T51" s="808" cm="1" t="str">
        <f t="array" ref="T51:T51">T50</f>
        <v>false</v>
      </c>
      <c r="AB51" s="992" t="s">
        <v>1867</v>
      </c>
      <c r="AC51" s="993" t="s">
        <v>1261</v>
      </c>
      <c r="AD51" s="994" t="s">
        <v>1023</v>
      </c>
      <c r="AE51" s="615">
        <f>_xlfn.SUMIFS(Налоги!AE$26:AE$55,Налоги!$F$26:$F$55,$F51,Налоги!$H$26:$H$55,$G51)</f>
        <v>0</v>
      </c>
      <c r="AF51" s="615">
        <f>_xlfn.SUMIFS(Налоги!AF$26:AF$55,Налоги!$F$26:$F$55,$F51,Налоги!$H$26:$H$55,$G51)</f>
        <v>0</v>
      </c>
      <c r="AG51" s="615">
        <f>_xlfn.SUMIFS(Налоги!AG$26:AG$55,Налоги!$F$26:$F$55,$F51,Налоги!$H$26:$H$55,$G51)</f>
        <v>0</v>
      </c>
      <c r="AH51" s="310">
        <f>AG51-AF51</f>
        <v>0</v>
      </c>
      <c r="AI51" s="615">
        <f>_xlfn.SUMIFS(Налоги!AH$26:AH$55,Налоги!$F$26:$F$55,$F51,Налоги!$H$26:$H$55,$G51)</f>
        <v>0</v>
      </c>
      <c r="AJ51" s="615">
        <f>_xlfn.SUMIFS(Налоги!AI$26:AI$55,Налоги!$F$26:$F$55,$F51,Налоги!$H$26:$H$55,$G51)</f>
        <v>0</v>
      </c>
      <c r="AK51" s="615">
        <f>_xlfn.SUMIFS(Налоги!AS$26:AS$55,Налоги!$F$26:$F$55,$F51,Налоги!$H$26:$H$55,$G51)</f>
        <v>0</v>
      </c>
      <c r="AL51" s="310">
        <f>IF(AI51=0,0,(AK51-AI51)/AI51*100)</f>
        <v>0</v>
      </c>
      <c r="AM51" s="73"/>
      <c r="AN51" s="73"/>
      <c r="AO51" s="73"/>
      <c r="AR51" s="1233" t="s">
        <v>1262</v>
      </c>
      <c r="AS51" s="1271"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1" t="s">
        <v>1800</v>
      </c>
      <c r="D52" s="1260" t="s">
        <v>1801</v>
      </c>
      <c r="E52" s="797">
        <v>17.1</v>
      </c>
      <c r="F52" s="922" cm="1" t="str">
        <f t="array" ref="F52:F52">OFFSET(G52,-1,-1)</f>
        <v>0</v>
      </c>
      <c r="G52" s="193" t="s">
        <v>1251</v>
      </c>
      <c r="L52" s="1289" t="s">
        <v>1868</v>
      </c>
      <c r="M52" s="1287" cm="1" t="str">
        <f t="array" ref="M52:M52">OFFSET(L52,-1,1)</f>
        <v>0</v>
      </c>
      <c r="N52" s="1289"/>
      <c r="O52" s="1289"/>
      <c r="P52" s="1289"/>
      <c r="Q52" s="1289"/>
      <c r="R52" s="1289"/>
      <c r="S52" s="1289"/>
      <c r="T52" s="808" cm="1" t="str">
        <f t="array" ref="T52:T52">T51</f>
        <v>false</v>
      </c>
      <c r="AB52" s="997" t="s">
        <v>1869</v>
      </c>
      <c r="AC52" s="998" t="s">
        <v>1252</v>
      </c>
      <c r="AD52" s="999" t="s">
        <v>1023</v>
      </c>
      <c r="AE52" s="615">
        <f>_xlfn.SUMIFS(Налоги!AE$26:AE$55,Налоги!$F$26:$F$55,$F52,Налоги!$H$26:$H$55,$G52)</f>
        <v>0</v>
      </c>
      <c r="AF52" s="615">
        <f>_xlfn.SUMIFS(Налоги!AF$26:AF$55,Налоги!$F$26:$F$55,$F52,Налоги!$H$26:$H$55,$G52)</f>
        <v>0</v>
      </c>
      <c r="AG52" s="615">
        <f>_xlfn.SUMIFS(Налоги!AG$26:AG$55,Налоги!$F$26:$F$55,$F52,Налоги!$H$26:$H$55,$G52)</f>
        <v>0</v>
      </c>
      <c r="AH52" s="310">
        <f>AG52-AF52</f>
        <v>0</v>
      </c>
      <c r="AI52" s="615">
        <f>_xlfn.SUMIFS(Налоги!AH$26:AH$55,Налоги!$F$26:$F$55,$F52,Налоги!$H$26:$H$55,$G52)</f>
        <v>0</v>
      </c>
      <c r="AJ52" s="615">
        <f>_xlfn.SUMIFS(Налоги!AI$26:AI$55,Налоги!$F$26:$F$55,$F52,Налоги!$H$26:$H$55,$G52)</f>
        <v>0</v>
      </c>
      <c r="AK52" s="615">
        <f>_xlfn.SUMIFS(Налоги!AS$26:AS$55,Налоги!$F$26:$F$55,$F52,Налоги!$H$26:$H$55,$G52)</f>
        <v>0</v>
      </c>
      <c r="AL52" s="310">
        <f>IF(AI52=0,0,(AK52-AI52)/AI52*100)</f>
        <v>0</v>
      </c>
      <c r="AM52" s="73"/>
      <c r="AN52" s="73"/>
      <c r="AO52" s="73"/>
      <c r="AR52" s="1233" t="s">
        <v>1870</v>
      </c>
      <c r="AS52" s="1271"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1" t="s">
        <v>1800</v>
      </c>
      <c r="D53" s="1260" t="s">
        <v>1801</v>
      </c>
      <c r="E53" s="797">
        <v>17.1</v>
      </c>
      <c r="F53" s="922" cm="1" t="str">
        <f t="array" ref="F53:F53">OFFSET(G53,-1,-1)</f>
        <v>0</v>
      </c>
      <c r="G53" s="193" t="s">
        <v>1265</v>
      </c>
      <c r="L53" s="1289" t="s">
        <v>1871</v>
      </c>
      <c r="M53" s="1287" cm="1" t="str">
        <f t="array" ref="M53:M53">OFFSET(L53,-1,1)</f>
        <v>0</v>
      </c>
      <c r="N53" s="1289"/>
      <c r="O53" s="1289"/>
      <c r="P53" s="1289"/>
      <c r="Q53" s="1289"/>
      <c r="R53" s="1289"/>
      <c r="S53" s="1289"/>
      <c r="T53" s="808" cm="1" t="str">
        <f t="array" ref="T53:T53">T52</f>
        <v>false</v>
      </c>
      <c r="AB53" s="859" t="s">
        <v>1872</v>
      </c>
      <c r="AC53" s="1001" t="s">
        <v>1266</v>
      </c>
      <c r="AD53" s="859" t="s">
        <v>1023</v>
      </c>
      <c r="AE53" s="615">
        <f>_xlfn.SUMIFS(Налоги!AE$26:AE$55,Налоги!$F$26:$F$55,$F53,Налоги!$H$26:$H$55,$G53)</f>
        <v>0</v>
      </c>
      <c r="AF53" s="615">
        <f>_xlfn.SUMIFS(Налоги!AF$26:AF$55,Налоги!$F$26:$F$55,$F53,Налоги!$H$26:$H$55,$G53)</f>
        <v>0</v>
      </c>
      <c r="AG53" s="615">
        <f>_xlfn.SUMIFS(Налоги!AG$26:AG$55,Налоги!$F$26:$F$55,$F53,Налоги!$H$26:$H$55,$G53)</f>
        <v>0</v>
      </c>
      <c r="AH53" s="310">
        <f>AG53-AF53</f>
        <v>0</v>
      </c>
      <c r="AI53" s="615">
        <f>_xlfn.SUMIFS(Налоги!AH$26:AH$55,Налоги!$F$26:$F$55,$F53,Налоги!$H$26:$H$55,$G53)</f>
        <v>0</v>
      </c>
      <c r="AJ53" s="615">
        <f>_xlfn.SUMIFS(Налоги!AI$26:AI$55,Налоги!$F$26:$F$55,$F53,Налоги!$H$26:$H$55,$G53)</f>
        <v>0</v>
      </c>
      <c r="AK53" s="615">
        <f>_xlfn.SUMIFS(Налоги!AS$26:AS$55,Налоги!$F$26:$F$55,$F53,Налоги!$H$26:$H$55,$G53)</f>
        <v>0</v>
      </c>
      <c r="AL53" s="310">
        <f>IF(AI53=0,0,(AK53-AI53)/AI53*100)</f>
        <v>0</v>
      </c>
      <c r="AM53" s="73"/>
      <c r="AN53" s="73"/>
      <c r="AO53" s="73"/>
      <c r="AR53" s="1233" t="s">
        <v>1267</v>
      </c>
      <c r="AS53" s="1271"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1" t="s">
        <v>1800</v>
      </c>
      <c r="D54" s="1260" t="s">
        <v>1801</v>
      </c>
      <c r="E54" s="797">
        <v>17.1</v>
      </c>
      <c r="F54" s="922" cm="1" t="str">
        <f t="array" ref="F54:F54">OFFSET(G54,-1,-1)</f>
        <v>0</v>
      </c>
      <c r="G54" s="193" t="s">
        <v>1250</v>
      </c>
      <c r="L54" s="1289" t="s">
        <v>1873</v>
      </c>
      <c r="M54" s="1287" cm="1" t="str">
        <f t="array" ref="M54:M54">OFFSET(L54,-1,1)</f>
        <v>0</v>
      </c>
      <c r="N54" s="1289"/>
      <c r="O54" s="1289"/>
      <c r="P54" s="1289"/>
      <c r="Q54" s="1289"/>
      <c r="R54" s="1289"/>
      <c r="S54" s="1289"/>
      <c r="T54" s="808" cm="1" t="str">
        <f t="array" ref="T54:T54">T53</f>
        <v>false</v>
      </c>
      <c r="AB54" s="859" t="s">
        <v>1874</v>
      </c>
      <c r="AC54" s="1001" t="s">
        <v>1875</v>
      </c>
      <c r="AD54" s="859" t="s">
        <v>1023</v>
      </c>
      <c r="AE54" s="615">
        <f>_xlfn.SUMIFS(Налоги!AE$26:AE$55,Налоги!$F$26:$F$55,$F54,Налоги!$H$26:$H$55,$G54)</f>
        <v>0</v>
      </c>
      <c r="AF54" s="615">
        <f>_xlfn.SUMIFS(Налоги!AF$26:AF$55,Налоги!$F$26:$F$55,$F54,Налоги!$H$26:$H$55,$G54)</f>
        <v>0</v>
      </c>
      <c r="AG54" s="615">
        <f>_xlfn.SUMIFS(Налоги!AG$26:AG$55,Налоги!$F$26:$F$55,$F54,Налоги!$H$26:$H$55,$G54)</f>
        <v>0</v>
      </c>
      <c r="AH54" s="310">
        <f>AG54-AF54</f>
        <v>0</v>
      </c>
      <c r="AI54" s="615">
        <f>_xlfn.SUMIFS(Налоги!AH$26:AH$55,Налоги!$F$26:$F$55,$F54,Налоги!$H$26:$H$55,$G54)</f>
        <v>0</v>
      </c>
      <c r="AJ54" s="615">
        <f>_xlfn.SUMIFS(Налоги!AI$26:AI$55,Налоги!$F$26:$F$55,$F54,Налоги!$H$26:$H$55,$G54)</f>
        <v>0</v>
      </c>
      <c r="AK54" s="615">
        <f>_xlfn.SUMIFS(Налоги!AS$26:AS$55,Налоги!$F$26:$F$55,$F54,Налоги!$H$26:$H$55,$G54)</f>
        <v>0</v>
      </c>
      <c r="AL54" s="310">
        <f>IF(AI54=0,0,(AK54-AI54)/AI54*100)</f>
        <v>0</v>
      </c>
      <c r="AM54" s="73"/>
      <c r="AN54" s="73"/>
      <c r="AO54" s="73"/>
      <c r="AR54" s="1233" t="s">
        <v>1876</v>
      </c>
      <c r="AS54" s="1271"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1" t="s">
        <v>1800</v>
      </c>
      <c r="D55" s="1260" t="s">
        <v>1801</v>
      </c>
      <c r="E55" s="797">
        <v>17.1</v>
      </c>
      <c r="F55" s="922" cm="1" t="str">
        <f t="array" ref="F55:F55">OFFSET(G55,-1,-1)</f>
        <v>0</v>
      </c>
      <c r="L55" s="1289" t="s">
        <v>1877</v>
      </c>
      <c r="M55" s="1287" cm="1" t="str">
        <f t="array" ref="M55:M55">OFFSET(L55,-1,1)</f>
        <v>0</v>
      </c>
      <c r="N55" s="1289"/>
      <c r="O55" s="1289"/>
      <c r="P55" s="1289"/>
      <c r="Q55" s="1289"/>
      <c r="R55" s="1289"/>
      <c r="S55" s="1289"/>
      <c r="T55" s="808" cm="1" t="str">
        <f t="array" ref="T55:T55">T54</f>
        <v>false</v>
      </c>
      <c r="AB55" s="886">
        <v>2</v>
      </c>
      <c r="AC55" s="1003" t="s">
        <v>1878</v>
      </c>
      <c r="AD55" s="886" t="s">
        <v>1023</v>
      </c>
      <c r="AE55" s="615">
        <f>AE56+AE57+AE58+AE59</f>
        <v>0</v>
      </c>
      <c r="AF55" s="615">
        <f>AF56+AF57+AF58+AF59</f>
        <v>0</v>
      </c>
      <c r="AG55" s="615">
        <f>AG56+AG57+AG58+AG59</f>
        <v>0</v>
      </c>
      <c r="AH55" s="310">
        <f>AG55-AF55</f>
        <v>0</v>
      </c>
      <c r="AI55" s="615">
        <f>AI56+AI57+AI58+AI59</f>
        <v>0</v>
      </c>
      <c r="AJ55" s="615">
        <f>AJ56+AJ57+AJ58+AJ59</f>
        <v>0</v>
      </c>
      <c r="AK55" s="615">
        <f>AK56+AK57+AK58+AK59</f>
        <v>0</v>
      </c>
      <c r="AL55" s="310">
        <f>IF(AI55=0,0,(AK55-AI55)/AI55*100)</f>
        <v>0</v>
      </c>
      <c r="AM55" s="73"/>
      <c r="AN55" s="73"/>
      <c r="AO55" s="73"/>
      <c r="AR55" s="1233" t="s">
        <v>1879</v>
      </c>
      <c r="AS55" s="1271"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1" t="s">
        <v>1800</v>
      </c>
      <c r="D56" s="1260" t="s">
        <v>1801</v>
      </c>
      <c r="E56" s="797">
        <v>45</v>
      </c>
      <c r="F56" s="922" cm="1" t="str">
        <f t="array" ref="F56:F56">OFFSET(G56,-1,-1)</f>
        <v>0</v>
      </c>
      <c r="L56" s="1289"/>
      <c r="M56" s="1287" cm="1" t="str">
        <f t="array" ref="M56:M56">OFFSET(L56,-1,1)</f>
        <v>0</v>
      </c>
      <c r="N56" s="1289"/>
      <c r="O56" s="1289"/>
      <c r="P56" s="1289" t="s">
        <v>1880</v>
      </c>
      <c r="Q56" s="1289"/>
      <c r="R56" s="1289"/>
      <c r="S56" s="1289"/>
      <c r="T56" s="808" cm="1" t="str">
        <f t="array" ref="T56:T56">T55</f>
        <v>false</v>
      </c>
      <c r="AB56" s="859" t="s">
        <v>456</v>
      </c>
      <c r="AC56" s="1004" t="s">
        <v>1881</v>
      </c>
      <c r="AD56" s="859" t="s">
        <v>1023</v>
      </c>
      <c r="AE56" s="124"/>
      <c r="AF56" s="124"/>
      <c r="AG56" s="124"/>
      <c r="AH56" s="310">
        <f>AG56-AF56</f>
        <v>0</v>
      </c>
      <c r="AI56" s="124"/>
      <c r="AJ56" s="1956"/>
      <c r="AK56" s="1956"/>
      <c r="AL56" s="310">
        <f>IF(AI56=0,0,(AK56-AI56)/AI56*100)</f>
        <v>0</v>
      </c>
      <c r="AM56" s="73"/>
      <c r="AN56" s="73"/>
      <c r="AO56" s="73"/>
      <c r="AR56" s="1233" t="s">
        <v>1882</v>
      </c>
      <c r="AS56" s="1271"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1" t="s">
        <v>1800</v>
      </c>
      <c r="D57" s="1260" t="s">
        <v>1801</v>
      </c>
      <c r="E57" s="797">
        <v>17.1</v>
      </c>
      <c r="F57" s="922" cm="1" t="str">
        <f t="array" ref="F57:F57">OFFSET(G57,-1,-1)</f>
        <v>0</v>
      </c>
      <c r="L57" s="1289"/>
      <c r="M57" s="1287" cm="1" t="str">
        <f t="array" ref="M57:M57">OFFSET(L57,-1,1)</f>
        <v>0</v>
      </c>
      <c r="N57" s="1289" t="s">
        <v>1883</v>
      </c>
      <c r="O57" s="1289"/>
      <c r="P57" s="1289"/>
      <c r="Q57" s="1289"/>
      <c r="R57" s="1289"/>
      <c r="S57" s="1289"/>
      <c r="T57" s="808" cm="1" t="str">
        <f t="array" ref="T57:T57">T56</f>
        <v>false</v>
      </c>
      <c r="AB57" s="558" t="s">
        <v>483</v>
      </c>
      <c r="AC57" s="1005" t="s">
        <v>1369</v>
      </c>
      <c r="AD57" s="574" t="s">
        <v>1023</v>
      </c>
      <c r="AE57" s="124"/>
      <c r="AF57" s="124"/>
      <c r="AG57" s="124"/>
      <c r="AH57" s="310">
        <f>AG57-AF57</f>
        <v>0</v>
      </c>
      <c r="AI57" s="124"/>
      <c r="AJ57" s="1956"/>
      <c r="AK57" s="1956"/>
      <c r="AL57" s="310">
        <f>IF(AI57=0,0,(AK57-AI57)/AI57*100)</f>
        <v>0</v>
      </c>
      <c r="AM57" s="73"/>
      <c r="AN57" s="73"/>
      <c r="AO57" s="73"/>
      <c r="AR57" s="1233" t="s">
        <v>1884</v>
      </c>
      <c r="AS57" s="1271"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1" t="s">
        <v>1800</v>
      </c>
      <c r="D58" s="1260" t="s">
        <v>1801</v>
      </c>
      <c r="E58" s="797">
        <v>35</v>
      </c>
      <c r="F58" s="922" cm="1" t="str">
        <f t="array" ref="F58:F58">OFFSET(G58,-1,-1)</f>
        <v>0</v>
      </c>
      <c r="L58" s="1289" t="s">
        <v>1885</v>
      </c>
      <c r="M58" s="1287" cm="1" t="str">
        <f t="array" ref="M58:M58">OFFSET(L58,-1,1)</f>
        <v>0</v>
      </c>
      <c r="N58" s="1289"/>
      <c r="O58" s="1289"/>
      <c r="P58" s="1289"/>
      <c r="Q58" s="1289"/>
      <c r="R58" s="1289"/>
      <c r="S58" s="1289"/>
      <c r="T58" s="808" cm="1" t="str">
        <f t="array" ref="T58:T58">T57</f>
        <v>false</v>
      </c>
      <c r="AB58" s="488" t="s">
        <v>487</v>
      </c>
      <c r="AC58" s="1006" t="s">
        <v>1381</v>
      </c>
      <c r="AD58" s="575" t="s">
        <v>1023</v>
      </c>
      <c r="AE58" s="124"/>
      <c r="AF58" s="124"/>
      <c r="AG58" s="124"/>
      <c r="AH58" s="310">
        <f>AG58-AF58</f>
        <v>0</v>
      </c>
      <c r="AI58" s="124"/>
      <c r="AJ58" s="1956"/>
      <c r="AK58" s="1956"/>
      <c r="AL58" s="310">
        <f>IF(AI58=0,0,(AK58-AI58)/AI58*100)</f>
        <v>0</v>
      </c>
      <c r="AM58" s="73"/>
      <c r="AN58" s="73"/>
      <c r="AO58" s="73"/>
      <c r="AR58" s="1233" t="s">
        <v>1886</v>
      </c>
      <c r="AS58" s="1271"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1" t="s">
        <v>1800</v>
      </c>
      <c r="D59" s="1260" t="s">
        <v>1801</v>
      </c>
      <c r="E59" s="797">
        <v>17.1</v>
      </c>
      <c r="F59" s="922" cm="1" t="str">
        <f t="array" ref="F59:F59">OFFSET(G59,-1,-1)</f>
        <v>0</v>
      </c>
      <c r="L59" s="1289"/>
      <c r="M59" s="1287" cm="1" t="str">
        <f t="array" ref="M59:M59">OFFSET(L59,-1,1)</f>
        <v>0</v>
      </c>
      <c r="N59" s="1279" t="s">
        <v>1887</v>
      </c>
      <c r="O59" s="1289"/>
      <c r="P59" s="1289"/>
      <c r="Q59" s="1289"/>
      <c r="R59" s="1289"/>
      <c r="S59" s="1289"/>
      <c r="T59" s="808" cm="1" t="str">
        <f t="array" ref="T59:T59">T58</f>
        <v>false</v>
      </c>
      <c r="AB59" s="488" t="s">
        <v>491</v>
      </c>
      <c r="AC59" s="1006" t="s">
        <v>1888</v>
      </c>
      <c r="AD59" s="575" t="s">
        <v>1023</v>
      </c>
      <c r="AE59" s="615">
        <f>AE60+AE61</f>
        <v>0</v>
      </c>
      <c r="AF59" s="615">
        <f>AF60+AF61</f>
        <v>0</v>
      </c>
      <c r="AG59" s="615">
        <f>AG60+AG61</f>
        <v>0</v>
      </c>
      <c r="AH59" s="310">
        <f>AG59-AF59</f>
        <v>0</v>
      </c>
      <c r="AI59" s="615">
        <f>AI60+AI61</f>
        <v>0</v>
      </c>
      <c r="AJ59" s="615">
        <f>AJ60+AJ61</f>
        <v>0</v>
      </c>
      <c r="AK59" s="615">
        <f>AK60+AK61</f>
        <v>0</v>
      </c>
      <c r="AL59" s="310">
        <f>IF(AI59=0,0,(AK59-AI59)/AI59*100)</f>
        <v>0</v>
      </c>
      <c r="AM59" s="73"/>
      <c r="AN59" s="73"/>
      <c r="AO59" s="73"/>
      <c r="AR59" s="1233" t="s">
        <v>1889</v>
      </c>
      <c r="AS59" s="1271"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1" t="s">
        <v>1800</v>
      </c>
      <c r="D60" s="1260" t="s">
        <v>1801</v>
      </c>
      <c r="E60" s="797">
        <v>17.1</v>
      </c>
      <c r="F60" s="922" cm="1" t="str">
        <f t="array" ref="F60:F60">OFFSET(G60,-1,-1)</f>
        <v>0</v>
      </c>
      <c r="L60" s="1289" t="s">
        <v>1890</v>
      </c>
      <c r="M60" s="1287" cm="1" t="str">
        <f t="array" ref="M60:M60">OFFSET(L60,-1,1)</f>
        <v>0</v>
      </c>
      <c r="N60" s="1289"/>
      <c r="O60" s="1289"/>
      <c r="P60" s="1289"/>
      <c r="Q60" s="1289"/>
      <c r="R60" s="1289"/>
      <c r="S60" s="1289"/>
      <c r="T60" s="808" cm="1" t="str">
        <f t="array" ref="T60:T60">T59</f>
        <v>false</v>
      </c>
      <c r="AB60" s="499" t="s">
        <v>1891</v>
      </c>
      <c r="AC60" s="1008" t="s">
        <v>1892</v>
      </c>
      <c r="AD60" s="654" t="s">
        <v>1023</v>
      </c>
      <c r="AE60" s="124"/>
      <c r="AF60" s="124"/>
      <c r="AG60" s="124"/>
      <c r="AH60" s="310">
        <f>AG60-AF60</f>
        <v>0</v>
      </c>
      <c r="AI60" s="124"/>
      <c r="AJ60" s="1956"/>
      <c r="AK60" s="1956"/>
      <c r="AL60" s="310">
        <f>IF(AI60=0,0,(AK60-AI60)/AI60*100)</f>
        <v>0</v>
      </c>
      <c r="AM60" s="73"/>
      <c r="AN60" s="73"/>
      <c r="AO60" s="73"/>
      <c r="AR60" s="1233" t="s">
        <v>1893</v>
      </c>
      <c r="AS60" s="1271"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1" t="s">
        <v>1800</v>
      </c>
      <c r="D61" s="1260" t="s">
        <v>1801</v>
      </c>
      <c r="E61" s="797">
        <v>17.1</v>
      </c>
      <c r="F61" s="922" cm="1" t="str">
        <f t="array" ref="F61:F61">OFFSET(G61,-1,-1)</f>
        <v>0</v>
      </c>
      <c r="L61" s="1289"/>
      <c r="M61" s="1287" cm="1" t="str">
        <f t="array" ref="M61:M61">OFFSET(L61,-1,1)</f>
        <v>0</v>
      </c>
      <c r="N61" s="1289" t="s">
        <v>1894</v>
      </c>
      <c r="O61" s="1289"/>
      <c r="P61" s="1289"/>
      <c r="Q61" s="1289"/>
      <c r="R61" s="1289"/>
      <c r="S61" s="1289"/>
      <c r="T61" s="808" cm="1" t="str">
        <f t="array" ref="T61:T61">T60</f>
        <v>false</v>
      </c>
      <c r="AB61" s="859" t="s">
        <v>1895</v>
      </c>
      <c r="AC61" s="1004" t="s">
        <v>1896</v>
      </c>
      <c r="AD61" s="859" t="s">
        <v>1023</v>
      </c>
      <c r="AE61" s="124"/>
      <c r="AF61" s="124"/>
      <c r="AG61" s="124"/>
      <c r="AH61" s="310">
        <f>AG61-AF61</f>
        <v>0</v>
      </c>
      <c r="AI61" s="124"/>
      <c r="AJ61" s="1956"/>
      <c r="AK61" s="1956"/>
      <c r="AL61" s="310">
        <f>IF(AI61=0,0,(AK61-AI61)/AI61*100)</f>
        <v>0</v>
      </c>
      <c r="AM61" s="73"/>
      <c r="AN61" s="73"/>
      <c r="AO61" s="73"/>
      <c r="AR61" s="1233" t="s">
        <v>1897</v>
      </c>
      <c r="AS61" s="1271"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1" t="s">
        <v>1800</v>
      </c>
      <c r="D62" s="1260" t="s">
        <v>1801</v>
      </c>
      <c r="E62" s="797">
        <v>35</v>
      </c>
      <c r="F62" s="922" cm="1" t="str">
        <f t="array" ref="F62:F62">OFFSET(G62,-1,-1)</f>
        <v>0</v>
      </c>
      <c r="L62" s="1289"/>
      <c r="M62" s="1287" cm="1" t="str">
        <f t="array" ref="M62:M62">OFFSET(L62,-1,1)</f>
        <v>0</v>
      </c>
      <c r="N62" s="1289" t="s">
        <v>1898</v>
      </c>
      <c r="O62" s="1289"/>
      <c r="P62" s="1289"/>
      <c r="Q62" s="1289"/>
      <c r="R62" s="1289"/>
      <c r="S62" s="1289"/>
      <c r="T62" s="808" cm="1" t="str">
        <f t="array" ref="T62:T62">T61</f>
        <v>false</v>
      </c>
      <c r="AB62" s="886">
        <v>3</v>
      </c>
      <c r="AC62" s="1010" t="s">
        <v>1899</v>
      </c>
      <c r="AD62" s="886" t="s">
        <v>1023</v>
      </c>
      <c r="AE62" s="615">
        <f>AE63+AE64+AE65+AE66</f>
        <v>0</v>
      </c>
      <c r="AF62" s="615">
        <f>AF63+AF64+AF65+AF66</f>
        <v>0</v>
      </c>
      <c r="AG62" s="615">
        <f>AG63+AG64+AG65+AG66</f>
        <v>0</v>
      </c>
      <c r="AH62" s="310">
        <f>AG62-AF62</f>
        <v>0</v>
      </c>
      <c r="AI62" s="615">
        <f>AI63+AI64+AI65+AI66</f>
        <v>0</v>
      </c>
      <c r="AJ62" s="615">
        <f>AJ63+AJ64+AJ65+AJ66</f>
        <v>0</v>
      </c>
      <c r="AK62" s="615">
        <f>AK63+AK64+AK65+AK66</f>
        <v>0</v>
      </c>
      <c r="AL62" s="310">
        <f>IF(AI62=0,0,(AK62-AI62)/AI62*100)</f>
        <v>0</v>
      </c>
      <c r="AM62" s="73"/>
      <c r="AN62" s="73"/>
      <c r="AO62" s="73"/>
      <c r="AR62" s="1233" t="s">
        <v>1900</v>
      </c>
      <c r="AS62" s="1271"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1" t="s">
        <v>1800</v>
      </c>
      <c r="D63" s="1260" t="s">
        <v>1801</v>
      </c>
      <c r="E63" s="797">
        <v>17.1</v>
      </c>
      <c r="F63" s="922" cm="1" t="str">
        <f t="array" ref="F63:F63">OFFSET(G63,-1,-1)</f>
        <v>0</v>
      </c>
      <c r="L63" s="1289"/>
      <c r="M63" s="1287" cm="1" t="str">
        <f t="array" ref="M63:M63">OFFSET(L63,-1,1)</f>
        <v>0</v>
      </c>
      <c r="N63" s="1289" t="s">
        <v>1901</v>
      </c>
      <c r="O63" s="1289"/>
      <c r="P63" s="1289"/>
      <c r="Q63" s="1289"/>
      <c r="R63" s="1289"/>
      <c r="S63" s="1289"/>
      <c r="T63" s="808" cm="1" t="str">
        <f t="array" ref="T63:T63">T62</f>
        <v>false</v>
      </c>
      <c r="AB63" s="859" t="s">
        <v>715</v>
      </c>
      <c r="AC63" s="1001" t="s">
        <v>1902</v>
      </c>
      <c r="AD63" s="859" t="s">
        <v>1023</v>
      </c>
      <c r="AE63" s="124"/>
      <c r="AF63" s="124"/>
      <c r="AG63" s="124"/>
      <c r="AH63" s="310">
        <f>AG63-AF63</f>
        <v>0</v>
      </c>
      <c r="AI63" s="124"/>
      <c r="AJ63" s="1956"/>
      <c r="AK63" s="1956"/>
      <c r="AL63" s="310">
        <f>IF(AI63=0,0,(AK63-AI63)/AI63*100)</f>
        <v>0</v>
      </c>
      <c r="AM63" s="73"/>
      <c r="AN63" s="73"/>
      <c r="AO63" s="73"/>
      <c r="AR63" s="1233" t="s">
        <v>1903</v>
      </c>
      <c r="AS63" s="1271"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1" t="s">
        <v>1800</v>
      </c>
      <c r="D64" s="1260" t="s">
        <v>1801</v>
      </c>
      <c r="E64" s="797">
        <v>17.1</v>
      </c>
      <c r="F64" s="922" cm="1" t="str">
        <f t="array" ref="F64:F64">OFFSET(G64,-1,-1)</f>
        <v>0</v>
      </c>
      <c r="L64" s="1289"/>
      <c r="M64" s="1287" cm="1" t="str">
        <f t="array" ref="M64:M64">OFFSET(L64,-1,1)</f>
        <v>0</v>
      </c>
      <c r="N64" s="1289" t="s">
        <v>1904</v>
      </c>
      <c r="O64" s="1289"/>
      <c r="P64" s="1289"/>
      <c r="Q64" s="1289"/>
      <c r="R64" s="1289"/>
      <c r="S64" s="1289"/>
      <c r="T64" s="808" cm="1" t="str">
        <f t="array" ref="T64:T64">T63</f>
        <v>false</v>
      </c>
      <c r="AB64" s="859" t="s">
        <v>718</v>
      </c>
      <c r="AC64" s="1001" t="s">
        <v>1905</v>
      </c>
      <c r="AD64" s="859" t="s">
        <v>1023</v>
      </c>
      <c r="AE64" s="124"/>
      <c r="AF64" s="124"/>
      <c r="AG64" s="124"/>
      <c r="AH64" s="310">
        <f>AG64-AF64</f>
        <v>0</v>
      </c>
      <c r="AI64" s="124"/>
      <c r="AJ64" s="1956"/>
      <c r="AK64" s="1956"/>
      <c r="AL64" s="310">
        <f>IF(AI64=0,0,(AK64-AI64)/AI64*100)</f>
        <v>0</v>
      </c>
      <c r="AM64" s="73"/>
      <c r="AN64" s="73"/>
      <c r="AO64" s="73"/>
      <c r="AR64" s="1233" t="s">
        <v>1906</v>
      </c>
      <c r="AS64" s="1271"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1" t="s">
        <v>1800</v>
      </c>
      <c r="D65" s="1260" t="s">
        <v>1801</v>
      </c>
      <c r="E65" s="797">
        <v>17.1</v>
      </c>
      <c r="F65" s="922" cm="1" t="str">
        <f t="array" ref="F65:F65">OFFSET(G65,-1,-1)</f>
        <v>0</v>
      </c>
      <c r="L65" s="1289"/>
      <c r="M65" s="1287" cm="1" t="str">
        <f t="array" ref="M65:M65">OFFSET(L65,-1,1)</f>
        <v>0</v>
      </c>
      <c r="N65" s="1289"/>
      <c r="O65" s="1289"/>
      <c r="P65" s="1289"/>
      <c r="Q65" s="1289" t="s">
        <v>1907</v>
      </c>
      <c r="R65" s="1289"/>
      <c r="S65" s="1289"/>
      <c r="T65" s="808" cm="1" t="str">
        <f t="array" ref="T65:T65">T64</f>
        <v>false</v>
      </c>
      <c r="AB65" s="859" t="s">
        <v>1908</v>
      </c>
      <c r="AC65" s="1001" t="s">
        <v>1909</v>
      </c>
      <c r="AD65" s="859" t="s">
        <v>1023</v>
      </c>
      <c r="AE65" s="124"/>
      <c r="AF65" s="124"/>
      <c r="AG65" s="124"/>
      <c r="AH65" s="310">
        <f>AG65-AF65</f>
        <v>0</v>
      </c>
      <c r="AI65" s="124"/>
      <c r="AJ65" s="1956"/>
      <c r="AK65" s="1956"/>
      <c r="AL65" s="310">
        <f>IF(AI65=0,0,(AK65-AI65)/AI65*100)</f>
        <v>0</v>
      </c>
      <c r="AM65" s="73"/>
      <c r="AN65" s="73"/>
      <c r="AO65" s="73"/>
      <c r="AR65" s="1233" t="s">
        <v>1910</v>
      </c>
      <c r="AS65" s="1271"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1" t="s">
        <v>1800</v>
      </c>
      <c r="D66" s="1260" t="s">
        <v>1801</v>
      </c>
      <c r="E66" s="797">
        <v>17.1</v>
      </c>
      <c r="F66" s="922" cm="1" t="str">
        <f t="array" ref="F66:F66">OFFSET(G66,-1,-1)</f>
        <v>0</v>
      </c>
      <c r="L66" s="1289" t="s">
        <v>1860</v>
      </c>
      <c r="M66" s="1287" cm="1" t="str">
        <f t="array" ref="M66:M66">OFFSET(L66,-1,1)</f>
        <v>0</v>
      </c>
      <c r="N66" s="1289" t="s">
        <v>1887</v>
      </c>
      <c r="O66" s="1289"/>
      <c r="P66" s="1289"/>
      <c r="Q66" s="1289"/>
      <c r="R66" s="1289"/>
      <c r="S66" s="1289"/>
      <c r="T66" s="808" cm="1" t="str">
        <f t="array" ref="T66:T66">T65</f>
        <v>false</v>
      </c>
      <c r="AB66" s="859" t="s">
        <v>1911</v>
      </c>
      <c r="AC66" s="1001" t="s">
        <v>1269</v>
      </c>
      <c r="AD66" s="859" t="s">
        <v>1023</v>
      </c>
      <c r="AE66" s="124"/>
      <c r="AF66" s="124"/>
      <c r="AG66" s="124"/>
      <c r="AH66" s="310">
        <f>AG66-AF66</f>
        <v>0</v>
      </c>
      <c r="AI66" s="124"/>
      <c r="AJ66" s="1956"/>
      <c r="AK66" s="1956"/>
      <c r="AL66" s="310">
        <f>IF(AI66=0,0,(AK66-AI66)/AI66*100)</f>
        <v>0</v>
      </c>
      <c r="AM66" s="73"/>
      <c r="AN66" s="73"/>
      <c r="AO66" s="73"/>
      <c r="AR66" s="1233" t="s">
        <v>1912</v>
      </c>
      <c r="AS66" s="1271"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1" t="s">
        <v>1800</v>
      </c>
      <c r="D67" s="1260" t="s">
        <v>1801</v>
      </c>
      <c r="E67" s="797">
        <v>17.1</v>
      </c>
      <c r="F67" s="922" cm="1" t="str">
        <f t="array" ref="F67:F67">OFFSET(G67,-1,-1)</f>
        <v>0</v>
      </c>
      <c r="G67" s="739" t="s">
        <v>1263</v>
      </c>
      <c r="L67" s="1289" t="s">
        <v>1913</v>
      </c>
      <c r="M67" s="1287" cm="1" t="str">
        <f t="array" ref="M67:M67">OFFSET(L67,-1,1)</f>
        <v>0</v>
      </c>
      <c r="N67" s="1289"/>
      <c r="O67" s="1289"/>
      <c r="P67" s="1289"/>
      <c r="Q67" s="1289"/>
      <c r="R67" s="1289"/>
      <c r="S67" s="1289"/>
      <c r="T67" s="808" cm="1" t="str">
        <f t="array" ref="T67:T67">T66</f>
        <v>false</v>
      </c>
      <c r="AB67" s="886">
        <v>4</v>
      </c>
      <c r="AC67" s="1010" t="s">
        <v>1378</v>
      </c>
      <c r="AD67" s="886" t="s">
        <v>1023</v>
      </c>
      <c r="AE67" s="615">
        <f>_xlfn.SUMIFS(Налоги!AE$26:AE$55,Налоги!$F$26:$F$55,$F67,Налоги!$G$26:$G$55,$G67)</f>
        <v>0</v>
      </c>
      <c r="AF67" s="615">
        <f>_xlfn.SUMIFS(Налоги!AF$26:AF$55,Налоги!$F$26:$F$55,$F67,Налоги!$G$26:$G$55,$G67)</f>
        <v>0</v>
      </c>
      <c r="AG67" s="615">
        <f>_xlfn.SUMIFS(Налоги!AG$26:AG$55,Налоги!$F$26:$F$55,$F67,Налоги!$G$26:$G$55,$G67)</f>
        <v>0</v>
      </c>
      <c r="AH67" s="310">
        <f>AG67-AF67</f>
        <v>0</v>
      </c>
      <c r="AI67" s="615">
        <f>_xlfn.SUMIFS(Налоги!AH$26:AH$55,Налоги!$F$26:$F$55,$F67,Налоги!$G$26:$G$55,$G67)</f>
        <v>0</v>
      </c>
      <c r="AJ67" s="615">
        <f>_xlfn.SUMIFS(Налоги!AI$26:AI$55,Налоги!$F$26:$F$55,$F67,Налоги!$G$26:$G$55,$G67)</f>
        <v>0</v>
      </c>
      <c r="AK67" s="615">
        <f>_xlfn.SUMIFS(Налоги!AS$26:AS$55,Налоги!$F$26:$F$55,$F67,Налоги!$G$26:$G$55,$G67)</f>
        <v>0</v>
      </c>
      <c r="AL67" s="310">
        <f>IF(AI67=0,0,(AK67-AI67)/AI67*100)</f>
        <v>0</v>
      </c>
      <c r="AM67" s="73"/>
      <c r="AN67" s="73"/>
      <c r="AO67" s="73"/>
      <c r="AR67" s="1233" t="s">
        <v>579</v>
      </c>
      <c r="AS67" s="1271"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1" t="s">
        <v>1667</v>
      </c>
      <c r="D68" s="1260" t="s">
        <v>1668</v>
      </c>
      <c r="E68" s="797">
        <v>35</v>
      </c>
      <c r="F68" s="922" cm="1" t="str">
        <f t="array" ref="F68:F68">OFFSET(G68,-1,-1)</f>
        <v>0</v>
      </c>
      <c r="L68" s="1289"/>
      <c r="M68" s="1287" cm="1" t="str">
        <f t="array" ref="M68:M68">OFFSET(L68,-1,1)</f>
        <v>0</v>
      </c>
      <c r="N68" s="1289" t="s">
        <v>1914</v>
      </c>
      <c r="O68" s="1289"/>
      <c r="P68" s="1289"/>
      <c r="Q68" s="1289"/>
      <c r="R68" s="1289"/>
      <c r="S68" s="1289"/>
      <c r="T68" s="808" cm="1" t="str">
        <f t="array" ref="T68:T68">T67</f>
        <v>false</v>
      </c>
      <c r="AB68" s="886">
        <v>5</v>
      </c>
      <c r="AC68" s="1010" t="s">
        <v>1915</v>
      </c>
      <c r="AD68" s="886" t="s">
        <v>1023</v>
      </c>
      <c r="AE68" s="124"/>
      <c r="AF68" s="124"/>
      <c r="AG68" s="124"/>
      <c r="AH68" s="310">
        <f>AG68-AF68</f>
        <v>0</v>
      </c>
      <c r="AI68" s="124"/>
      <c r="AJ68" s="1956"/>
      <c r="AK68" s="1956"/>
      <c r="AL68" s="310">
        <f>IF(AI68=0,0,(AK68-AI68)/AI68*100)</f>
        <v>0</v>
      </c>
      <c r="AM68" s="73"/>
      <c r="AN68" s="73"/>
      <c r="AO68" s="73"/>
      <c r="AR68" s="1233" t="s">
        <v>1509</v>
      </c>
      <c r="AS68" s="1271"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1" t="s">
        <v>1800</v>
      </c>
      <c r="D69" s="1260" t="s">
        <v>1801</v>
      </c>
      <c r="E69" s="797">
        <v>17.1</v>
      </c>
      <c r="F69" s="922" cm="1" t="str">
        <f t="array" ref="F69:F69">OFFSET(G69,-1,-1)</f>
        <v>0</v>
      </c>
      <c r="L69" s="1289"/>
      <c r="M69" s="1287" cm="1" t="str">
        <f t="array" ref="M69:M69">OFFSET(L69,-1,1)</f>
        <v>0</v>
      </c>
      <c r="N69" s="1289" t="s">
        <v>1916</v>
      </c>
      <c r="O69" s="1289"/>
      <c r="P69" s="1289"/>
      <c r="Q69" s="1289"/>
      <c r="R69" s="1289"/>
      <c r="S69" s="1289"/>
      <c r="T69" s="808" cm="1" t="str">
        <f t="array" ref="T69:T69">T68</f>
        <v>false</v>
      </c>
      <c r="AB69" s="886">
        <v>6</v>
      </c>
      <c r="AC69" s="1010" t="s">
        <v>1917</v>
      </c>
      <c r="AD69" s="886" t="s">
        <v>1023</v>
      </c>
      <c r="AE69" s="124"/>
      <c r="AF69" s="124"/>
      <c r="AG69" s="124"/>
      <c r="AH69" s="310">
        <f>AG69-AF69</f>
        <v>0</v>
      </c>
      <c r="AI69" s="124"/>
      <c r="AJ69" s="1956"/>
      <c r="AK69" s="1956"/>
      <c r="AL69" s="310">
        <f>IF(AI69=0,0,(AK69-AI69)/AI69*100)</f>
        <v>0</v>
      </c>
      <c r="AM69" s="73"/>
      <c r="AN69" s="73"/>
      <c r="AO69" s="73"/>
      <c r="AR69" s="1233" t="s">
        <v>1380</v>
      </c>
      <c r="AS69" s="1271"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1" t="s">
        <v>1695</v>
      </c>
      <c r="D70" s="1260" t="s">
        <v>1696</v>
      </c>
      <c r="E70" s="797">
        <v>17.1</v>
      </c>
      <c r="F70" s="922" cm="1" t="str">
        <f t="array" ref="F70:F70">OFFSET(G70,-1,-1)</f>
        <v>0</v>
      </c>
      <c r="L70" s="1289"/>
      <c r="M70" s="1287" cm="1" t="str">
        <f t="array" ref="M70:M70">OFFSET(L70,-1,1)</f>
        <v>0</v>
      </c>
      <c r="N70" s="1289"/>
      <c r="O70" s="1289"/>
      <c r="P70" s="1289"/>
      <c r="Q70" s="1289"/>
      <c r="R70" s="1289"/>
      <c r="S70" s="1289"/>
      <c r="T70" s="808" cm="1" t="str">
        <f t="array" ref="T70:T70">T69</f>
        <v>false</v>
      </c>
      <c r="AB70" s="1011" t="s">
        <v>656</v>
      </c>
      <c r="AC70" s="1012" t="s">
        <v>1698</v>
      </c>
      <c r="AD70" s="1013" t="s">
        <v>1023</v>
      </c>
      <c r="AE70" s="615">
        <f>AE28+AE55+AE62+AE67+AE68+AE69</f>
        <v>0</v>
      </c>
      <c r="AF70" s="615">
        <f>AF28+AF55+AF62+AF67+AF68+AF69</f>
        <v>0</v>
      </c>
      <c r="AG70" s="615">
        <f>AG28+AG55+AG62+AG67+AG68+AG69</f>
        <v>0</v>
      </c>
      <c r="AH70" s="310">
        <f>AG70-AF70</f>
        <v>0</v>
      </c>
      <c r="AI70" s="615">
        <f>AI28+AI55+AI62+AI67+AI68+AI69</f>
        <v>0</v>
      </c>
      <c r="AJ70" s="615">
        <f>AJ28+AJ55+AJ62+AJ67+AJ68+AJ69</f>
        <v>0</v>
      </c>
      <c r="AK70" s="615">
        <f>AK28+AK55+AK62+AK67+AK68+AK69</f>
        <v>0</v>
      </c>
      <c r="AL70" s="310">
        <f>IF(AI70=0,0,(AK70-AI70)/AI70*100)</f>
        <v>0</v>
      </c>
      <c r="AM70" s="73"/>
      <c r="AN70" s="73"/>
      <c r="AO70" s="73"/>
      <c r="AR70" s="1233" t="s">
        <v>1918</v>
      </c>
      <c r="AS70" s="1271"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1" t="s">
        <v>1700</v>
      </c>
      <c r="D71" s="1260" t="s">
        <v>1701</v>
      </c>
      <c r="E71" s="797">
        <v>50</v>
      </c>
      <c r="F71" s="922" cm="1" t="str">
        <f t="array" ref="F71:F71">OFFSET(G71,-1,-1)</f>
        <v>0</v>
      </c>
      <c r="L71" s="1289"/>
      <c r="M71" s="1287" cm="1" t="str">
        <f t="array" ref="M71:M71">OFFSET(L71,-1,1)</f>
        <v>0</v>
      </c>
      <c r="N71" s="1289"/>
      <c r="O71" s="1289"/>
      <c r="P71" s="1289"/>
      <c r="Q71" s="1289"/>
      <c r="R71" s="1289"/>
      <c r="S71" s="1289"/>
      <c r="T71" s="808" cm="1" t="str">
        <f t="array" ref="T71:T71">T70</f>
        <v>false</v>
      </c>
      <c r="AB71" s="1014" t="s">
        <v>661</v>
      </c>
      <c r="AC71" s="1086" t="s">
        <v>1700</v>
      </c>
      <c r="AD71" s="859" t="s">
        <v>1023</v>
      </c>
      <c r="AE71" s="124"/>
      <c r="AF71" s="124"/>
      <c r="AG71" s="124"/>
      <c r="AH71" s="310">
        <f>AG71-AF71</f>
        <v>0</v>
      </c>
      <c r="AI71" s="124"/>
      <c r="AJ71" s="1956"/>
      <c r="AK71" s="1956"/>
      <c r="AL71" s="310">
        <f>IF(AI71=0,0,(AK71-AI71)/AI71*100)</f>
        <v>0</v>
      </c>
      <c r="AM71" s="73"/>
      <c r="AN71" s="73"/>
      <c r="AO71" s="73"/>
      <c r="AR71" s="1233" t="s">
        <v>1919</v>
      </c>
      <c r="AS71" s="1271"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1" t="s">
        <v>1704</v>
      </c>
      <c r="D72" s="1260" t="s">
        <v>1705</v>
      </c>
      <c r="E72" s="797">
        <v>17.1</v>
      </c>
      <c r="F72" s="922" cm="1" t="str">
        <f t="array" ref="F72:F72">OFFSET(G72,-1,-1)</f>
        <v>0</v>
      </c>
      <c r="L72" s="1289"/>
      <c r="M72" s="1287" cm="1" t="str">
        <f t="array" ref="M72:M72">OFFSET(L72,-1,1)</f>
        <v>0</v>
      </c>
      <c r="N72" s="1289"/>
      <c r="O72" s="1289"/>
      <c r="P72" s="1289"/>
      <c r="Q72" s="1289"/>
      <c r="R72" s="1289"/>
      <c r="S72" s="1289"/>
      <c r="T72" s="808" cm="1" t="str">
        <f t="array" ref="T72:T72">T71</f>
        <v>false</v>
      </c>
      <c r="AB72" s="649" t="s">
        <v>669</v>
      </c>
      <c r="AC72" s="1073" t="s">
        <v>1708</v>
      </c>
      <c r="AD72" s="1015" t="s">
        <v>1023</v>
      </c>
      <c r="AE72" s="615">
        <f>AE70+AE71</f>
        <v>0</v>
      </c>
      <c r="AF72" s="615">
        <f>AF70+AF71</f>
        <v>0</v>
      </c>
      <c r="AG72" s="615">
        <f>AG70+AG71</f>
        <v>0</v>
      </c>
      <c r="AH72" s="310">
        <f>AG72-AF72</f>
        <v>0</v>
      </c>
      <c r="AI72" s="615">
        <f>AI70+AI71</f>
        <v>0</v>
      </c>
      <c r="AJ72" s="615">
        <f>AJ70+AJ71</f>
        <v>0</v>
      </c>
      <c r="AK72" s="615">
        <f>AK70+AK71</f>
        <v>0</v>
      </c>
      <c r="AL72" s="310">
        <f>IF(AI72=0,0,(AK72-AI72)/AI72*100)</f>
        <v>0</v>
      </c>
      <c r="AM72" s="73"/>
      <c r="AN72" s="73"/>
      <c r="AO72" s="73"/>
      <c r="AR72" s="1233" t="s">
        <v>1920</v>
      </c>
      <c r="AS72" s="1271"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1" t="s">
        <v>1710</v>
      </c>
      <c r="D73" s="1260" t="s">
        <v>1711</v>
      </c>
      <c r="E73" s="797">
        <v>17.1</v>
      </c>
      <c r="F73" s="922" cm="1" t="str">
        <f t="array" ref="F73:F73">OFFSET(G73,-1,-1)</f>
        <v>0</v>
      </c>
      <c r="H73" s="193" cm="1" t="str">
        <f t="array" ref="H73:H73">G27</f>
        <v>0</v>
      </c>
      <c r="L73" s="1289"/>
      <c r="M73" s="1287" cm="1" t="str">
        <f t="array" ref="M73:M73">OFFSET(L73,-1,1)</f>
        <v>0</v>
      </c>
      <c r="N73" s="1289"/>
      <c r="O73" s="1289"/>
      <c r="P73" s="1289"/>
      <c r="Q73" s="1289"/>
      <c r="R73" s="1289"/>
      <c r="S73" s="1289"/>
      <c r="T73" s="808">
        <f>AND(F73&gt;0,H73="двухставочный")</f>
        <v>0</v>
      </c>
      <c r="AB73" s="663" t="str">
        <f>AB72&amp;".1"</f>
        <v>9.1</v>
      </c>
      <c r="AC73" s="619" t="s">
        <v>1713</v>
      </c>
      <c r="AD73" s="312" t="s">
        <v>810</v>
      </c>
      <c r="AE73" s="124"/>
      <c r="AF73" s="124"/>
      <c r="AG73" s="124"/>
      <c r="AH73" s="310">
        <f>AG73-AF73</f>
        <v>0</v>
      </c>
      <c r="AI73" s="124"/>
      <c r="AJ73" s="1956"/>
      <c r="AK73" s="1956"/>
      <c r="AL73" s="310">
        <f>IF(AI73=0,0,(AK73-AI73)/AI73*100)</f>
        <v>0</v>
      </c>
      <c r="AM73" s="73"/>
      <c r="AN73" s="73"/>
      <c r="AO73" s="73"/>
      <c r="AR73" s="1233" t="s">
        <v>1921</v>
      </c>
      <c r="AS73" s="1271"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1" t="s">
        <v>1715</v>
      </c>
      <c r="D74" s="1260" t="s">
        <v>1716</v>
      </c>
      <c r="E74" s="797">
        <v>17.1</v>
      </c>
      <c r="F74" s="922" cm="1" t="str">
        <f t="array" ref="F74:F74">OFFSET(G74,-1,-1)</f>
        <v>0</v>
      </c>
      <c r="H74" s="193" cm="1" t="str">
        <f t="array" ref="H74:H74">G27</f>
        <v>0</v>
      </c>
      <c r="L74" s="1289"/>
      <c r="M74" s="1287" cm="1" t="str">
        <f t="array" ref="M74:M74">OFFSET(L74,-1,1)</f>
        <v>0</v>
      </c>
      <c r="N74" s="1289"/>
      <c r="O74" s="1289"/>
      <c r="P74" s="1289"/>
      <c r="Q74" s="1289"/>
      <c r="R74" s="1289"/>
      <c r="S74" s="1289"/>
      <c r="T74" s="808">
        <f>AND(F74&gt;0,H74="двухставочный")</f>
        <v>0</v>
      </c>
      <c r="AB74" s="663" t="str">
        <f>AB72&amp;".2"</f>
        <v>9.2</v>
      </c>
      <c r="AC74" s="619" t="s">
        <v>1715</v>
      </c>
      <c r="AD74" s="312" t="s">
        <v>810</v>
      </c>
      <c r="AE74" s="615">
        <f>AE72-AE73</f>
        <v>0</v>
      </c>
      <c r="AF74" s="615">
        <f>AF72-AF73</f>
        <v>0</v>
      </c>
      <c r="AG74" s="615">
        <f>AG72-AG73</f>
        <v>0</v>
      </c>
      <c r="AH74" s="310">
        <f>AG74-AF74</f>
        <v>0</v>
      </c>
      <c r="AI74" s="615">
        <f>AI72-AI73</f>
        <v>0</v>
      </c>
      <c r="AJ74" s="615">
        <f>AJ72-AJ73</f>
        <v>0</v>
      </c>
      <c r="AK74" s="615">
        <f>AK72-AK73</f>
        <v>0</v>
      </c>
      <c r="AL74" s="310">
        <f>IF(AI74=0,0,(AK74-AI74)/AI74*100)</f>
        <v>0</v>
      </c>
      <c r="AM74" s="73"/>
      <c r="AN74" s="73"/>
      <c r="AO74" s="73"/>
      <c r="AR74" s="1233" t="s">
        <v>1922</v>
      </c>
      <c r="AS74" s="1271"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1" t="s">
        <v>1718</v>
      </c>
      <c r="D75" s="1260" t="s">
        <v>1719</v>
      </c>
      <c r="E75" s="797">
        <v>17.1</v>
      </c>
      <c r="F75" s="922" cm="1" t="str">
        <f t="array" ref="F75:F75">OFFSET(G75,-1,-1)</f>
        <v>0</v>
      </c>
      <c r="L75" s="1289"/>
      <c r="M75" s="1287" cm="1" t="str">
        <f t="array" ref="M75:M75">OFFSET(L75,-1,1)</f>
        <v>0</v>
      </c>
      <c r="N75" s="1289"/>
      <c r="O75" s="1289"/>
      <c r="P75" s="1289"/>
      <c r="Q75" s="1289"/>
      <c r="R75" s="1289"/>
      <c r="S75" s="1289"/>
      <c r="T75" s="808" cm="1" t="str">
        <f t="array" ref="T75:T75">T72</f>
        <v>false</v>
      </c>
      <c r="AB75" s="317" t="s">
        <v>693</v>
      </c>
      <c r="AC75" s="313" t="s">
        <v>1721</v>
      </c>
      <c r="AD75" s="318" t="s">
        <v>599</v>
      </c>
      <c r="AE75" s="1979">
        <f>IF($K27="передача тепловой энергии",_xlfn.SUMIFS('Баланс Тр'!AE$27:AE$43,'Баланс Тр'!$F$27:$F$43,$F75,'Баланс Тр'!$AB$27:$AB$43,"3"),_xlfn.SUMIFS('Баланс Пр'!AE$27:AE$165,'Баланс Пр'!$F$27:$F$165,$F75,'Баланс Пр'!$AB$27:$AB$165,"9.1"))</f>
        <v>0</v>
      </c>
      <c r="AF75" s="616"/>
      <c r="AG75" s="616"/>
      <c r="AH75" s="377"/>
      <c r="AI75" s="1979">
        <f>IF($K27="передача тепловой энергии",_xlfn.SUMIFS('Баланс Тр'!AH$27:AH$43,'Баланс Тр'!$F$27:$F$43,$F75,'Баланс Тр'!$AB$27:$AB$43,"3"),_xlfn.SUMIFS('Баланс Пр'!AH$27:AH$165,'Баланс Пр'!$F$27:$F$165,$F75,'Баланс Пр'!$AB$27:$AB$165,"9.1"))</f>
        <v>0</v>
      </c>
      <c r="AJ75" s="1979">
        <f>IF($K27="передача тепловой энергии",_xlfn.SUMIFS('Баланс Тр'!AI$27:AI$43,'Баланс Тр'!$F$27:$F$43,$F75,'Баланс Тр'!$AB$27:$AB$43,"3"),_xlfn.SUMIFS('Баланс Пр'!AI$27:AI$165,'Баланс Пр'!$F$27:$F$165,$F75,'Баланс Пр'!$AB$27:$AB$165,"9.1"))</f>
        <v>0</v>
      </c>
      <c r="AK75" s="1979">
        <f>IF($K27="передача тепловой энергии",_xlfn.SUMIFS('Баланс Тр'!AS$27:AS$43,'Баланс Тр'!$F$27:$F$43,$F75,'Баланс Тр'!$AB$27:$AB$43,"3"),_xlfn.SUMIFS('Баланс Пр'!AS$27:AS$165,'Баланс Пр'!$F$27:$F$165,$F75,'Баланс Пр'!$AB$27:$AB$165,"9.1"))</f>
        <v>0</v>
      </c>
      <c r="AL75" s="310">
        <f>IF(AI75=0,0,(AK75-AI75)/AI75*100)</f>
        <v>0</v>
      </c>
      <c r="AM75" s="73"/>
      <c r="AN75" s="73"/>
      <c r="AO75" s="73"/>
      <c r="AR75" s="1233" t="s">
        <v>1722</v>
      </c>
      <c r="AS75" s="1271"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5" customFormat="1" customHeight="1" ht="16.672500000000003" hidden="1">
      <c r="C76" s="1301" t="s">
        <v>1723</v>
      </c>
      <c r="D76" s="1260" t="s">
        <v>1724</v>
      </c>
      <c r="E76" s="797">
        <v>17.1</v>
      </c>
      <c r="F76" s="922" cm="1" t="str">
        <f t="array" ref="F76:F76">OFFSET(G76,-1,-1)</f>
        <v>0</v>
      </c>
      <c r="G76" s="193" t="s">
        <v>1725</v>
      </c>
      <c r="L76" s="1297"/>
      <c r="M76" s="1287" cm="1" t="str">
        <f t="array" ref="M76:M76">OFFSET(L76,-1,1)</f>
        <v>0</v>
      </c>
      <c r="N76" s="1297"/>
      <c r="O76" s="1297"/>
      <c r="P76" s="1297"/>
      <c r="Q76" s="1289"/>
      <c r="R76" s="1289"/>
      <c r="S76" s="1289" t="s">
        <v>1726</v>
      </c>
      <c r="T76" s="808" cm="1" t="str">
        <f t="array" ref="T76:T76">T75</f>
        <v>false</v>
      </c>
      <c r="AB76" s="663" t="str">
        <f>AB75&amp;".1"</f>
        <v>10.1</v>
      </c>
      <c r="AC76" s="289" t="s">
        <v>1727</v>
      </c>
      <c r="AD76" s="312" t="s">
        <v>599</v>
      </c>
      <c r="AE76" s="124"/>
      <c r="AF76" s="616"/>
      <c r="AG76" s="616"/>
      <c r="AH76" s="377"/>
      <c r="AI76" s="124"/>
      <c r="AJ76" s="1956"/>
      <c r="AK76" s="1956"/>
      <c r="AL76" s="310">
        <f>IF(AI76=0,0,(AK76-AI76)/AI76*100)</f>
        <v>0</v>
      </c>
      <c r="AM76" s="73"/>
      <c r="AN76" s="73"/>
      <c r="AO76" s="73"/>
      <c r="AR76" s="1233" t="s">
        <v>1728</v>
      </c>
      <c r="AS76" s="1271"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5" customFormat="1" customHeight="1" ht="16.672500000000003" hidden="1">
      <c r="C77" s="1301" t="s">
        <v>1729</v>
      </c>
      <c r="D77" s="1260" t="s">
        <v>1730</v>
      </c>
      <c r="E77" s="797">
        <v>17.1</v>
      </c>
      <c r="F77" s="922" cm="1" t="str">
        <f t="array" ref="F77:F77">OFFSET(G77,-1,-1)</f>
        <v>0</v>
      </c>
      <c r="G77" s="739" t="s">
        <v>1731</v>
      </c>
      <c r="L77" s="1297"/>
      <c r="M77" s="1287" cm="1" t="str">
        <f t="array" ref="M77:M77">OFFSET(L77,-1,1)</f>
        <v>0</v>
      </c>
      <c r="N77" s="1297"/>
      <c r="O77" s="1297"/>
      <c r="P77" s="1297"/>
      <c r="Q77" s="1289"/>
      <c r="R77" s="1289"/>
      <c r="S77" s="1289" t="s">
        <v>1726</v>
      </c>
      <c r="T77" s="808" cm="1" t="str">
        <f t="array" ref="T77:T77">T76</f>
        <v>false</v>
      </c>
      <c r="AB77" s="663" t="str">
        <f>AB75&amp;".2"</f>
        <v>10.2</v>
      </c>
      <c r="AC77" s="289" t="s">
        <v>1732</v>
      </c>
      <c r="AD77" s="312" t="s">
        <v>900</v>
      </c>
      <c r="AE77" s="124"/>
      <c r="AF77" s="616"/>
      <c r="AG77" s="616"/>
      <c r="AH77" s="377"/>
      <c r="AI77" s="124"/>
      <c r="AJ77" s="1956"/>
      <c r="AK77" s="1956"/>
      <c r="AL77" s="310">
        <f>IF(AI77=0,0,(AK77-AI77)/AI77*100)</f>
        <v>0</v>
      </c>
      <c r="AM77" s="73"/>
      <c r="AN77" s="73"/>
      <c r="AO77" s="73"/>
      <c r="AR77" s="1233" t="s">
        <v>1733</v>
      </c>
      <c r="AS77" s="1271"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1" t="s">
        <v>1723</v>
      </c>
      <c r="D78" s="1260" t="s">
        <v>1724</v>
      </c>
      <c r="E78" s="797">
        <v>17.1</v>
      </c>
      <c r="F78" s="922" cm="1" t="str">
        <f t="array" ref="F78:F78">OFFSET(G78,-1,-1)</f>
        <v>0</v>
      </c>
      <c r="G78" s="193" t="s">
        <v>1734</v>
      </c>
      <c r="L78" s="1289"/>
      <c r="M78" s="1287" cm="1" t="str">
        <f t="array" ref="M78:M78">OFFSET(L78,-1,1)</f>
        <v>0</v>
      </c>
      <c r="N78" s="1289"/>
      <c r="O78" s="1289"/>
      <c r="P78" s="1289"/>
      <c r="Q78" s="1289"/>
      <c r="R78" s="1289"/>
      <c r="S78" s="1289" t="s">
        <v>1735</v>
      </c>
      <c r="T78" s="808" cm="1" t="str">
        <f t="array" ref="T78:T78">T77</f>
        <v>false</v>
      </c>
      <c r="AB78" s="663" t="str">
        <f>AB75&amp;".3"</f>
        <v>10.3</v>
      </c>
      <c r="AC78" s="289" t="s">
        <v>1736</v>
      </c>
      <c r="AD78" s="312" t="s">
        <v>599</v>
      </c>
      <c r="AE78" s="1021">
        <f>AE75-AE76</f>
        <v>0</v>
      </c>
      <c r="AF78" s="616"/>
      <c r="AG78" s="616"/>
      <c r="AH78" s="377"/>
      <c r="AI78" s="1021">
        <f>AI75-AI76</f>
        <v>0</v>
      </c>
      <c r="AJ78" s="1021">
        <f>AJ75-AJ76</f>
        <v>0</v>
      </c>
      <c r="AK78" s="1021">
        <f>AK75-AK76</f>
        <v>0</v>
      </c>
      <c r="AL78" s="310">
        <f>IF(AI78=0,0,(AK78-AI78)/AI78*100)</f>
        <v>0</v>
      </c>
      <c r="AM78" s="69"/>
      <c r="AN78" s="69"/>
      <c r="AO78" s="69"/>
      <c r="AR78" s="1233" t="s">
        <v>1737</v>
      </c>
      <c r="AS78" s="1271"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1" t="s">
        <v>1729</v>
      </c>
      <c r="D79" s="1260" t="s">
        <v>1730</v>
      </c>
      <c r="E79" s="797">
        <v>17.1</v>
      </c>
      <c r="F79" s="922" cm="1" t="str">
        <f t="array" ref="F79:F79">OFFSET(G79,-1,-1)</f>
        <v>0</v>
      </c>
      <c r="G79" s="739" t="s">
        <v>1738</v>
      </c>
      <c r="L79" s="1289"/>
      <c r="M79" s="1287" cm="1" t="str">
        <f t="array" ref="M79:M79">OFFSET(L79,-1,1)</f>
        <v>0</v>
      </c>
      <c r="N79" s="1289"/>
      <c r="O79" s="1289"/>
      <c r="P79" s="1289"/>
      <c r="Q79" s="1289"/>
      <c r="R79" s="1289"/>
      <c r="S79" s="1289" t="s">
        <v>1735</v>
      </c>
      <c r="T79" s="808" cm="1" t="str">
        <f t="array" ref="T79:T79">T78</f>
        <v>false</v>
      </c>
      <c r="AB79" s="663" t="str">
        <f>AB75&amp;".4"</f>
        <v>10.4</v>
      </c>
      <c r="AC79" s="289" t="s">
        <v>1739</v>
      </c>
      <c r="AD79" s="312" t="s">
        <v>900</v>
      </c>
      <c r="AE79" s="124">
        <f>_xlfn.IFERROR((AE72*1000-AE76*AE77)/AE78,0)</f>
        <v>0</v>
      </c>
      <c r="AF79" s="616"/>
      <c r="AG79" s="616"/>
      <c r="AH79" s="377"/>
      <c r="AI79" s="124">
        <f>_xlfn.IFERROR((AI72*1000-AI76*AI77)/AI78,0)</f>
        <v>0</v>
      </c>
      <c r="AJ79" s="1956">
        <f>_xlfn.IFERROR((AJ72*1000-AJ76*AJ77)/AJ78,0)</f>
        <v>0</v>
      </c>
      <c r="AK79" s="1956">
        <f>_xlfn.IFERROR((AK72*1000-AK76*AK77)/AK78,0)</f>
        <v>0</v>
      </c>
      <c r="AL79" s="310">
        <f>IF(AI79=0,0,(AK79-AI79)/AI79*100)</f>
        <v>0</v>
      </c>
      <c r="AM79" s="79"/>
      <c r="AN79" s="79"/>
      <c r="AO79" s="79"/>
      <c r="AR79" s="1233" t="s">
        <v>1740</v>
      </c>
      <c r="AS79" s="1271"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6" customFormat="1" customHeight="1" ht="16.672500000000003" hidden="1">
      <c r="C80" s="1301" t="s">
        <v>1741</v>
      </c>
      <c r="D80" s="1260" t="s">
        <v>1742</v>
      </c>
      <c r="E80" s="797">
        <v>17.1</v>
      </c>
      <c r="F80" s="922" cm="1" t="str">
        <f t="array" ref="F80:F80">OFFSET(G80,-1,-1)</f>
        <v>0</v>
      </c>
      <c r="L80" s="1289"/>
      <c r="M80" s="1287" cm="1" t="str">
        <f t="array" ref="M80:M80">OFFSET(L80,-1,1)</f>
        <v>0</v>
      </c>
      <c r="N80" s="1289"/>
      <c r="O80" s="1289"/>
      <c r="P80" s="1289"/>
      <c r="Q80" s="1289"/>
      <c r="R80" s="1289"/>
      <c r="S80" s="1289"/>
      <c r="T80" s="808" cm="1" t="str">
        <f t="array" ref="T80:T80">T79</f>
        <v>false</v>
      </c>
      <c r="AB80" s="663" t="str">
        <f>AB75&amp;".5"</f>
        <v>10.5</v>
      </c>
      <c r="AC80" s="315" t="s">
        <v>1743</v>
      </c>
      <c r="AD80" s="312" t="s">
        <v>498</v>
      </c>
      <c r="AE80" s="665">
        <f>_xlfn.IFERROR(AE79/AE77,0)</f>
        <v>0</v>
      </c>
      <c r="AF80" s="616"/>
      <c r="AG80" s="616"/>
      <c r="AH80" s="377"/>
      <c r="AI80" s="665">
        <f>_xlfn.IFERROR(AI79/AI77,0)</f>
        <v>0</v>
      </c>
      <c r="AJ80" s="665">
        <f>_xlfn.IFERROR(AJ79/AJ77,0)</f>
        <v>0</v>
      </c>
      <c r="AK80" s="665">
        <f>_xlfn.IFERROR(AK79/AK77,0)</f>
        <v>0</v>
      </c>
      <c r="AL80" s="310">
        <f>IF(AI80=0,0,(AK80-AI80)/AI80*100)</f>
        <v>0</v>
      </c>
      <c r="AM80" s="842"/>
      <c r="AN80" s="842"/>
      <c r="AO80" s="842"/>
      <c r="AR80" s="1233" t="s">
        <v>1744</v>
      </c>
      <c r="AS80" s="1271"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1" t="s">
        <v>1745</v>
      </c>
      <c r="D81" s="1260" t="s">
        <v>1746</v>
      </c>
      <c r="E81" s="797">
        <v>17.1</v>
      </c>
      <c r="F81" s="922" cm="1" t="str">
        <f t="array" ref="F81:F81">OFFSET(G81,-1,-1)</f>
        <v>0</v>
      </c>
      <c r="L81" s="1289"/>
      <c r="M81" s="1287" cm="1" t="str">
        <f t="array" ref="M81:M81">OFFSET(L81,-1,1)</f>
        <v>0</v>
      </c>
      <c r="N81" s="1289"/>
      <c r="O81" s="1289"/>
      <c r="P81" s="1289"/>
      <c r="Q81" s="1289"/>
      <c r="R81" s="1289"/>
      <c r="S81" s="1289"/>
      <c r="T81" s="808" cm="1" t="str">
        <f t="array" ref="T81:T81">T80</f>
        <v>false</v>
      </c>
      <c r="AB81" s="663" t="str">
        <f>AB75&amp;".6"</f>
        <v>10.6</v>
      </c>
      <c r="AC81" s="315" t="s">
        <v>1747</v>
      </c>
      <c r="AD81" s="312" t="s">
        <v>900</v>
      </c>
      <c r="AE81" s="1021">
        <f>_xlfn.IFERROR(AE72/AE75*1000,0)</f>
        <v>0</v>
      </c>
      <c r="AF81" s="616"/>
      <c r="AG81" s="616"/>
      <c r="AH81" s="377"/>
      <c r="AI81" s="1021">
        <f>_xlfn.IFERROR(AI72/AI75*1000,0)</f>
        <v>0</v>
      </c>
      <c r="AJ81" s="1021">
        <f>_xlfn.IFERROR(AJ72/AJ75*1000,0)</f>
        <v>0</v>
      </c>
      <c r="AK81" s="1021">
        <f>_xlfn.IFERROR(AK72/AK75*1000,0)</f>
        <v>0</v>
      </c>
      <c r="AL81" s="310">
        <f>IF(AI81=0,0,(AK81-AI81)/AI81*100)</f>
        <v>0</v>
      </c>
      <c r="AM81" s="79"/>
      <c r="AN81" s="79"/>
      <c r="AO81" s="79"/>
      <c r="AR81" s="1233" t="s">
        <v>1748</v>
      </c>
      <c r="AS81" s="1271"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6" customFormat="1" customHeight="1" ht="16.672500000000003" hidden="1">
      <c r="C82" s="1301" t="s">
        <v>1749</v>
      </c>
      <c r="D82" s="1260" t="s">
        <v>1750</v>
      </c>
      <c r="E82" s="797">
        <v>17.1</v>
      </c>
      <c r="F82" s="922" cm="1" t="str">
        <f t="array" ref="F82:F82">OFFSET(G82,-1,-1)</f>
        <v>0</v>
      </c>
      <c r="H82" s="193" cm="1" t="str">
        <f t="array" ref="H82:H82">G27</f>
        <v>0</v>
      </c>
      <c r="L82" s="1289"/>
      <c r="M82" s="1287" cm="1" t="str">
        <f t="array" ref="M82:M82">OFFSET(L82,-1,1)</f>
        <v>0</v>
      </c>
      <c r="N82" s="1289"/>
      <c r="O82" s="1289"/>
      <c r="P82" s="1289"/>
      <c r="Q82" s="1289"/>
      <c r="R82" s="1289"/>
      <c r="S82" s="1289"/>
      <c r="T82" s="808">
        <f>AND(F82&gt;0,H82="двухставочный")</f>
        <v>0</v>
      </c>
      <c r="AB82" s="317" t="s">
        <v>701</v>
      </c>
      <c r="AC82" s="889" t="s">
        <v>1752</v>
      </c>
      <c r="AD82" s="667" t="s">
        <v>695</v>
      </c>
      <c r="AE82" s="98">
        <f>_xlfn.SUMIFS('Баланс Пр'!AE$27:AE$165,'Баланс Пр'!$F$27:$F$165,$F82,'Баланс Пр'!$AB$27:$AB$165,"10")</f>
        <v>0</v>
      </c>
      <c r="AF82" s="616"/>
      <c r="AG82" s="616"/>
      <c r="AH82" s="377"/>
      <c r="AI82" s="98">
        <f>_xlfn.SUMIFS('Баланс Пр'!AH$27:AH$165,'Баланс Пр'!$F$27:$F$165,$F82,'Баланс Пр'!$AB$27:$AB$165,"10")</f>
        <v>0</v>
      </c>
      <c r="AJ82" s="1868">
        <f>_xlfn.SUMIFS('Баланс Пр'!AI$27:AI$165,'Баланс Пр'!$F$27:$F$165,$F82,'Баланс Пр'!$AB$27:$AB$165,"10")</f>
        <v>0</v>
      </c>
      <c r="AK82" s="1868">
        <f>_xlfn.SUMIFS('Баланс Пр'!AS$27:AS$165,'Баланс Пр'!$F$27:$F$165,$F82,'Баланс Пр'!$AB$27:$AB$165,"10")</f>
        <v>0</v>
      </c>
      <c r="AL82" s="310">
        <f>IF(AI82=0,0,(AK82-AI82)/AI82*100)</f>
        <v>0</v>
      </c>
      <c r="AM82" s="1106"/>
      <c r="AN82" s="1106"/>
      <c r="AO82" s="1101"/>
      <c r="AR82" s="1233" t="s">
        <v>696</v>
      </c>
      <c r="AS82" s="1271"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1" t="s">
        <v>1749</v>
      </c>
      <c r="D83" s="1260" t="s">
        <v>1750</v>
      </c>
      <c r="E83" s="797">
        <v>17.1</v>
      </c>
      <c r="F83" s="922" cm="1" t="str">
        <f t="array" ref="F83:F83">OFFSET(G83,-1,-1)</f>
        <v>0</v>
      </c>
      <c r="H83" s="193" cm="1" t="str">
        <f t="array" ref="H83:H83">G27</f>
        <v>0</v>
      </c>
      <c r="L83" s="1289"/>
      <c r="M83" s="1287" cm="1" t="str">
        <f t="array" ref="M83:M83">OFFSET(L83,-1,1)</f>
        <v>0</v>
      </c>
      <c r="N83" s="1289"/>
      <c r="O83" s="1289"/>
      <c r="P83" s="1289"/>
      <c r="Q83" s="1289"/>
      <c r="R83" s="1289"/>
      <c r="S83" s="1289" t="s">
        <v>1726</v>
      </c>
      <c r="T83" s="808">
        <f>AND(F83&gt;0,H83="двухставочный")</f>
        <v>0</v>
      </c>
      <c r="AB83" s="663" t="str">
        <f>AB82&amp;".1"</f>
        <v>11.1</v>
      </c>
      <c r="AC83" s="723" t="s">
        <v>1754</v>
      </c>
      <c r="AD83" s="623" t="s">
        <v>695</v>
      </c>
      <c r="AE83" s="132" cm="1" t="str">
        <f t="array" ref="AE83:AE83">AE82</f>
        <v>0</v>
      </c>
      <c r="AF83" s="616"/>
      <c r="AG83" s="616"/>
      <c r="AH83" s="377"/>
      <c r="AI83" s="132" cm="1" t="str">
        <f t="array" ref="AI83:AI83">AI82</f>
        <v>0</v>
      </c>
      <c r="AJ83" s="1986" cm="1" t="str">
        <f t="array" ref="AJ83:AJ83">AJ82</f>
        <v>0</v>
      </c>
      <c r="AK83" s="1986" cm="1" t="str">
        <f t="array" ref="AK83:AK83">AK82</f>
        <v>0</v>
      </c>
      <c r="AL83" s="310">
        <f>IF(AI83=0,0,(AK83-AI83)/AI83*100)</f>
        <v>0</v>
      </c>
      <c r="AM83" s="80"/>
      <c r="AN83" s="80"/>
      <c r="AO83" s="80"/>
      <c r="AR83" s="1233" t="s">
        <v>1755</v>
      </c>
      <c r="AS83" s="1271"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1" t="s">
        <v>1749</v>
      </c>
      <c r="D84" s="1260" t="s">
        <v>1750</v>
      </c>
      <c r="E84" s="797">
        <v>17.1</v>
      </c>
      <c r="F84" s="922" cm="1" t="str">
        <f t="array" ref="F84:F84">OFFSET(G84,-1,-1)</f>
        <v>0</v>
      </c>
      <c r="H84" s="193" cm="1" t="str">
        <f t="array" ref="H84:H84">G27</f>
        <v>0</v>
      </c>
      <c r="L84" s="1289"/>
      <c r="M84" s="1287" cm="1" t="str">
        <f t="array" ref="M84:M84">OFFSET(L84,-1,1)</f>
        <v>0</v>
      </c>
      <c r="N84" s="1289"/>
      <c r="O84" s="1289"/>
      <c r="P84" s="1289"/>
      <c r="Q84" s="1289"/>
      <c r="R84" s="1289"/>
      <c r="S84" s="1289" t="s">
        <v>1735</v>
      </c>
      <c r="T84" s="808">
        <f>AND(F84&gt;0,H84="двухставочный")</f>
        <v>0</v>
      </c>
      <c r="AB84" s="663" t="str">
        <f>AB82&amp;".2"</f>
        <v>11.2</v>
      </c>
      <c r="AC84" s="723" t="s">
        <v>1757</v>
      </c>
      <c r="AD84" s="623" t="s">
        <v>695</v>
      </c>
      <c r="AE84" s="132" cm="1" t="str">
        <f t="array" ref="AE84:AE84">AE82</f>
        <v>0</v>
      </c>
      <c r="AF84" s="616"/>
      <c r="AG84" s="616"/>
      <c r="AH84" s="377"/>
      <c r="AI84" s="132" cm="1" t="str">
        <f t="array" ref="AI84:AI84">AI82</f>
        <v>0</v>
      </c>
      <c r="AJ84" s="1986" cm="1" t="str">
        <f t="array" ref="AJ84:AJ84">AJ82</f>
        <v>0</v>
      </c>
      <c r="AK84" s="1986" cm="1" t="str">
        <f t="array" ref="AK84:AK84">AK82</f>
        <v>0</v>
      </c>
      <c r="AL84" s="310">
        <f>IF(AI84=0,0,(AK84-AI84)/AI84*100)</f>
        <v>0</v>
      </c>
      <c r="AM84" s="80"/>
      <c r="AN84" s="80"/>
      <c r="AO84" s="80"/>
      <c r="AR84" s="1233" t="s">
        <v>1758</v>
      </c>
      <c r="AS84" s="1271"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1"/>
      <c r="D85" s="1260"/>
      <c r="E85" s="797">
        <v>17.1</v>
      </c>
      <c r="F85" s="922" cm="1" t="str">
        <f t="array" ref="F85:F85">OFFSET(G85,-1,-1)</f>
        <v>0</v>
      </c>
      <c r="H85" s="193" cm="1" t="str">
        <f t="array" ref="H85:H85">G27</f>
        <v>0</v>
      </c>
      <c r="L85" s="1289"/>
      <c r="M85" s="1287" cm="1" t="str">
        <f t="array" ref="M85:M85">OFFSET(L85,-1,1)</f>
        <v>0</v>
      </c>
      <c r="N85" s="1289"/>
      <c r="O85" s="1289"/>
      <c r="P85" s="1289"/>
      <c r="Q85" s="1289"/>
      <c r="R85" s="1289"/>
      <c r="S85" s="1289"/>
      <c r="T85" s="808">
        <f>AND(F85&gt;0,H85="двухставочный")</f>
        <v>0</v>
      </c>
      <c r="AB85" s="662" t="s">
        <v>1697</v>
      </c>
      <c r="AC85" s="163" t="s">
        <v>1760</v>
      </c>
      <c r="AD85" s="713"/>
      <c r="AE85" s="738"/>
      <c r="AF85" s="616"/>
      <c r="AG85" s="616"/>
      <c r="AH85" s="377"/>
      <c r="AI85" s="738"/>
      <c r="AJ85" s="738"/>
      <c r="AK85" s="738"/>
      <c r="AL85" s="377"/>
      <c r="AM85" s="73"/>
      <c r="AN85" s="73"/>
      <c r="AO85" s="73"/>
      <c r="AR85" s="1233" t="s">
        <v>1761</v>
      </c>
      <c r="AS85" s="1339"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1" t="s">
        <v>1762</v>
      </c>
      <c r="D86" s="1260" t="s">
        <v>1763</v>
      </c>
      <c r="E86" s="797">
        <v>17.1</v>
      </c>
      <c r="F86" s="922" cm="1" t="str">
        <f t="array" ref="F86:F86">OFFSET(G86,-1,-1)</f>
        <v>0</v>
      </c>
      <c r="G86" s="739" t="s">
        <v>1764</v>
      </c>
      <c r="H86" s="193" cm="1" t="str">
        <f t="array" ref="H86:H86">G27</f>
        <v>0</v>
      </c>
      <c r="L86" s="1289"/>
      <c r="M86" s="1287" cm="1" t="str">
        <f t="array" ref="M86:M86">OFFSET(L86,-1,1)</f>
        <v>0</v>
      </c>
      <c r="N86" s="1289"/>
      <c r="O86" s="1289"/>
      <c r="P86" s="1289"/>
      <c r="Q86" s="1289"/>
      <c r="R86" s="1289"/>
      <c r="S86" s="1289" t="s">
        <v>1726</v>
      </c>
      <c r="T86" s="808">
        <f>AND(F86&gt;0,H86="двухставочный")</f>
        <v>0</v>
      </c>
      <c r="AB86" s="663" t="str">
        <f>AB85&amp;".1"</f>
        <v>12.1</v>
      </c>
      <c r="AC86" s="1349" t="s">
        <v>1765</v>
      </c>
      <c r="AD86" s="520" t="s">
        <v>900</v>
      </c>
      <c r="AE86" s="132"/>
      <c r="AF86" s="616"/>
      <c r="AG86" s="616"/>
      <c r="AH86" s="377"/>
      <c r="AI86" s="132"/>
      <c r="AJ86" s="1986"/>
      <c r="AK86" s="1986"/>
      <c r="AL86" s="310">
        <f>IF(AI86=0,0,(AK86-AI86)/AI86*100)</f>
        <v>0</v>
      </c>
      <c r="AM86" s="73"/>
      <c r="AN86" s="73"/>
      <c r="AO86" s="73"/>
      <c r="AR86" s="1233" t="s">
        <v>1766</v>
      </c>
      <c r="AS86" s="1271"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1" t="s">
        <v>1762</v>
      </c>
      <c r="D87" s="1260" t="s">
        <v>1763</v>
      </c>
      <c r="E87" s="797">
        <v>17.1</v>
      </c>
      <c r="F87" s="922" cm="1" t="str">
        <f t="array" ref="F87:F87">OFFSET(G87,-1,-1)</f>
        <v>0</v>
      </c>
      <c r="G87" s="739" t="s">
        <v>1767</v>
      </c>
      <c r="H87" s="193" cm="1" t="str">
        <f t="array" ref="H87:H87">G27</f>
        <v>0</v>
      </c>
      <c r="L87" s="1289"/>
      <c r="M87" s="1287" cm="1" t="str">
        <f t="array" ref="M87:M87">OFFSET(L87,-1,1)</f>
        <v>0</v>
      </c>
      <c r="N87" s="1289"/>
      <c r="O87" s="1289"/>
      <c r="P87" s="1289"/>
      <c r="Q87" s="1289"/>
      <c r="R87" s="1289"/>
      <c r="S87" s="1289" t="s">
        <v>1735</v>
      </c>
      <c r="T87" s="808">
        <f>AND(F87&gt;0,H87="двухставочный")</f>
        <v>0</v>
      </c>
      <c r="AB87" s="663" t="str">
        <f>AB85&amp;".2"</f>
        <v>12.2</v>
      </c>
      <c r="AC87" s="1349" t="s">
        <v>1768</v>
      </c>
      <c r="AD87" s="520" t="s">
        <v>900</v>
      </c>
      <c r="AE87" s="615">
        <f>_xlfn.IFERROR((AE73*1000-AE76*AE86)/AE78,0)</f>
        <v>0</v>
      </c>
      <c r="AF87" s="616"/>
      <c r="AG87" s="616"/>
      <c r="AH87" s="377"/>
      <c r="AI87" s="615">
        <f>_xlfn.IFERROR((AI73*1000-AI76*AI86)/AI78,0)</f>
        <v>0</v>
      </c>
      <c r="AJ87" s="615">
        <f>_xlfn.IFERROR((AJ73*1000-AJ76*AJ86)/AJ78,0)</f>
        <v>0</v>
      </c>
      <c r="AK87" s="615">
        <f>_xlfn.IFERROR((AK73*1000-AK76*AK86)/AK78,0)</f>
        <v>0</v>
      </c>
      <c r="AL87" s="310">
        <f>IF(AI87=0,0,(AK87-AI87)/AI87*100)</f>
        <v>0</v>
      </c>
      <c r="AM87" s="73"/>
      <c r="AN87" s="73"/>
      <c r="AO87" s="73"/>
      <c r="AR87" s="1233" t="s">
        <v>1769</v>
      </c>
      <c r="AS87" s="1271"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1" t="s">
        <v>1770</v>
      </c>
      <c r="D88" s="1260" t="s">
        <v>1771</v>
      </c>
      <c r="E88" s="797">
        <v>17.1</v>
      </c>
      <c r="F88" s="922" cm="1" t="str">
        <f t="array" ref="F88:F88">OFFSET(G88,-1,-1)</f>
        <v>0</v>
      </c>
      <c r="H88" s="193" cm="1" t="str">
        <f t="array" ref="H88:H88">G27</f>
        <v>0</v>
      </c>
      <c r="L88" s="1289" t="s">
        <v>1923</v>
      </c>
      <c r="M88" s="1287" cm="1" t="str">
        <f t="array" ref="M88:M88">OFFSET(L88,-1,1)</f>
        <v>0</v>
      </c>
      <c r="N88" s="1289"/>
      <c r="O88" s="1289"/>
      <c r="P88" s="1289"/>
      <c r="Q88" s="1289"/>
      <c r="R88" s="1289"/>
      <c r="S88" s="1289"/>
      <c r="T88" s="808">
        <f>AND(F88&gt;0,H88="двухставочный")</f>
        <v>0</v>
      </c>
      <c r="AB88" s="663" t="str">
        <f>AB85&amp;".3"</f>
        <v>12.3</v>
      </c>
      <c r="AC88" s="315" t="s">
        <v>1773</v>
      </c>
      <c r="AD88" s="520" t="s">
        <v>498</v>
      </c>
      <c r="AE88" s="665">
        <f>_xlfn.IFERROR(AE87/AE86,0)</f>
        <v>0</v>
      </c>
      <c r="AF88" s="616"/>
      <c r="AG88" s="616"/>
      <c r="AH88" s="616"/>
      <c r="AI88" s="665">
        <f>_xlfn.IFERROR(AI87/AI86,0)</f>
        <v>0</v>
      </c>
      <c r="AJ88" s="665">
        <f>_xlfn.IFERROR(AJ87/AJ86,0)</f>
        <v>0</v>
      </c>
      <c r="AK88" s="665">
        <f>_xlfn.IFERROR(AK87/AK86,0)</f>
        <v>0</v>
      </c>
      <c r="AL88" s="377"/>
      <c r="AM88" s="73"/>
      <c r="AN88" s="73"/>
      <c r="AO88" s="73"/>
      <c r="AR88" s="1233" t="s">
        <v>1774</v>
      </c>
      <c r="AS88" s="1271"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1"/>
      <c r="D89" s="1260"/>
      <c r="E89" s="797">
        <v>35</v>
      </c>
      <c r="F89" s="922" cm="1" t="str">
        <f t="array" ref="F89:F89">OFFSET(G89,-1,-1)</f>
        <v>0</v>
      </c>
      <c r="H89" s="193" cm="1" t="str">
        <f t="array" ref="H89:H89">G27</f>
        <v>0</v>
      </c>
      <c r="L89" s="1289"/>
      <c r="M89" s="1287" cm="1" t="str">
        <f t="array" ref="M89:M89">OFFSET(L89,-1,1)</f>
        <v>0</v>
      </c>
      <c r="N89" s="1289"/>
      <c r="O89" s="1289"/>
      <c r="P89" s="1289"/>
      <c r="Q89" s="1289"/>
      <c r="R89" s="1289"/>
      <c r="S89" s="1289"/>
      <c r="T89" s="808">
        <f>AND(F89&gt;0,H89="двухставочный")</f>
        <v>0</v>
      </c>
      <c r="AB89" s="286" t="s">
        <v>1702</v>
      </c>
      <c r="AC89" s="163" t="s">
        <v>1775</v>
      </c>
      <c r="AD89" s="622"/>
      <c r="AE89" s="738"/>
      <c r="AF89" s="616"/>
      <c r="AG89" s="616"/>
      <c r="AH89" s="616"/>
      <c r="AI89" s="738"/>
      <c r="AJ89" s="738"/>
      <c r="AK89" s="738"/>
      <c r="AL89" s="377"/>
      <c r="AM89" s="73"/>
      <c r="AN89" s="73"/>
      <c r="AO89" s="73"/>
      <c r="AR89" s="1233" t="s">
        <v>1776</v>
      </c>
      <c r="AS89" s="1339"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1" t="s">
        <v>1777</v>
      </c>
      <c r="D90" s="1260" t="s">
        <v>1778</v>
      </c>
      <c r="E90" s="797">
        <v>17.1</v>
      </c>
      <c r="F90" s="922" cm="1" t="str">
        <f t="array" ref="F90:F90">OFFSET(G90,-1,-1)</f>
        <v>0</v>
      </c>
      <c r="G90" s="739" t="s">
        <v>1779</v>
      </c>
      <c r="H90" s="193" cm="1" t="str">
        <f t="array" ref="H90:H90">G27</f>
        <v>0</v>
      </c>
      <c r="L90" s="1289"/>
      <c r="M90" s="1287" cm="1" t="str">
        <f t="array" ref="M90:M90">OFFSET(L90,-1,1)</f>
        <v>0</v>
      </c>
      <c r="N90" s="1289"/>
      <c r="O90" s="1289"/>
      <c r="P90" s="1289"/>
      <c r="Q90" s="1289"/>
      <c r="R90" s="1289"/>
      <c r="S90" s="1289"/>
      <c r="T90" s="808">
        <f>AND(F90&gt;0,H90="двухставочный")</f>
        <v>0</v>
      </c>
      <c r="AB90" s="663" t="str">
        <f>AB89&amp;".1"</f>
        <v>13.1</v>
      </c>
      <c r="AC90" s="164" t="s">
        <v>1780</v>
      </c>
      <c r="AD90" s="520" t="s">
        <v>1781</v>
      </c>
      <c r="AE90" s="98"/>
      <c r="AF90" s="616"/>
      <c r="AG90" s="616"/>
      <c r="AH90" s="377"/>
      <c r="AI90" s="98"/>
      <c r="AJ90" s="1868"/>
      <c r="AK90" s="1868"/>
      <c r="AL90" s="310">
        <f>IF(AI90=0,0,(AK90-AI90)/AI90*100)</f>
        <v>0</v>
      </c>
      <c r="AM90" s="73"/>
      <c r="AN90" s="73"/>
      <c r="AO90" s="73"/>
      <c r="AR90" s="1233" t="s">
        <v>1782</v>
      </c>
      <c r="AS90" s="1271"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1" t="s">
        <v>1777</v>
      </c>
      <c r="D91" s="1260" t="s">
        <v>1778</v>
      </c>
      <c r="E91" s="797">
        <v>17.1</v>
      </c>
      <c r="F91" s="922" cm="1" t="str">
        <f t="array" ref="F91:F91">OFFSET(G91,-1,-1)</f>
        <v>0</v>
      </c>
      <c r="G91" s="739" t="s">
        <v>1783</v>
      </c>
      <c r="H91" s="193" cm="1" t="str">
        <f t="array" ref="H91:H91">G27</f>
        <v>0</v>
      </c>
      <c r="L91" s="1289"/>
      <c r="M91" s="1287" cm="1" t="str">
        <f t="array" ref="M91:M91">OFFSET(L91,-1,1)</f>
        <v>0</v>
      </c>
      <c r="N91" s="1289"/>
      <c r="O91" s="1289"/>
      <c r="P91" s="1289"/>
      <c r="Q91" s="1289"/>
      <c r="R91" s="1289"/>
      <c r="S91" s="1289"/>
      <c r="T91" s="808">
        <f>AND(F91&gt;0,H91="двухставочный")</f>
        <v>0</v>
      </c>
      <c r="AB91" s="663" t="str">
        <f>AB89&amp;".2"</f>
        <v>13.2</v>
      </c>
      <c r="AC91" s="164" t="s">
        <v>1784</v>
      </c>
      <c r="AD91" s="520" t="s">
        <v>1781</v>
      </c>
      <c r="AE91" s="310">
        <f>_xlfn.IFERROR((AE74-AE83*6*AE90)/AE84/6,0)</f>
        <v>0</v>
      </c>
      <c r="AF91" s="616"/>
      <c r="AG91" s="616"/>
      <c r="AH91" s="377"/>
      <c r="AI91" s="310">
        <f>_xlfn.IFERROR((AI74-AI83*6*AI90)/AI84/6,0)</f>
        <v>0</v>
      </c>
      <c r="AJ91" s="310">
        <f>_xlfn.IFERROR((AJ74-AJ83*IF(god=2026,9,6)*AJ90)/AJ84/IF(god=2026,3,6),0)</f>
        <v>0</v>
      </c>
      <c r="AK91" s="310">
        <f>_xlfn.IFERROR((AK74-AK83*IF(god=2026,9,6)*AK90)/AK84/IF(god=2026,3,6),0)</f>
        <v>0</v>
      </c>
      <c r="AL91" s="310">
        <f>IF(AI91=0,0,(AK91-AI91)/AI91*100)</f>
        <v>0</v>
      </c>
      <c r="AM91" s="73"/>
      <c r="AN91" s="73"/>
      <c r="AO91" s="73"/>
      <c r="AR91" s="1233" t="s">
        <v>1785</v>
      </c>
      <c r="AS91" s="1271"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1" t="s">
        <v>1770</v>
      </c>
      <c r="D92" s="1260" t="s">
        <v>1771</v>
      </c>
      <c r="E92" s="797">
        <v>17.1</v>
      </c>
      <c r="F92" s="922" cm="1" t="str">
        <f t="array" ref="F92:F92">OFFSET(G92,-1,-1)</f>
        <v>0</v>
      </c>
      <c r="H92" s="193" cm="1" t="str">
        <f t="array" ref="H92:H92">G27</f>
        <v>0</v>
      </c>
      <c r="L92" s="1289"/>
      <c r="M92" s="1287" cm="1" t="str">
        <f t="array" ref="M92:M92">OFFSET(L92,-1,1)</f>
        <v>0</v>
      </c>
      <c r="N92" s="1289"/>
      <c r="O92" s="1289"/>
      <c r="P92" s="1289"/>
      <c r="Q92" s="1289"/>
      <c r="R92" s="1289" t="s">
        <v>1786</v>
      </c>
      <c r="S92" s="1289"/>
      <c r="T92" s="808">
        <f>AND(F92&gt;0,H92="двухставочный")</f>
        <v>0</v>
      </c>
      <c r="AB92" s="663" t="str">
        <f>AB89&amp;".3"</f>
        <v>13.3</v>
      </c>
      <c r="AC92" s="315" t="s">
        <v>1787</v>
      </c>
      <c r="AD92" s="520" t="s">
        <v>498</v>
      </c>
      <c r="AE92" s="665">
        <f>_xlfn.IFERROR(AE91/AE90,0)</f>
        <v>0</v>
      </c>
      <c r="AF92" s="1022"/>
      <c r="AG92" s="616"/>
      <c r="AH92" s="616"/>
      <c r="AI92" s="665">
        <f>_xlfn.IFERROR(AI91/AI90,0)</f>
        <v>0</v>
      </c>
      <c r="AJ92" s="665">
        <f>_xlfn.IFERROR(AJ91/AJ90,0)</f>
        <v>0</v>
      </c>
      <c r="AK92" s="665">
        <f>_xlfn.IFERROR(AK91/AK90,0)</f>
        <v>0</v>
      </c>
      <c r="AL92" s="377"/>
      <c r="AM92" s="73"/>
      <c r="AN92" s="73"/>
      <c r="AO92" s="73"/>
      <c r="AR92" s="1233" t="s">
        <v>1788</v>
      </c>
      <c r="AS92" s="1271"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1" t="s">
        <v>1789</v>
      </c>
      <c r="D93" s="1260" t="s">
        <v>1790</v>
      </c>
      <c r="E93" s="797">
        <v>30</v>
      </c>
      <c r="F93" s="922" cm="1" t="str">
        <f t="array" ref="F93:F93">OFFSET(G93,-1,-1)</f>
        <v>0</v>
      </c>
      <c r="L93" s="1289"/>
      <c r="M93" s="1287" cm="1" t="str">
        <f t="array" ref="M93:M93">OFFSET(L93,-1,1)</f>
        <v>0</v>
      </c>
      <c r="N93" s="1289"/>
      <c r="O93" s="1289"/>
      <c r="P93" s="1289"/>
      <c r="Q93" s="1289"/>
      <c r="R93" s="1289"/>
      <c r="S93" s="1289"/>
      <c r="T93" s="808" cm="1" t="str">
        <f t="array" ref="T93:T93">T72</f>
        <v>false</v>
      </c>
      <c r="AB93" s="288" t="s">
        <v>1707</v>
      </c>
      <c r="AC93" s="1062" t="s">
        <v>1792</v>
      </c>
      <c r="AD93" s="580" t="s">
        <v>1023</v>
      </c>
      <c r="AE93" s="98"/>
      <c r="AF93" s="124"/>
      <c r="AG93" s="124"/>
      <c r="AH93" s="310">
        <f>AG93-AF93</f>
        <v>0</v>
      </c>
      <c r="AI93" s="98"/>
      <c r="AJ93" s="1868"/>
      <c r="AK93" s="1868"/>
      <c r="AL93" s="310">
        <f>IF(AI93=0,0,(AK93-AI93)/AI93*100)</f>
        <v>0</v>
      </c>
      <c r="AM93" s="73"/>
      <c r="AN93" s="73"/>
      <c r="AO93" s="73"/>
      <c r="AR93" s="1233" t="s">
        <v>1793</v>
      </c>
      <c r="AS93" s="1271"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91" customFormat="1" customHeight="1" ht="16.5">
      <c r="A94" s="220"/>
      <c r="B94" s="220"/>
      <c r="C94" s="1305"/>
      <c r="D94" s="1255"/>
      <c r="E94" s="797">
        <v>17.1</v>
      </c>
      <c r="F94" s="922" cm="1" t="str">
        <f t="array" ref="F94:F94">X94</f>
        <v>1</v>
      </c>
      <c r="G94" s="739" cm="1" t="str">
        <f t="array" ref="G94:G94">INDEX('Общие сведения'!$AK$169:$AK$202,MATCH($F94,'Общие сведения'!$Z$169:$Z$202,0))</f>
        <v>одноставочный</v>
      </c>
      <c r="H94" s="220"/>
      <c r="I94" s="213" cm="1" t="str">
        <f t="array" ref="I94:I94">INDEX('Общие сведения'!$AE$169:$AE$202,MATCH($F94,'Общие сведения'!$Z$169:$Z$202,0))</f>
        <v>Теплоснабжение</v>
      </c>
      <c r="J94" s="220"/>
      <c r="K94" s="213"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5"/>
      <c r="M94" s="1295"/>
      <c r="N94" s="1295"/>
      <c r="O94" s="1295"/>
      <c r="P94" s="1295"/>
      <c r="Q94" s="1295"/>
      <c r="R94" s="1295"/>
      <c r="S94" s="1295"/>
      <c r="T94" s="808">
        <f>X94&gt;0</f>
        <v>1</v>
      </c>
      <c r="U94" s="220"/>
      <c r="V94" s="175" cm="1" t="str">
        <f t="array" ref="V94:V94">'Калькуляция (5.9)'!$AB$82</f>
        <v>Тариф 1 (Теплоснабжение) - Тариф на тепловую энергию (мощность), поставляемую потребителям (Не определено)</v>
      </c>
      <c r="W94" s="220"/>
      <c r="X94" s="1557" t="s">
        <v>336</v>
      </c>
      <c r="Y94" s="220"/>
      <c r="Z94" s="220"/>
      <c r="AA94" s="220"/>
      <c r="AB94" s="330"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1"/>
      <c r="AD94" s="331"/>
      <c r="AE94" s="331"/>
      <c r="AF94" s="331"/>
      <c r="AG94" s="331"/>
      <c r="AH94" s="331"/>
      <c r="AI94" s="331"/>
      <c r="AJ94" s="331"/>
      <c r="AK94" s="331"/>
      <c r="AL94" s="331"/>
      <c r="AM94" s="331"/>
      <c r="AN94" s="331"/>
      <c r="AO94" s="331"/>
      <c r="AP94" s="220"/>
      <c r="AQ94" s="220"/>
      <c r="AR94" s="1206"/>
      <c r="AS94" s="1283"/>
    </row>
    <row s="1632" customFormat="1" customHeight="1" ht="33.75">
      <c r="A95" s="1186"/>
      <c r="B95" s="927"/>
      <c r="C95" s="1301" t="s">
        <v>1800</v>
      </c>
      <c r="D95" s="1260" t="s">
        <v>1801</v>
      </c>
      <c r="E95" s="797">
        <v>35</v>
      </c>
      <c r="F95" s="922" cm="1" t="str">
        <f t="array" ref="F95:F95">OFFSET(G95,-1,-1)</f>
        <v>1</v>
      </c>
      <c r="G95" s="230"/>
      <c r="H95" s="230"/>
      <c r="I95" s="230"/>
      <c r="J95" s="230"/>
      <c r="K95" s="230"/>
      <c r="L95" s="1289"/>
      <c r="M95" s="1289" cm="1" t="str">
        <f t="array" ref="M95:M95">INDEX('Общие сведения'!$N$169:$N$202,MATCH($F94,'Общие сведения'!$Z$169:$Z$202,0)+1)</f>
        <v>ТЭ.42.28873685.0002</v>
      </c>
      <c r="N95" s="1289"/>
      <c r="O95" s="1289"/>
      <c r="P95" s="1289"/>
      <c r="Q95" s="1289"/>
      <c r="R95" s="1289"/>
      <c r="S95" s="1289"/>
      <c r="T95" s="808" cm="1" t="str">
        <f t="array" ref="T95:T95">T94</f>
        <v>true</v>
      </c>
      <c r="U95" s="1582"/>
      <c r="V95" s="1582"/>
      <c r="W95" s="1582"/>
      <c r="X95" s="1582"/>
      <c r="Y95" s="1582"/>
      <c r="Z95" s="1582"/>
      <c r="AA95" s="230"/>
      <c r="AB95" s="989">
        <v>1</v>
      </c>
      <c r="AC95" s="990" t="s">
        <v>1802</v>
      </c>
      <c r="AD95" s="991" t="s">
        <v>1023</v>
      </c>
      <c r="AE95" s="615">
        <f>AE96+AE97+AE98+AE101+AE102+AE103+AE104+AE105+AE107+AE108+AE109+AE110+AE111+AE112+AE113+AE114+AE115+AE116</f>
        <v>20255.73235</v>
      </c>
      <c r="AF95" s="615">
        <f>AF96+AF97+AF98+AF101+AF102+AF103+AF104+AF105+AF107+AF108+AF109+AF110+AF111+AF112+AF113+AF114+AF115+AF116</f>
        <v>22530.51</v>
      </c>
      <c r="AG95" s="615">
        <f>AG96+AG97+AG98+AG101+AG102+AG103+AG104+AG105+AG107+AG108+AG109+AG110+AG111+AG112+AG113+AG114+AG115+AG116</f>
        <v>22084.3457142857</v>
      </c>
      <c r="AH95" s="310">
        <f>AG95-AF95</f>
        <v>-446.164285714298</v>
      </c>
      <c r="AI95" s="615">
        <f>AI96+AI97+AI98+AI101+AI102+AI103+AI104+AI105+AI107+AI108+AI109+AI110+AI111+AI112+AI113+AI114+AI115+AI116</f>
        <v>20152.4797414</v>
      </c>
      <c r="AJ95" s="615">
        <f>AJ96+AJ97+AJ98+AJ101+AJ102+AJ103+AJ104+AJ105+AJ107+AJ108+AJ109+AJ110+AJ111+AJ112+AJ113+AJ114+AJ115+AJ116</f>
        <v>26087.251925</v>
      </c>
      <c r="AK95" s="615">
        <f>AK96+AK97+AK98+AK101+AK102+AK103+AK104+AK105+AK107+AK108+AK109+AK110+AK111+AK112+AK113+AK114+AK115+AK116</f>
        <v>21085.8565493362</v>
      </c>
      <c r="AL95" s="310">
        <f>IF(AI95=0,0,(AK95-AI95)/AI95*100)</f>
        <v>4.63157298711349</v>
      </c>
      <c r="AM95" s="1719"/>
      <c r="AN95" s="1719"/>
      <c r="AO95" s="1719"/>
      <c r="AP95" s="230"/>
      <c r="AQ95" s="230"/>
      <c r="AR95" s="1233" t="s">
        <v>1803</v>
      </c>
      <c r="AS95" s="1271"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M10558::ТЭ.42.28873685.0002::Неопределено::Неопределено::Неопределено::Неопределено::Неопределено::Неопределено::Неопределено</v>
      </c>
    </row>
    <row s="1632" customFormat="1" customHeight="1" ht="16.5">
      <c r="A96" s="1186"/>
      <c r="B96" s="927"/>
      <c r="C96" s="1301" t="s">
        <v>1800</v>
      </c>
      <c r="D96" s="1260" t="s">
        <v>1801</v>
      </c>
      <c r="E96" s="797">
        <v>17.1</v>
      </c>
      <c r="F96" s="922" cm="1" t="str">
        <f t="array" ref="F96:F96">OFFSET(G96,-1,-1)</f>
        <v>1</v>
      </c>
      <c r="G96" s="230"/>
      <c r="H96" s="230"/>
      <c r="I96" s="230"/>
      <c r="J96" s="230"/>
      <c r="K96" s="230"/>
      <c r="L96" s="1289" t="s">
        <v>1804</v>
      </c>
      <c r="M96" s="1287" cm="1" t="str">
        <f t="array" ref="M96:M96">OFFSET(L96,-1,1)</f>
        <v>ТЭ.42.28873685.0002</v>
      </c>
      <c r="N96" s="1289"/>
      <c r="O96" s="1289"/>
      <c r="P96" s="1289"/>
      <c r="Q96" s="1289"/>
      <c r="R96" s="1289"/>
      <c r="S96" s="1289"/>
      <c r="T96" s="808" cm="1" t="str">
        <f t="array" ref="T96:T96">T95</f>
        <v>true</v>
      </c>
      <c r="U96" s="1582"/>
      <c r="V96" s="1582"/>
      <c r="W96" s="1582"/>
      <c r="X96" s="1582"/>
      <c r="Y96" s="1582"/>
      <c r="Z96" s="1582"/>
      <c r="AA96" s="230"/>
      <c r="AB96" s="992" t="s">
        <v>449</v>
      </c>
      <c r="AC96" s="993" t="s">
        <v>1805</v>
      </c>
      <c r="AD96" s="994" t="s">
        <v>1023</v>
      </c>
      <c r="AE96" s="1956"/>
      <c r="AF96" s="1956"/>
      <c r="AG96" s="1956"/>
      <c r="AH96" s="310">
        <f>AG96-AF96</f>
        <v>0</v>
      </c>
      <c r="AI96" s="1956"/>
      <c r="AJ96" s="1956"/>
      <c r="AK96" s="1956"/>
      <c r="AL96" s="310">
        <f>IF(AI96=0,0,(AK96-AI96)/AI96*100)</f>
        <v>0</v>
      </c>
      <c r="AM96" s="1719"/>
      <c r="AN96" s="1719"/>
      <c r="AO96" s="1719"/>
      <c r="AP96" s="230"/>
      <c r="AQ96" s="230"/>
      <c r="AR96" s="1233" t="s">
        <v>1298</v>
      </c>
      <c r="AS96" s="1271"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M10558::ТЭ.42.28873685.0002::1.0.64.::Неопределено::Неопределено::Неопределено::Неопределено::Неопределено::Неопределено</v>
      </c>
    </row>
    <row s="1632" customFormat="1" customHeight="1" ht="25.5">
      <c r="A97" s="1186"/>
      <c r="B97" s="927"/>
      <c r="C97" s="1301" t="s">
        <v>1800</v>
      </c>
      <c r="D97" s="1260" t="s">
        <v>1801</v>
      </c>
      <c r="E97" s="797">
        <v>26.3</v>
      </c>
      <c r="F97" s="922" cm="1" t="str">
        <f t="array" ref="F97:F97">OFFSET(G97,-1,-1)</f>
        <v>1</v>
      </c>
      <c r="G97" s="193" t="s">
        <v>1387</v>
      </c>
      <c r="H97" s="230"/>
      <c r="I97" s="230"/>
      <c r="J97" s="230"/>
      <c r="K97" s="230"/>
      <c r="L97" s="1289" t="s">
        <v>1806</v>
      </c>
      <c r="M97" s="1287" cm="1" t="str">
        <f t="array" ref="M97:M97">OFFSET(L97,-1,1)</f>
        <v>ТЭ.42.28873685.0002</v>
      </c>
      <c r="N97" s="1289"/>
      <c r="O97" s="1289"/>
      <c r="P97" s="1289"/>
      <c r="Q97" s="1289"/>
      <c r="R97" s="1289"/>
      <c r="S97" s="1289"/>
      <c r="T97" s="808" cm="1" t="str">
        <f t="array" ref="T97:T97">T96</f>
        <v>true</v>
      </c>
      <c r="U97" s="1582"/>
      <c r="V97" s="1582"/>
      <c r="W97" s="1582"/>
      <c r="X97" s="1582"/>
      <c r="Y97" s="1582"/>
      <c r="Z97" s="1582"/>
      <c r="AA97" s="230"/>
      <c r="AB97" s="992" t="s">
        <v>935</v>
      </c>
      <c r="AC97" s="993" t="s">
        <v>1388</v>
      </c>
      <c r="AD97" s="994" t="s">
        <v>1023</v>
      </c>
      <c r="AE97" s="310">
        <f>_xlfn.SUMIFS('Топливо 4.4'!AH$27:AH$275,'Топливо 4.4'!$F$27:$F$275,$F97,'Топливо 4.4'!$G$27:$G$275,$G97)</f>
        <v>5673.56</v>
      </c>
      <c r="AF97" s="310">
        <f>_xlfn.SUMIFS('Топливо 4.4'!AI$27:AI$275,'Топливо 4.4'!$F$27:$F$275,$F97,'Топливо 4.4'!$G$27:$G$275,$G97)</f>
        <v>7937.13</v>
      </c>
      <c r="AG97" s="310">
        <f>_xlfn.SUMIFS('Топливо 4.4'!AJ$27:AJ$275,'Топливо 4.4'!$F$27:$F$275,$F97,'Топливо 4.4'!$G$27:$G$275,$G97)</f>
        <v>5920.92571428572</v>
      </c>
      <c r="AH97" s="310">
        <f>AG97-AF97</f>
        <v>-2016.20428571428</v>
      </c>
      <c r="AI97" s="310">
        <f>_xlfn.SUMIFS('Топливо 4.4'!AK$27:AK$275,'Топливо 4.4'!$F$27:$F$275,$F97,'Топливо 4.4'!$G$27:$G$275,$G97)</f>
        <v>5136.98</v>
      </c>
      <c r="AJ97" s="310">
        <f>_xlfn.SUMIFS('Топливо 4.4'!AL$27:AL$275,'Топливо 4.4'!$F$27:$F$275,$F97,'Топливо 4.4'!$G$27:$G$275,$G97)</f>
        <v>5528.831685</v>
      </c>
      <c r="AK97" s="310">
        <f>_xlfn.SUMIFS('Топливо 4.4'!BP$27:BP$275,'Топливо 4.4'!$F$27:$F$275,$F97,'Топливо 4.4'!$G$27:$G$275,$G97)</f>
        <v>5385.60454893618</v>
      </c>
      <c r="AL97" s="310">
        <f>IF(AI97=0,0,(AK97-AI97)/AI97*100)</f>
        <v>4.8398971562315</v>
      </c>
      <c r="AM97" s="1719"/>
      <c r="AN97" s="1719"/>
      <c r="AO97" s="1719"/>
      <c r="AP97" s="230"/>
      <c r="AQ97" s="230"/>
      <c r="AR97" s="1233" t="s">
        <v>1382</v>
      </c>
      <c r="AS97" s="1271"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M10558::ТЭ.42.28873685.0002::1.0.66.::Неопределено::Неопределено::Неопределено::Неопределено::Неопределено::Неопределено</v>
      </c>
    </row>
    <row s="1632" customFormat="1" customHeight="1" ht="16.5">
      <c r="A98" s="1186"/>
      <c r="B98" s="927"/>
      <c r="C98" s="1301" t="s">
        <v>1800</v>
      </c>
      <c r="D98" s="1260" t="s">
        <v>1801</v>
      </c>
      <c r="E98" s="797">
        <v>17.1</v>
      </c>
      <c r="F98" s="922" cm="1" t="str">
        <f t="array" ref="F98:F98">OFFSET(G98,-1,-1)</f>
        <v>1</v>
      </c>
      <c r="G98" s="230"/>
      <c r="H98" s="230"/>
      <c r="I98" s="230"/>
      <c r="J98" s="230"/>
      <c r="K98" s="230"/>
      <c r="L98" s="1289" t="s">
        <v>1807</v>
      </c>
      <c r="M98" s="1287" cm="1" t="str">
        <f t="array" ref="M98:M98">OFFSET(L98,-1,1)</f>
        <v>ТЭ.42.28873685.0002</v>
      </c>
      <c r="N98" s="1289"/>
      <c r="O98" s="1289"/>
      <c r="P98" s="1289"/>
      <c r="Q98" s="1289"/>
      <c r="R98" s="1289"/>
      <c r="S98" s="1289"/>
      <c r="T98" s="808" cm="1" t="str">
        <f t="array" ref="T98:T98">T97</f>
        <v>true</v>
      </c>
      <c r="U98" s="1582"/>
      <c r="V98" s="1582"/>
      <c r="W98" s="1582"/>
      <c r="X98" s="1582"/>
      <c r="Y98" s="1582"/>
      <c r="Z98" s="1582"/>
      <c r="AA98" s="230"/>
      <c r="AB98" s="992" t="s">
        <v>937</v>
      </c>
      <c r="AC98" s="993" t="s">
        <v>39</v>
      </c>
      <c r="AD98" s="994" t="s">
        <v>1023</v>
      </c>
      <c r="AE98" s="615">
        <f>SUM(AE99:AE100)</f>
        <v>3496.6503</v>
      </c>
      <c r="AF98" s="615">
        <f>SUM(AF99:AF100)</f>
        <v>3508.22</v>
      </c>
      <c r="AG98" s="615">
        <f>SUM(AG99:AG100)</f>
        <v>3606.46</v>
      </c>
      <c r="AH98" s="310">
        <f>AG98-AF98</f>
        <v>98.2400000000002</v>
      </c>
      <c r="AI98" s="615">
        <f>SUM(AI99:AI100)</f>
        <v>3420.4539414</v>
      </c>
      <c r="AJ98" s="615">
        <f>SUM(AJ99:AJ100)</f>
        <v>4289.62</v>
      </c>
      <c r="AK98" s="615">
        <f>SUM(AK99:AK100)</f>
        <v>3721.6903914</v>
      </c>
      <c r="AL98" s="310">
        <f>IF(AI98=0,0,(AK98-AI98)/AI98*100)</f>
        <v>8.80691437922719</v>
      </c>
      <c r="AM98" s="1719"/>
      <c r="AN98" s="1719"/>
      <c r="AO98" s="1719"/>
      <c r="AP98" s="230"/>
      <c r="AQ98" s="230"/>
      <c r="AR98" s="1233" t="s">
        <v>1808</v>
      </c>
      <c r="AS98" s="1271"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M10558::ТЭ.42.28873685.0002::1.0.69.::Неопределено::Неопределено::Неопределено::Неопределено::Неопределено::Неопределено</v>
      </c>
    </row>
    <row s="1632" customFormat="1" customHeight="1" ht="16.5">
      <c r="A99" s="1186"/>
      <c r="B99" s="927"/>
      <c r="C99" s="1301" t="s">
        <v>1800</v>
      </c>
      <c r="D99" s="1260" t="s">
        <v>1801</v>
      </c>
      <c r="E99" s="797">
        <v>17.1</v>
      </c>
      <c r="F99" s="922" cm="1" t="str">
        <f t="array" ref="F99:F99">OFFSET(G99,-1,-1)</f>
        <v>1</v>
      </c>
      <c r="G99" s="193" t="s">
        <v>929</v>
      </c>
      <c r="H99" s="230"/>
      <c r="I99" s="230"/>
      <c r="J99" s="230"/>
      <c r="K99" s="230"/>
      <c r="L99" s="1289" t="s">
        <v>1809</v>
      </c>
      <c r="M99" s="1287" cm="1" t="str">
        <f t="array" ref="M99:M99">OFFSET(L99,-1,1)</f>
        <v>ТЭ.42.28873685.0002</v>
      </c>
      <c r="N99" s="1289"/>
      <c r="O99" s="1289"/>
      <c r="P99" s="1289"/>
      <c r="Q99" s="1289"/>
      <c r="R99" s="1289"/>
      <c r="S99" s="1289"/>
      <c r="T99" s="808" cm="1" t="str">
        <f t="array" ref="T99:T99">T98</f>
        <v>true</v>
      </c>
      <c r="U99" s="1582"/>
      <c r="V99" s="1582"/>
      <c r="W99" s="1582"/>
      <c r="X99" s="1582"/>
      <c r="Y99" s="1582"/>
      <c r="Z99" s="1582"/>
      <c r="AA99" s="230"/>
      <c r="AB99" s="992" t="s">
        <v>1169</v>
      </c>
      <c r="AC99" s="685" t="s">
        <v>1810</v>
      </c>
      <c r="AD99" s="994" t="s">
        <v>1023</v>
      </c>
      <c r="AE99" s="310">
        <f>_xlfn.SUMIFS(ЭнергоРесурсы!AE$26:AE$112,ЭнергоРесурсы!$F$26:$F$112,$F99,ЭнергоРесурсы!$G$26:$G$112,$G99)</f>
        <v>3496.6503</v>
      </c>
      <c r="AF99" s="310">
        <f>_xlfn.SUMIFS(ЭнергоРесурсы!AF$26:AF$112,ЭнергоРесурсы!$F$26:$F$112,$F99,ЭнергоРесурсы!$G$26:$G$112,$G99)</f>
        <v>3508.22</v>
      </c>
      <c r="AG99" s="310">
        <f>_xlfn.SUMIFS(ЭнергоРесурсы!AG$26:AG$112,ЭнергоРесурсы!$F$26:$F$112,$F99,ЭнергоРесурсы!$G$26:$G$112,$G99)</f>
        <v>3606.46</v>
      </c>
      <c r="AH99" s="310">
        <f>AG99-AF99</f>
        <v>98.2400000000002</v>
      </c>
      <c r="AI99" s="310">
        <f>_xlfn.SUMIFS(ЭнергоРесурсы!AH$26:AH$112,ЭнергоРесурсы!$F$26:$F$112,$F99,ЭнергоРесурсы!$G$26:$G$112,$G99)</f>
        <v>3420.4539414</v>
      </c>
      <c r="AJ99" s="310">
        <f>_xlfn.SUMIFS(ЭнергоРесурсы!AI$26:AI$112,ЭнергоРесурсы!$F$26:$F$112,$F99,ЭнергоРесурсы!$G$26:$G$112,$G99)</f>
        <v>4289.62</v>
      </c>
      <c r="AK99" s="310">
        <f>_xlfn.SUMIFS(ЭнергоРесурсы!AS$26:AS$112,ЭнергоРесурсы!$F$26:$F$112,$F99,ЭнергоРесурсы!$G$26:$G$112,$G99)</f>
        <v>3721.6903914</v>
      </c>
      <c r="AL99" s="310">
        <f>IF(AI99=0,0,(AK99-AI99)/AI99*100)</f>
        <v>8.80691437922719</v>
      </c>
      <c r="AM99" s="1719"/>
      <c r="AN99" s="1719"/>
      <c r="AO99" s="1719"/>
      <c r="AP99" s="230"/>
      <c r="AQ99" s="230"/>
      <c r="AR99" s="1233" t="s">
        <v>1811</v>
      </c>
      <c r="AS99" s="1271"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M10558::ТЭ.42.28873685.0002::1.0.82.::Неопределено::Неопределено::Неопределено::Неопределено::Неопределено::Неопределено</v>
      </c>
    </row>
    <row s="1632" customFormat="1" customHeight="1" ht="16.5">
      <c r="A100" s="1186"/>
      <c r="B100" s="927"/>
      <c r="C100" s="1301" t="s">
        <v>1800</v>
      </c>
      <c r="D100" s="1260" t="s">
        <v>1801</v>
      </c>
      <c r="E100" s="797">
        <v>17.1</v>
      </c>
      <c r="F100" s="922" cm="1" t="str">
        <f t="array" ref="F100:F100">OFFSET(G100,-1,-1)</f>
        <v>1</v>
      </c>
      <c r="G100" s="193" t="s">
        <v>964</v>
      </c>
      <c r="H100" s="230"/>
      <c r="I100" s="230"/>
      <c r="J100" s="230"/>
      <c r="K100" s="230"/>
      <c r="L100" s="1289" t="s">
        <v>1812</v>
      </c>
      <c r="M100" s="1287" cm="1" t="str">
        <f t="array" ref="M100:M100">OFFSET(L100,-1,1)</f>
        <v>ТЭ.42.28873685.0002</v>
      </c>
      <c r="N100" s="1289"/>
      <c r="O100" s="1289"/>
      <c r="P100" s="1289"/>
      <c r="Q100" s="1289"/>
      <c r="R100" s="1289"/>
      <c r="S100" s="1289"/>
      <c r="T100" s="808" cm="1" t="str">
        <f t="array" ref="T100:T100">T99</f>
        <v>true</v>
      </c>
      <c r="U100" s="1582"/>
      <c r="V100" s="1582"/>
      <c r="W100" s="1582"/>
      <c r="X100" s="1582"/>
      <c r="Y100" s="1582"/>
      <c r="Z100" s="1582"/>
      <c r="AA100" s="230"/>
      <c r="AB100" s="992" t="s">
        <v>1173</v>
      </c>
      <c r="AC100" s="685" t="s">
        <v>1813</v>
      </c>
      <c r="AD100" s="994" t="s">
        <v>1023</v>
      </c>
      <c r="AE100" s="310">
        <f>_xlfn.SUMIFS(ЭнергоРесурсы!AE$26:AE$112,ЭнергоРесурсы!$F$26:$F$112,$F100,ЭнергоРесурсы!$G$26:$G$112,$G100)</f>
        <v>0</v>
      </c>
      <c r="AF100" s="310">
        <f>_xlfn.SUMIFS(ЭнергоРесурсы!AF$26:AF$112,ЭнергоРесурсы!$F$26:$F$112,$F100,ЭнергоРесурсы!$G$26:$G$112,$G100)</f>
        <v>0</v>
      </c>
      <c r="AG100" s="310">
        <f>_xlfn.SUMIFS(ЭнергоРесурсы!AG$26:AG$112,ЭнергоРесурсы!$F$26:$F$112,$F100,ЭнергоРесурсы!$G$26:$G$112,$G100)</f>
        <v>0</v>
      </c>
      <c r="AH100" s="310">
        <f>AG100-AF100</f>
        <v>0</v>
      </c>
      <c r="AI100" s="310">
        <f>_xlfn.SUMIFS(ЭнергоРесурсы!AH$26:AH$112,ЭнергоРесурсы!$F$26:$F$112,$F100,ЭнергоРесурсы!$G$26:$G$112,$G100)</f>
        <v>0</v>
      </c>
      <c r="AJ100" s="310">
        <f>_xlfn.SUMIFS(ЭнергоРесурсы!AI$26:AI$112,ЭнергоРесурсы!$F$26:$F$112,$F100,ЭнергоРесурсы!$G$26:$G$112,$G100)</f>
        <v>0</v>
      </c>
      <c r="AK100" s="310">
        <f>_xlfn.SUMIFS(ЭнергоРесурсы!AS$26:AS$112,ЭнергоРесурсы!$F$26:$F$112,$F100,ЭнергоРесурсы!$G$26:$G$112,$G100)</f>
        <v>0</v>
      </c>
      <c r="AL100" s="310">
        <f>IF(AI100=0,0,(AK100-AI100)/AI100*100)</f>
        <v>0</v>
      </c>
      <c r="AM100" s="1719"/>
      <c r="AN100" s="1719"/>
      <c r="AO100" s="1719"/>
      <c r="AP100" s="230"/>
      <c r="AQ100" s="230"/>
      <c r="AR100" s="1233" t="s">
        <v>1814</v>
      </c>
      <c r="AS100" s="1271"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M10558::ТЭ.42.28873685.0002::1.0.80.::Неопределено::Неопределено::Неопределено::Неопределено::Неопределено::Неопределено</v>
      </c>
    </row>
    <row s="1632" customFormat="1" customHeight="1" ht="16.5">
      <c r="A101" s="1186"/>
      <c r="B101" s="927"/>
      <c r="C101" s="1301" t="s">
        <v>1800</v>
      </c>
      <c r="D101" s="1260" t="s">
        <v>1801</v>
      </c>
      <c r="E101" s="797">
        <v>17.1</v>
      </c>
      <c r="F101" s="922" cm="1" t="str">
        <f t="array" ref="F101:F101">OFFSET(G101,-1,-1)</f>
        <v>1</v>
      </c>
      <c r="G101" s="193" t="s">
        <v>996</v>
      </c>
      <c r="H101" s="230"/>
      <c r="I101" s="230"/>
      <c r="J101" s="230"/>
      <c r="K101" s="230"/>
      <c r="L101" s="1289" t="s">
        <v>1815</v>
      </c>
      <c r="M101" s="1287" cm="1" t="str">
        <f t="array" ref="M101:M101">OFFSET(L101,-1,1)</f>
        <v>ТЭ.42.28873685.0002</v>
      </c>
      <c r="N101" s="1289"/>
      <c r="O101" s="1289"/>
      <c r="P101" s="1289"/>
      <c r="Q101" s="1289"/>
      <c r="R101" s="1289"/>
      <c r="S101" s="1289"/>
      <c r="T101" s="808" cm="1" t="str">
        <f t="array" ref="T101:T101">T100</f>
        <v>true</v>
      </c>
      <c r="U101" s="1582"/>
      <c r="V101" s="1582"/>
      <c r="W101" s="1582"/>
      <c r="X101" s="1582"/>
      <c r="Y101" s="1582"/>
      <c r="Z101" s="1582"/>
      <c r="AA101" s="230"/>
      <c r="AB101" s="992" t="s">
        <v>941</v>
      </c>
      <c r="AC101" s="993" t="s">
        <v>997</v>
      </c>
      <c r="AD101" s="994" t="s">
        <v>1023</v>
      </c>
      <c r="AE101" s="550">
        <f>_xlfn.SUMIFS('ХВС, ТН'!AE$26:AE$56,'ХВС, ТН'!$F$26:$F$56,$F101,'ХВС, ТН'!$G$26:$G$56,$G101)</f>
        <v>265.11205</v>
      </c>
      <c r="AF101" s="550">
        <f>_xlfn.SUMIFS('ХВС, ТН'!AF$26:AF$56,'ХВС, ТН'!$F$26:$F$56,$F101,'ХВС, ТН'!$G$26:$G$56,$G101)</f>
        <v>265.12</v>
      </c>
      <c r="AG101" s="550">
        <f>_xlfn.SUMIFS('ХВС, ТН'!AG$26:AG$56,'ХВС, ТН'!$F$26:$F$56,$F101,'ХВС, ТН'!$G$26:$G$56,$G101)</f>
        <v>283.72</v>
      </c>
      <c r="AH101" s="310">
        <f>AG101-AF101</f>
        <v>18.6</v>
      </c>
      <c r="AI101" s="550">
        <f>_xlfn.SUMIFS('ХВС, ТН'!AH$26:AH$56,'ХВС, ТН'!$F$26:$F$56,$F101,'ХВС, ТН'!$G$26:$G$56,$G101)</f>
        <v>254.7558</v>
      </c>
      <c r="AJ101" s="550">
        <f>_xlfn.SUMIFS('ХВС, ТН'!AI$26:AI$56,'ХВС, ТН'!$F$26:$F$56,$F101,'ХВС, ТН'!$G$26:$G$56,$G101)</f>
        <v>277.96</v>
      </c>
      <c r="AK101" s="550">
        <f>_xlfn.SUMIFS('ХВС, ТН'!AS$26:AS$56,'ХВС, ТН'!$F$26:$F$56,$F101,'ХВС, ТН'!$G$26:$G$56,$G101)</f>
        <v>265.319769</v>
      </c>
      <c r="AL101" s="310">
        <f>IF(AI101=0,0,(AK101-AI101)/AI101*100)</f>
        <v>4.14670402008512</v>
      </c>
      <c r="AM101" s="1719"/>
      <c r="AN101" s="1719"/>
      <c r="AO101" s="1719"/>
      <c r="AP101" s="230"/>
      <c r="AQ101" s="230"/>
      <c r="AR101" s="1233" t="s">
        <v>1392</v>
      </c>
      <c r="AS101" s="1271"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M10558::ТЭ.42.28873685.0002::1.0.86.::Неопределено::Неопределено::Неопределено::Неопределено::Неопределено::Неопределено</v>
      </c>
    </row>
    <row s="1632" customFormat="1" customHeight="1" ht="16.5">
      <c r="A102" s="1186"/>
      <c r="B102" s="927"/>
      <c r="C102" s="1301" t="s">
        <v>1800</v>
      </c>
      <c r="D102" s="1260" t="s">
        <v>1801</v>
      </c>
      <c r="E102" s="797">
        <v>17.1</v>
      </c>
      <c r="F102" s="922" cm="1" t="str">
        <f t="array" ref="F102:F102">OFFSET(G102,-1,-1)</f>
        <v>1</v>
      </c>
      <c r="G102" s="193" t="s">
        <v>1007</v>
      </c>
      <c r="H102" s="230"/>
      <c r="I102" s="230"/>
      <c r="J102" s="230"/>
      <c r="K102" s="230"/>
      <c r="L102" s="1289" t="s">
        <v>1816</v>
      </c>
      <c r="M102" s="1287" cm="1" t="str">
        <f t="array" ref="M102:M102">OFFSET(L102,-1,1)</f>
        <v>ТЭ.42.28873685.0002</v>
      </c>
      <c r="N102" s="1289"/>
      <c r="O102" s="1289"/>
      <c r="P102" s="1289"/>
      <c r="Q102" s="1289"/>
      <c r="R102" s="1289"/>
      <c r="S102" s="1289"/>
      <c r="T102" s="808" cm="1" t="str">
        <f t="array" ref="T102:T102">T101</f>
        <v>true</v>
      </c>
      <c r="U102" s="1582"/>
      <c r="V102" s="1582"/>
      <c r="W102" s="1582"/>
      <c r="X102" s="1582"/>
      <c r="Y102" s="1582"/>
      <c r="Z102" s="1582"/>
      <c r="AA102" s="230"/>
      <c r="AB102" s="992" t="s">
        <v>1046</v>
      </c>
      <c r="AC102" s="993" t="s">
        <v>1008</v>
      </c>
      <c r="AD102" s="994" t="s">
        <v>1023</v>
      </c>
      <c r="AE102" s="550">
        <f>_xlfn.SUMIFS('ХВС, ТН'!AE$26:AE$56,'ХВС, ТН'!$F$26:$F$56,$F102,'ХВС, ТН'!$G$26:$G$56,$G102)</f>
        <v>0</v>
      </c>
      <c r="AF102" s="550">
        <f>_xlfn.SUMIFS('ХВС, ТН'!AF$26:AF$56,'ХВС, ТН'!$F$26:$F$56,$F102,'ХВС, ТН'!$G$26:$G$56,$G102)</f>
        <v>0</v>
      </c>
      <c r="AG102" s="550">
        <f>_xlfn.SUMIFS('ХВС, ТН'!AG$26:AG$56,'ХВС, ТН'!$F$26:$F$56,$F102,'ХВС, ТН'!$G$26:$G$56,$G102)</f>
        <v>0</v>
      </c>
      <c r="AH102" s="310">
        <f>AG102-AF102</f>
        <v>0</v>
      </c>
      <c r="AI102" s="550">
        <f>_xlfn.SUMIFS('ХВС, ТН'!AH$26:AH$56,'ХВС, ТН'!$F$26:$F$56,$F102,'ХВС, ТН'!$G$26:$G$56,$G102)</f>
        <v>0</v>
      </c>
      <c r="AJ102" s="550">
        <f>_xlfn.SUMIFS('ХВС, ТН'!AI$26:AI$56,'ХВС, ТН'!$F$26:$F$56,$F102,'ХВС, ТН'!$G$26:$G$56,$G102)</f>
        <v>0</v>
      </c>
      <c r="AK102" s="550">
        <f>_xlfn.SUMIFS('ХВС, ТН'!AS$26:AS$56,'ХВС, ТН'!$F$26:$F$56,$F102,'ХВС, ТН'!$G$26:$G$56,$G102)</f>
        <v>0</v>
      </c>
      <c r="AL102" s="310">
        <f>IF(AI102=0,0,(AK102-AI102)/AI102*100)</f>
        <v>0</v>
      </c>
      <c r="AM102" s="1719"/>
      <c r="AN102" s="1719"/>
      <c r="AO102" s="1719"/>
      <c r="AP102" s="230"/>
      <c r="AQ102" s="230"/>
      <c r="AR102" s="1233" t="s">
        <v>1393</v>
      </c>
      <c r="AS102" s="1271"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M10558::ТЭ.42.28873685.0002::1.0.88.::Неопределено::Неопределено::Неопределено::Неопределено::Неопределено::Неопределено</v>
      </c>
    </row>
    <row s="1632" customFormat="1" customHeight="1" ht="16.5">
      <c r="A103" s="1186"/>
      <c r="B103" s="927"/>
      <c r="C103" s="1301" t="s">
        <v>1800</v>
      </c>
      <c r="D103" s="1260" t="s">
        <v>1801</v>
      </c>
      <c r="E103" s="797">
        <v>17.1</v>
      </c>
      <c r="F103" s="922" cm="1" t="str">
        <f t="array" ref="F103:F103">OFFSET(G103,-1,-1)</f>
        <v>1</v>
      </c>
      <c r="G103" s="193" t="s">
        <v>1133</v>
      </c>
      <c r="H103" s="230"/>
      <c r="I103" s="230"/>
      <c r="J103" s="230"/>
      <c r="K103" s="230"/>
      <c r="L103" s="1289" t="s">
        <v>1817</v>
      </c>
      <c r="M103" s="1287" cm="1" t="str">
        <f t="array" ref="M103:M103">OFFSET(L103,-1,1)</f>
        <v>ТЭ.42.28873685.0002</v>
      </c>
      <c r="N103" s="1289"/>
      <c r="O103" s="1289"/>
      <c r="P103" s="1289"/>
      <c r="Q103" s="1289"/>
      <c r="R103" s="1289"/>
      <c r="S103" s="1289"/>
      <c r="T103" s="808" cm="1" t="str">
        <f t="array" ref="T103:T103">T102</f>
        <v>true</v>
      </c>
      <c r="U103" s="1582"/>
      <c r="V103" s="1582"/>
      <c r="W103" s="1582"/>
      <c r="X103" s="1582"/>
      <c r="Y103" s="1582"/>
      <c r="Z103" s="1582"/>
      <c r="AA103" s="230"/>
      <c r="AB103" s="992" t="s">
        <v>1049</v>
      </c>
      <c r="AC103" s="993" t="s">
        <v>1371</v>
      </c>
      <c r="AD103" s="994" t="s">
        <v>1023</v>
      </c>
      <c r="AE103" s="615">
        <f>_xlfn.SUMIFS(Амортизация!AE$26:AE$225,Амортизация!$F$26:$F$225,$F103,Амортизация!$G$26:$G$225,$G103)</f>
        <v>0</v>
      </c>
      <c r="AF103" s="615">
        <f>_xlfn.SUMIFS(Амортизация!AF$26:AF$225,Амортизация!$F$26:$F$225,$F103,Амортизация!$G$26:$G$225,$G103)</f>
        <v>0</v>
      </c>
      <c r="AG103" s="615">
        <f>_xlfn.SUMIFS(Амортизация!AG$26:AG$225,Амортизация!$F$26:$F$225,$F103,Амортизация!$G$26:$G$225,$G103)</f>
        <v>0</v>
      </c>
      <c r="AH103" s="310">
        <f>AG103-AF103</f>
        <v>0</v>
      </c>
      <c r="AI103" s="615">
        <f>_xlfn.SUMIFS(Амортизация!AH$26:AH$225,Амортизация!$F$26:$F$225,$F103,Амортизация!$G$26:$G$225,$G103)</f>
        <v>0</v>
      </c>
      <c r="AJ103" s="615">
        <f>_xlfn.SUMIFS(Амортизация!AI$26:AI$225,Амортизация!$F$26:$F$225,$F103,Амортизация!$G$26:$G$225,$G103)</f>
        <v>0</v>
      </c>
      <c r="AK103" s="615">
        <f>_xlfn.SUMIFS(Амортизация!AS$26:AS$225,Амортизация!$F$26:$F$225,$F103,Амортизация!$G$26:$G$225,$G103)</f>
        <v>0</v>
      </c>
      <c r="AL103" s="310">
        <f>IF(AI103=0,0,(AK103-AI103)/AI103*100)</f>
        <v>0</v>
      </c>
      <c r="AM103" s="1719"/>
      <c r="AN103" s="1719"/>
      <c r="AO103" s="1719"/>
      <c r="AP103" s="230"/>
      <c r="AQ103" s="230"/>
      <c r="AR103" s="1233" t="s">
        <v>1372</v>
      </c>
      <c r="AS103" s="1271"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M10558::ТЭ.42.28873685.0002::1.0.2.::Неопределено::Неопределено::Неопределено::Неопределено::Неопределено::Неопределено</v>
      </c>
    </row>
    <row s="1632" customFormat="1" customHeight="1" ht="16.5">
      <c r="A104" s="1186"/>
      <c r="B104" s="927"/>
      <c r="C104" s="1301" t="s">
        <v>1800</v>
      </c>
      <c r="D104" s="1260" t="s">
        <v>1801</v>
      </c>
      <c r="E104" s="797">
        <v>17.1</v>
      </c>
      <c r="F104" s="922" cm="1" t="str">
        <f t="array" ref="F104:F104">OFFSET(G104,-1,-1)</f>
        <v>1</v>
      </c>
      <c r="G104" s="193" t="s">
        <v>48</v>
      </c>
      <c r="H104" s="230"/>
      <c r="I104" s="230"/>
      <c r="J104" s="230"/>
      <c r="K104" s="230"/>
      <c r="L104" s="1289" t="s">
        <v>1818</v>
      </c>
      <c r="M104" s="1287" cm="1" t="str">
        <f t="array" ref="M104:M104">OFFSET(L104,-1,1)</f>
        <v>ТЭ.42.28873685.0002</v>
      </c>
      <c r="N104" s="1289"/>
      <c r="O104" s="1289"/>
      <c r="P104" s="1289"/>
      <c r="Q104" s="1289"/>
      <c r="R104" s="1289"/>
      <c r="S104" s="1289"/>
      <c r="T104" s="808" cm="1" t="str">
        <f t="array" ref="T104:T104">T103</f>
        <v>true</v>
      </c>
      <c r="U104" s="1582"/>
      <c r="V104" s="1582"/>
      <c r="W104" s="1582"/>
      <c r="X104" s="1582"/>
      <c r="Y104" s="1582"/>
      <c r="Z104" s="1582"/>
      <c r="AA104" s="230"/>
      <c r="AB104" s="992" t="s">
        <v>1052</v>
      </c>
      <c r="AC104" s="993" t="s">
        <v>1819</v>
      </c>
      <c r="AD104" s="994" t="s">
        <v>1023</v>
      </c>
      <c r="AE104" s="310">
        <f>_xlfn.SUMIFS(ФОТ!AE$26:AE$83,ФОТ!$F$26:$F$83,$F104,ФОТ!$G$26:$G$83,$G104)</f>
        <v>9890.41</v>
      </c>
      <c r="AF104" s="310">
        <f>_xlfn.SUMIFS(ФОТ!AF$26:AF$83,ФОТ!$F$26:$F$83,$F104,ФОТ!$G$26:$G$83,$G104)</f>
        <v>9875.04</v>
      </c>
      <c r="AG104" s="310">
        <f>_xlfn.SUMIFS(ФОТ!AG$26:AG$83,ФОТ!$F$26:$F$83,$F104,ФОТ!$G$26:$G$83,$G104)</f>
        <v>11343.24</v>
      </c>
      <c r="AH104" s="310">
        <f>AG104-AF104</f>
        <v>1468.2</v>
      </c>
      <c r="AI104" s="310">
        <f>_xlfn.SUMIFS(ФОТ!AH$26:AH$83,ФОТ!$F$26:$F$83,$F104,ФОТ!$G$26:$G$83,$G104)</f>
        <v>10359.42</v>
      </c>
      <c r="AJ104" s="310">
        <f>_xlfn.SUMIFS(ФОТ!AI$26:AI$83,ФОТ!$F$26:$F$83,$F104,ФОТ!$G$26:$G$83,$G104)</f>
        <v>13540.41024</v>
      </c>
      <c r="AK104" s="310">
        <f>_xlfn.SUMIFS(ФОТ!AJ$26:AJ$83,ФОТ!$F$26:$F$83,$F104,ФОТ!$G$26:$G$83,$G104)</f>
        <v>10778.87184</v>
      </c>
      <c r="AL104" s="310">
        <f>IF(AI104=0,0,(AK104-AI104)/AI104*100)</f>
        <v>4.04898961524873</v>
      </c>
      <c r="AM104" s="1719"/>
      <c r="AN104" s="1719"/>
      <c r="AO104" s="1719"/>
      <c r="AP104" s="230"/>
      <c r="AQ104" s="230"/>
      <c r="AR104" s="1233" t="s">
        <v>1301</v>
      </c>
      <c r="AS104" s="1271"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M10558::ТЭ.42.28873685.0002::1.0.15.::Неопределено::Неопределено::Неопределено::Неопределено::Неопределено::Неопределено</v>
      </c>
    </row>
    <row s="1632" customFormat="1" customHeight="1" ht="16.5">
      <c r="A105" s="1186"/>
      <c r="B105" s="927"/>
      <c r="C105" s="1301" t="s">
        <v>1800</v>
      </c>
      <c r="D105" s="1260" t="s">
        <v>1801</v>
      </c>
      <c r="E105" s="797">
        <v>17.1</v>
      </c>
      <c r="F105" s="922" cm="1" t="str">
        <f t="array" ref="F105:F105">OFFSET(G105,-1,-1)</f>
        <v>1</v>
      </c>
      <c r="G105" s="230"/>
      <c r="H105" s="230"/>
      <c r="I105" s="230"/>
      <c r="J105" s="230"/>
      <c r="K105" s="230"/>
      <c r="L105" s="1289" t="s">
        <v>1820</v>
      </c>
      <c r="M105" s="1287" cm="1" t="str">
        <f t="array" ref="M105:M105">OFFSET(L105,-1,1)</f>
        <v>ТЭ.42.28873685.0002</v>
      </c>
      <c r="N105" s="1289"/>
      <c r="O105" s="1289"/>
      <c r="P105" s="1289"/>
      <c r="Q105" s="1289"/>
      <c r="R105" s="1289"/>
      <c r="S105" s="1289"/>
      <c r="T105" s="808" cm="1" t="str">
        <f t="array" ref="T105:T105">T104</f>
        <v>true</v>
      </c>
      <c r="U105" s="1582"/>
      <c r="V105" s="1582"/>
      <c r="W105" s="1582"/>
      <c r="X105" s="1582"/>
      <c r="Y105" s="1582"/>
      <c r="Z105" s="1582"/>
      <c r="AA105" s="230"/>
      <c r="AB105" s="992" t="s">
        <v>1055</v>
      </c>
      <c r="AC105" s="993" t="s">
        <v>1364</v>
      </c>
      <c r="AD105" s="994" t="s">
        <v>1023</v>
      </c>
      <c r="AE105" s="1956"/>
      <c r="AF105" s="1956"/>
      <c r="AG105" s="1956"/>
      <c r="AH105" s="310">
        <f>AG105-AF105</f>
        <v>0</v>
      </c>
      <c r="AI105" s="1956"/>
      <c r="AJ105" s="1956"/>
      <c r="AK105" s="1956"/>
      <c r="AL105" s="310">
        <f>IF(AI105=0,0,(AK105-AI105)/AI105*100)</f>
        <v>0</v>
      </c>
      <c r="AM105" s="1719"/>
      <c r="AN105" s="1719"/>
      <c r="AO105" s="1719"/>
      <c r="AP105" s="230"/>
      <c r="AQ105" s="230"/>
      <c r="AR105" s="1233" t="s">
        <v>1365</v>
      </c>
      <c r="AS105" s="1271"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M10558::ТЭ.42.28873685.0002::1.0.85.::Неопределено::Неопределено::Неопределено::Неопределено::Неопределено::Неопределено</v>
      </c>
    </row>
    <row s="1632" customFormat="1" customHeight="1" ht="16.5">
      <c r="A106" s="1186"/>
      <c r="B106" s="927"/>
      <c r="C106" s="1301" t="s">
        <v>1821</v>
      </c>
      <c r="D106" s="1260" t="s">
        <v>1822</v>
      </c>
      <c r="E106" s="797">
        <v>17.1</v>
      </c>
      <c r="F106" s="922" cm="1" t="str">
        <f t="array" ref="F106:F106">OFFSET(G106,-1,-1)</f>
        <v>1</v>
      </c>
      <c r="G106" s="230"/>
      <c r="H106" s="230"/>
      <c r="I106" s="230"/>
      <c r="J106" s="230"/>
      <c r="K106" s="230"/>
      <c r="L106" s="1289" t="s">
        <v>1823</v>
      </c>
      <c r="M106" s="1287" cm="1" t="str">
        <f t="array" ref="M106:M106">OFFSET(L106,-1,1)</f>
        <v>ТЭ.42.28873685.0002</v>
      </c>
      <c r="N106" s="1289"/>
      <c r="O106" s="1289"/>
      <c r="P106" s="1289"/>
      <c r="Q106" s="1289"/>
      <c r="R106" s="1289"/>
      <c r="S106" s="1289"/>
      <c r="T106" s="808" cm="1" t="str">
        <f t="array" ref="T106:T106">T105</f>
        <v>true</v>
      </c>
      <c r="U106" s="1582"/>
      <c r="V106" s="1582"/>
      <c r="W106" s="1582"/>
      <c r="X106" s="1582"/>
      <c r="Y106" s="1582"/>
      <c r="Z106" s="1582"/>
      <c r="AA106" s="230"/>
      <c r="AB106" s="992" t="s">
        <v>1824</v>
      </c>
      <c r="AC106" s="685" t="s">
        <v>1825</v>
      </c>
      <c r="AD106" s="994" t="s">
        <v>498</v>
      </c>
      <c r="AE106" s="1956"/>
      <c r="AF106" s="1956"/>
      <c r="AG106" s="1956"/>
      <c r="AH106" s="310">
        <f>AG106-AF106</f>
        <v>0</v>
      </c>
      <c r="AI106" s="1956"/>
      <c r="AJ106" s="1956"/>
      <c r="AK106" s="1956"/>
      <c r="AL106" s="310">
        <f>IF(AI106=0,0,(AK106-AI106)/AI106*100)</f>
        <v>0</v>
      </c>
      <c r="AM106" s="1719"/>
      <c r="AN106" s="1719"/>
      <c r="AO106" s="1719"/>
      <c r="AP106" s="230"/>
      <c r="AQ106" s="230"/>
      <c r="AR106" s="1233" t="s">
        <v>1362</v>
      </c>
      <c r="AS106" s="1271"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M10532::ТЭ.42.28873685.0002::1.0.76.::Неопределено::Неопределено::Неопределено::Неопределено::Неопределено::Неопределено</v>
      </c>
    </row>
    <row s="1632" customFormat="1" customHeight="1" ht="16.5">
      <c r="A107" s="1186"/>
      <c r="B107" s="927"/>
      <c r="C107" s="1301" t="s">
        <v>1826</v>
      </c>
      <c r="D107" s="1260" t="s">
        <v>1827</v>
      </c>
      <c r="E107" s="797">
        <v>17.1</v>
      </c>
      <c r="F107" s="922" cm="1" t="str">
        <f t="array" ref="F107:F107">OFFSET(G107,-1,-1)</f>
        <v>1</v>
      </c>
      <c r="G107" s="230"/>
      <c r="H107" s="230"/>
      <c r="I107" s="230"/>
      <c r="J107" s="230"/>
      <c r="K107" s="230"/>
      <c r="L107" s="1289"/>
      <c r="M107" s="1287" cm="1" t="str">
        <f t="array" ref="M107:M107">OFFSET(L107,-1,1)</f>
        <v>ТЭ.42.28873685.0002</v>
      </c>
      <c r="N107" s="1289" t="s">
        <v>1828</v>
      </c>
      <c r="O107" s="1289"/>
      <c r="P107" s="1289"/>
      <c r="Q107" s="1289"/>
      <c r="R107" s="1289"/>
      <c r="S107" s="1289"/>
      <c r="T107" s="808" cm="1" t="str">
        <f t="array" ref="T107:T107">T106</f>
        <v>true</v>
      </c>
      <c r="U107" s="1582"/>
      <c r="V107" s="1582"/>
      <c r="W107" s="1582"/>
      <c r="X107" s="1582"/>
      <c r="Y107" s="1582"/>
      <c r="Z107" s="1582"/>
      <c r="AA107" s="230"/>
      <c r="AB107" s="992" t="s">
        <v>1268</v>
      </c>
      <c r="AC107" s="993" t="s">
        <v>1829</v>
      </c>
      <c r="AD107" s="994" t="s">
        <v>1023</v>
      </c>
      <c r="AE107" s="1956"/>
      <c r="AF107" s="1956"/>
      <c r="AG107" s="1956"/>
      <c r="AH107" s="310">
        <f>AG107-AF107</f>
        <v>0</v>
      </c>
      <c r="AI107" s="1956"/>
      <c r="AJ107" s="1956"/>
      <c r="AK107" s="1956"/>
      <c r="AL107" s="310">
        <f>IF(AI107=0,0,(AK107-AI107)/AI107*100)</f>
        <v>0</v>
      </c>
      <c r="AM107" s="1719"/>
      <c r="AN107" s="1719"/>
      <c r="AO107" s="1719"/>
      <c r="AP107" s="230"/>
      <c r="AQ107" s="230"/>
      <c r="AR107" s="1233" t="s">
        <v>1830</v>
      </c>
      <c r="AS107" s="1271"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M10699::ТЭ.42.28873685.0002::Неопределено::110.0.7.::Неопределено::Неопределено::Неопределено::Неопределено::Неопределено</v>
      </c>
    </row>
    <row s="1632" customFormat="1" customHeight="1" ht="33.75">
      <c r="A108" s="1186"/>
      <c r="B108" s="927"/>
      <c r="C108" s="1301" t="s">
        <v>47</v>
      </c>
      <c r="D108" s="1260" t="s">
        <v>1831</v>
      </c>
      <c r="E108" s="797">
        <v>35</v>
      </c>
      <c r="F108" s="922" cm="1" t="str">
        <f t="array" ref="F108:F108">OFFSET(G108,-1,-1)</f>
        <v>1</v>
      </c>
      <c r="G108" s="193" t="s">
        <v>1183</v>
      </c>
      <c r="H108" s="230"/>
      <c r="I108" s="230"/>
      <c r="J108" s="230"/>
      <c r="K108" s="230"/>
      <c r="L108" s="1289"/>
      <c r="M108" s="1287" cm="1" t="str">
        <f t="array" ref="M108:M108">OFFSET(L108,-1,1)</f>
        <v>ТЭ.42.28873685.0002</v>
      </c>
      <c r="N108" s="1289" t="s">
        <v>1832</v>
      </c>
      <c r="O108" s="1289"/>
      <c r="P108" s="1289"/>
      <c r="Q108" s="1289"/>
      <c r="R108" s="1289"/>
      <c r="S108" s="1289"/>
      <c r="T108" s="808" cm="1" t="str">
        <f t="array" ref="T108:T108">T107</f>
        <v>true</v>
      </c>
      <c r="U108" s="1582"/>
      <c r="V108" s="1582"/>
      <c r="W108" s="1582"/>
      <c r="X108" s="1582"/>
      <c r="Y108" s="1582"/>
      <c r="Z108" s="1582"/>
      <c r="AA108" s="230"/>
      <c r="AB108" s="992" t="s">
        <v>1833</v>
      </c>
      <c r="AC108" s="993" t="s">
        <v>1834</v>
      </c>
      <c r="AD108" s="994" t="s">
        <v>1023</v>
      </c>
      <c r="AE108" s="615">
        <f>_xlfn.SUMIFS('Покупка услуг'!AE$26:AE$65,'Покупка услуг'!$F$26:$F$65,$F108,'Покупка услуг'!$G$26:$G$65,$G108)</f>
        <v>0</v>
      </c>
      <c r="AF108" s="615">
        <f>_xlfn.SUMIFS('Покупка услуг'!AF$26:AF$65,'Покупка услуг'!$F$26:$F$65,$F108,'Покупка услуг'!$G$26:$G$65,$G108)</f>
        <v>0</v>
      </c>
      <c r="AG108" s="615">
        <f>_xlfn.SUMIFS('Покупка услуг'!AG$26:AG$65,'Покупка услуг'!$F$26:$F$65,$F108,'Покупка услуг'!$G$26:$G$65,$G108)</f>
        <v>0</v>
      </c>
      <c r="AH108" s="310">
        <f>AG108-AF108</f>
        <v>0</v>
      </c>
      <c r="AI108" s="615">
        <f>_xlfn.SUMIFS('Покупка услуг'!AH$26:AH$65,'Покупка услуг'!$F$26:$F$65,$F108,'Покупка услуг'!$G$26:$G$65,$G108)</f>
        <v>0</v>
      </c>
      <c r="AJ108" s="615">
        <f>_xlfn.SUMIFS('Покупка услуг'!AI$26:AI$65,'Покупка услуг'!$F$26:$F$65,$F108,'Покупка услуг'!$G$26:$G$65,$G108)</f>
        <v>0</v>
      </c>
      <c r="AK108" s="615">
        <f>_xlfn.SUMIFS('Покупка услуг'!AS$26:AS$65,'Покупка услуг'!$F$26:$F$65,$F108,'Покупка услуг'!$G$26:$G$65,$G108)</f>
        <v>0</v>
      </c>
      <c r="AL108" s="310">
        <f>IF(AI108=0,0,(AK108-AI108)/AI108*100)</f>
        <v>0</v>
      </c>
      <c r="AM108" s="1719"/>
      <c r="AN108" s="1719"/>
      <c r="AO108" s="1719"/>
      <c r="AP108" s="230"/>
      <c r="AQ108" s="230"/>
      <c r="AR108" s="1233" t="s">
        <v>1835</v>
      </c>
      <c r="AS108" s="1271"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M10712::ТЭ.42.28873685.0002::Неопределено::110.0.13.::Неопределено::Неопределено::Неопределено::Неопределено::Неопределено</v>
      </c>
    </row>
    <row s="1632" customFormat="1" customHeight="1" ht="33.75">
      <c r="A109" s="1186"/>
      <c r="B109" s="927"/>
      <c r="C109" s="1301" t="s">
        <v>1800</v>
      </c>
      <c r="D109" s="1260" t="s">
        <v>1801</v>
      </c>
      <c r="E109" s="797">
        <v>35</v>
      </c>
      <c r="F109" s="922" cm="1" t="str">
        <f t="array" ref="F109:F109">OFFSET(G109,-1,-1)</f>
        <v>1</v>
      </c>
      <c r="G109" s="230"/>
      <c r="H109" s="230"/>
      <c r="I109" s="230"/>
      <c r="J109" s="230"/>
      <c r="K109" s="230"/>
      <c r="L109" s="1289" t="s">
        <v>1836</v>
      </c>
      <c r="M109" s="1287" cm="1" t="str">
        <f t="array" ref="M109:M109">OFFSET(L109,-1,1)</f>
        <v>ТЭ.42.28873685.0002</v>
      </c>
      <c r="N109" s="1289"/>
      <c r="O109" s="1289"/>
      <c r="P109" s="1289"/>
      <c r="Q109" s="1289"/>
      <c r="R109" s="1289"/>
      <c r="S109" s="1289"/>
      <c r="T109" s="808" cm="1" t="str">
        <f t="array" ref="T109:T109">T108</f>
        <v>true</v>
      </c>
      <c r="U109" s="1582"/>
      <c r="V109" s="1582"/>
      <c r="W109" s="1582"/>
      <c r="X109" s="1582"/>
      <c r="Y109" s="1582"/>
      <c r="Z109" s="1582"/>
      <c r="AA109" s="230"/>
      <c r="AB109" s="992" t="s">
        <v>1837</v>
      </c>
      <c r="AC109" s="993" t="s">
        <v>1838</v>
      </c>
      <c r="AD109" s="994" t="s">
        <v>1023</v>
      </c>
      <c r="AE109" s="1956"/>
      <c r="AF109" s="1956"/>
      <c r="AG109" s="1956"/>
      <c r="AH109" s="310">
        <f>AG109-AF109</f>
        <v>0</v>
      </c>
      <c r="AI109" s="1956"/>
      <c r="AJ109" s="1956"/>
      <c r="AK109" s="1956"/>
      <c r="AL109" s="310">
        <f>IF(AI109=0,0,(AK109-AI109)/AI109*100)</f>
        <v>0</v>
      </c>
      <c r="AM109" s="1719"/>
      <c r="AN109" s="1719"/>
      <c r="AO109" s="1719"/>
      <c r="AP109" s="230"/>
      <c r="AQ109" s="230"/>
      <c r="AR109" s="1233" t="s">
        <v>1839</v>
      </c>
      <c r="AS109" s="1271"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M10558::ТЭ.42.28873685.0002::1.0.70.::Неопределено::Неопределено::Неопределено::Неопределено::Неопределено::Неопределено</v>
      </c>
    </row>
    <row s="1632" customFormat="1" customHeight="1" ht="53.25">
      <c r="A110" s="1186"/>
      <c r="B110" s="927"/>
      <c r="C110" s="1301" t="s">
        <v>1800</v>
      </c>
      <c r="D110" s="1260" t="s">
        <v>1801</v>
      </c>
      <c r="E110" s="797">
        <v>55</v>
      </c>
      <c r="F110" s="922" cm="1" t="str">
        <f t="array" ref="F110:F110">OFFSET(G110,-1,-1)</f>
        <v>1</v>
      </c>
      <c r="G110" s="230"/>
      <c r="H110" s="230"/>
      <c r="I110" s="230"/>
      <c r="J110" s="230"/>
      <c r="K110" s="230"/>
      <c r="L110" s="1289" t="s">
        <v>1840</v>
      </c>
      <c r="M110" s="1287" cm="1" t="str">
        <f t="array" ref="M110:M110">OFFSET(L110,-1,1)</f>
        <v>ТЭ.42.28873685.0002</v>
      </c>
      <c r="N110" s="1289"/>
      <c r="O110" s="1289"/>
      <c r="P110" s="1289"/>
      <c r="Q110" s="1289"/>
      <c r="R110" s="1289"/>
      <c r="S110" s="1289"/>
      <c r="T110" s="808" cm="1" t="str">
        <f t="array" ref="T110:T110">T109</f>
        <v>true</v>
      </c>
      <c r="U110" s="1582"/>
      <c r="V110" s="1582"/>
      <c r="W110" s="1582"/>
      <c r="X110" s="1582"/>
      <c r="Y110" s="1582"/>
      <c r="Z110" s="1582"/>
      <c r="AA110" s="230"/>
      <c r="AB110" s="992" t="s">
        <v>1841</v>
      </c>
      <c r="AC110" s="993" t="s">
        <v>1842</v>
      </c>
      <c r="AD110" s="994" t="s">
        <v>1023</v>
      </c>
      <c r="AE110" s="1956"/>
      <c r="AF110" s="1956"/>
      <c r="AG110" s="1956"/>
      <c r="AH110" s="310">
        <f>AG110-AF110</f>
        <v>0</v>
      </c>
      <c r="AI110" s="1956"/>
      <c r="AJ110" s="1956"/>
      <c r="AK110" s="1956"/>
      <c r="AL110" s="310">
        <f>IF(AI110=0,0,(AK110-AI110)/AI110*100)</f>
        <v>0</v>
      </c>
      <c r="AM110" s="1719"/>
      <c r="AN110" s="1719"/>
      <c r="AO110" s="1719"/>
      <c r="AP110" s="230"/>
      <c r="AQ110" s="230"/>
      <c r="AR110" s="1233" t="s">
        <v>1843</v>
      </c>
      <c r="AS110" s="1271"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M10558::ТЭ.42.28873685.0002::1.0.102.::Неопределено::Неопределено::Неопределено::Неопределено::Неопределено::Неопределено</v>
      </c>
    </row>
    <row s="1632" customFormat="1" customHeight="1" ht="39">
      <c r="A111" s="1186"/>
      <c r="B111" s="927"/>
      <c r="C111" s="1301" t="s">
        <v>1800</v>
      </c>
      <c r="D111" s="1260" t="s">
        <v>1801</v>
      </c>
      <c r="E111" s="797">
        <v>40</v>
      </c>
      <c r="F111" s="922" cm="1" t="str">
        <f t="array" ref="F111:F111">OFFSET(G111,-1,-1)</f>
        <v>1</v>
      </c>
      <c r="G111" s="193" t="s">
        <v>1247</v>
      </c>
      <c r="H111" s="230"/>
      <c r="I111" s="230"/>
      <c r="J111" s="230"/>
      <c r="K111" s="230"/>
      <c r="L111" s="1289" t="s">
        <v>1844</v>
      </c>
      <c r="M111" s="1287" cm="1" t="str">
        <f t="array" ref="M111:M111">OFFSET(L111,-1,1)</f>
        <v>ТЭ.42.28873685.0002</v>
      </c>
      <c r="N111" s="1289"/>
      <c r="O111" s="1289"/>
      <c r="P111" s="1289"/>
      <c r="Q111" s="1289"/>
      <c r="R111" s="1289"/>
      <c r="S111" s="1289"/>
      <c r="T111" s="808" cm="1" t="str">
        <f t="array" ref="T111:T111">T110</f>
        <v>true</v>
      </c>
      <c r="U111" s="1582"/>
      <c r="V111" s="1582"/>
      <c r="W111" s="1582"/>
      <c r="X111" s="1582"/>
      <c r="Y111" s="1582"/>
      <c r="Z111" s="1582"/>
      <c r="AA111" s="230"/>
      <c r="AB111" s="992" t="s">
        <v>1845</v>
      </c>
      <c r="AC111" s="993" t="s">
        <v>1846</v>
      </c>
      <c r="AD111" s="994" t="s">
        <v>1023</v>
      </c>
      <c r="AE111" s="615">
        <f>_xlfn.SUMIFS(Налоги!AE$26:AE$55,Налоги!$F$26:$F$55,$F111,Налоги!$G$26:$G$55,$G111)</f>
        <v>0</v>
      </c>
      <c r="AF111" s="615">
        <f>_xlfn.SUMIFS(Налоги!AF$26:AF$55,Налоги!$F$26:$F$55,$F111,Налоги!$G$26:$G$55,$G111)</f>
        <v>15</v>
      </c>
      <c r="AG111" s="615">
        <f>_xlfn.SUMIFS(Налоги!AG$26:AG$55,Налоги!$F$26:$F$55,$F111,Налоги!$G$26:$G$55,$G111)</f>
        <v>0</v>
      </c>
      <c r="AH111" s="310">
        <f>AG111-AF111</f>
        <v>-15</v>
      </c>
      <c r="AI111" s="615">
        <f>_xlfn.SUMIFS(Налоги!AH$26:AH$55,Налоги!$F$26:$F$55,$F111,Налоги!$G$26:$G$55,$G111)</f>
        <v>2.28</v>
      </c>
      <c r="AJ111" s="615">
        <f>_xlfn.SUMIFS(Налоги!AI$26:AI$55,Налоги!$F$26:$F$55,$F111,Налоги!$G$26:$G$55,$G111)</f>
        <v>0</v>
      </c>
      <c r="AK111" s="615">
        <f>_xlfn.SUMIFS(Налоги!AS$26:AS$55,Налоги!$F$26:$F$55,$F111,Налоги!$G$26:$G$55,$G111)</f>
        <v>0</v>
      </c>
      <c r="AL111" s="310">
        <f>IF(AI111=0,0,(AK111-AI111)/AI111*100)</f>
        <v>-100</v>
      </c>
      <c r="AM111" s="1719"/>
      <c r="AN111" s="1719"/>
      <c r="AO111" s="1719"/>
      <c r="AP111" s="230"/>
      <c r="AQ111" s="230"/>
      <c r="AR111" s="1233" t="s">
        <v>1360</v>
      </c>
      <c r="AS111" s="1271"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M10558::ТЭ.42.28873685.0002::1.0.99.::Неопределено::Неопределено::Неопределено::Неопределено::Неопределено::Неопределено</v>
      </c>
    </row>
    <row s="1632" customFormat="1" customHeight="1" ht="16.5">
      <c r="A112" s="1186"/>
      <c r="B112" s="927"/>
      <c r="C112" s="1301" t="s">
        <v>1800</v>
      </c>
      <c r="D112" s="1260" t="s">
        <v>1801</v>
      </c>
      <c r="E112" s="797">
        <v>17.1</v>
      </c>
      <c r="F112" s="922" cm="1" t="str">
        <f t="array" ref="F112:F112">OFFSET(G112,-1,-1)</f>
        <v>1</v>
      </c>
      <c r="G112" s="193" t="s">
        <v>1151</v>
      </c>
      <c r="H112" s="230"/>
      <c r="I112" s="230"/>
      <c r="J112" s="230"/>
      <c r="K112" s="230"/>
      <c r="L112" s="1289"/>
      <c r="M112" s="1287" cm="1" t="str">
        <f t="array" ref="M112:M112">OFFSET(L112,-1,1)</f>
        <v>ТЭ.42.28873685.0002</v>
      </c>
      <c r="N112" s="1289" t="s">
        <v>1847</v>
      </c>
      <c r="O112" s="1289"/>
      <c r="P112" s="1289"/>
      <c r="Q112" s="1289"/>
      <c r="R112" s="1289"/>
      <c r="S112" s="1289"/>
      <c r="T112" s="808" cm="1" t="str">
        <f t="array" ref="T112:T112">T111</f>
        <v>true</v>
      </c>
      <c r="U112" s="1582"/>
      <c r="V112" s="1582"/>
      <c r="W112" s="1582"/>
      <c r="X112" s="1582"/>
      <c r="Y112" s="1582"/>
      <c r="Z112" s="1582"/>
      <c r="AA112" s="230"/>
      <c r="AB112" s="992" t="s">
        <v>1848</v>
      </c>
      <c r="AC112" s="993" t="s">
        <v>1849</v>
      </c>
      <c r="AD112" s="994" t="s">
        <v>1023</v>
      </c>
      <c r="AE112" s="310">
        <f>_xlfn.SUMIFS(Аренда!AE$26:AE$51,Аренда!$F$26:$F$51,$F112,Аренда!$G$26:$G$51,$G112)</f>
        <v>0</v>
      </c>
      <c r="AF112" s="310">
        <f>_xlfn.SUMIFS(Аренда!AF$26:AF$51,Аренда!$F$26:$F$51,$F112,Аренда!$G$26:$G$51,$G112)</f>
        <v>0</v>
      </c>
      <c r="AG112" s="310">
        <f>_xlfn.SUMIFS(Аренда!AG$26:AG$51,Аренда!$F$26:$F$51,$F112,Аренда!$G$26:$G$51,$G112)</f>
        <v>0</v>
      </c>
      <c r="AH112" s="310">
        <f>AG112-AF112</f>
        <v>0</v>
      </c>
      <c r="AI112" s="310">
        <f>_xlfn.SUMIFS(Аренда!AH$26:AH$51,Аренда!$F$26:$F$51,$F112,Аренда!$G$26:$G$51,$G112)</f>
        <v>0</v>
      </c>
      <c r="AJ112" s="310">
        <f>_xlfn.SUMIFS(Аренда!AI$26:AI$51,Аренда!$F$26:$F$51,$F112,Аренда!$G$26:$G$51,$G112)</f>
        <v>0</v>
      </c>
      <c r="AK112" s="310">
        <f>_xlfn.SUMIFS(Аренда!AS$26:AS$51,Аренда!$F$26:$F$51,$F112,Аренда!$G$26:$G$51,$G112)</f>
        <v>0</v>
      </c>
      <c r="AL112" s="310">
        <f>IF(AI112=0,0,(AK112-AI112)/AI112*100)</f>
        <v>0</v>
      </c>
      <c r="AM112" s="1719"/>
      <c r="AN112" s="1719"/>
      <c r="AO112" s="1719"/>
      <c r="AP112" s="230"/>
      <c r="AQ112" s="230"/>
      <c r="AR112" s="1233" t="s">
        <v>1850</v>
      </c>
      <c r="AS112" s="1271"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M10558::ТЭ.42.28873685.0002::Неопределено::110.0.26.::Неопределено::Неопределено::Неопределено::Неопределено::Неопределено</v>
      </c>
    </row>
    <row s="1632" customFormat="1" customHeight="1" ht="16.5">
      <c r="A113" s="1186"/>
      <c r="B113" s="927"/>
      <c r="C113" s="1301" t="s">
        <v>1800</v>
      </c>
      <c r="D113" s="1260" t="s">
        <v>1801</v>
      </c>
      <c r="E113" s="797">
        <v>17.1</v>
      </c>
      <c r="F113" s="922" cm="1" t="str">
        <f t="array" ref="F113:F113">OFFSET(G113,-1,-1)</f>
        <v>1</v>
      </c>
      <c r="G113" s="230"/>
      <c r="H113" s="230"/>
      <c r="I113" s="230"/>
      <c r="J113" s="230"/>
      <c r="K113" s="230"/>
      <c r="L113" s="1289"/>
      <c r="M113" s="1287" cm="1" t="str">
        <f t="array" ref="M113:M113">OFFSET(L113,-1,1)</f>
        <v>ТЭ.42.28873685.0002</v>
      </c>
      <c r="N113" s="1289"/>
      <c r="O113" s="1289" t="s">
        <v>1851</v>
      </c>
      <c r="P113" s="1289"/>
      <c r="Q113" s="1289"/>
      <c r="R113" s="1289"/>
      <c r="S113" s="1289"/>
      <c r="T113" s="808" cm="1" t="str">
        <f t="array" ref="T113:T113">T112</f>
        <v>true</v>
      </c>
      <c r="U113" s="1582"/>
      <c r="V113" s="1582"/>
      <c r="W113" s="1582"/>
      <c r="X113" s="1582"/>
      <c r="Y113" s="1582"/>
      <c r="Z113" s="1582"/>
      <c r="AA113" s="230"/>
      <c r="AB113" s="992" t="s">
        <v>1852</v>
      </c>
      <c r="AC113" s="993" t="s">
        <v>1320</v>
      </c>
      <c r="AD113" s="994" t="s">
        <v>1023</v>
      </c>
      <c r="AE113" s="1956"/>
      <c r="AF113" s="1956"/>
      <c r="AG113" s="1956"/>
      <c r="AH113" s="310">
        <f>AG113-AF113</f>
        <v>0</v>
      </c>
      <c r="AI113" s="1956"/>
      <c r="AJ113" s="1956"/>
      <c r="AK113" s="1956"/>
      <c r="AL113" s="310">
        <f>IF(AI113=0,0,(AK113-AI113)/AI113*100)</f>
        <v>0</v>
      </c>
      <c r="AM113" s="1719"/>
      <c r="AN113" s="1719"/>
      <c r="AO113" s="1719"/>
      <c r="AP113" s="230"/>
      <c r="AQ113" s="230"/>
      <c r="AR113" s="1233" t="s">
        <v>1853</v>
      </c>
      <c r="AS113" s="1271"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M10558::ТЭ.42.28873685.0002::Неопределено::Неопределено::122.0.4.::Неопределено::Неопределено::Неопределено::Неопределено</v>
      </c>
    </row>
    <row s="1632" customFormat="1" customHeight="1" ht="16.5">
      <c r="A114" s="1186"/>
      <c r="B114" s="927"/>
      <c r="C114" s="1301" t="s">
        <v>1800</v>
      </c>
      <c r="D114" s="1260" t="s">
        <v>1801</v>
      </c>
      <c r="E114" s="797">
        <v>17.1</v>
      </c>
      <c r="F114" s="922" cm="1" t="str">
        <f t="array" ref="F114:F114">OFFSET(G114,-1,-1)</f>
        <v>1</v>
      </c>
      <c r="G114" s="230"/>
      <c r="H114" s="230"/>
      <c r="I114" s="230"/>
      <c r="J114" s="230"/>
      <c r="K114" s="230"/>
      <c r="L114" s="1289"/>
      <c r="M114" s="1287" cm="1" t="str">
        <f t="array" ref="M114:M114">OFFSET(L114,-1,1)</f>
        <v>ТЭ.42.28873685.0002</v>
      </c>
      <c r="N114" s="1289"/>
      <c r="O114" s="1289" t="s">
        <v>1854</v>
      </c>
      <c r="P114" s="1289"/>
      <c r="Q114" s="1289"/>
      <c r="R114" s="1289"/>
      <c r="S114" s="1289"/>
      <c r="T114" s="808" cm="1" t="str">
        <f t="array" ref="T114:T114">T113</f>
        <v>true</v>
      </c>
      <c r="U114" s="1582"/>
      <c r="V114" s="1582"/>
      <c r="W114" s="1582"/>
      <c r="X114" s="1582"/>
      <c r="Y114" s="1582"/>
      <c r="Z114" s="1582"/>
      <c r="AA114" s="230"/>
      <c r="AB114" s="992" t="s">
        <v>1855</v>
      </c>
      <c r="AC114" s="993" t="s">
        <v>1322</v>
      </c>
      <c r="AD114" s="994" t="s">
        <v>1023</v>
      </c>
      <c r="AE114" s="1956"/>
      <c r="AF114" s="1956"/>
      <c r="AG114" s="1956"/>
      <c r="AH114" s="310">
        <f>AG114-AF114</f>
        <v>0</v>
      </c>
      <c r="AI114" s="1956"/>
      <c r="AJ114" s="1956"/>
      <c r="AK114" s="1956"/>
      <c r="AL114" s="310">
        <f>IF(AI114=0,0,(AK114-AI114)/AI114*100)</f>
        <v>0</v>
      </c>
      <c r="AM114" s="1719"/>
      <c r="AN114" s="1719"/>
      <c r="AO114" s="1719"/>
      <c r="AP114" s="230"/>
      <c r="AQ114" s="230"/>
      <c r="AR114" s="1233" t="s">
        <v>1323</v>
      </c>
      <c r="AS114" s="1271"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M10558::ТЭ.42.28873685.0002::Неопределено::Неопределено::122.0.5.::Неопределено::Неопределено::Неопределено::Неопределено</v>
      </c>
    </row>
    <row s="1632" customFormat="1" customHeight="1" ht="33.75">
      <c r="A115" s="1186"/>
      <c r="B115" s="927"/>
      <c r="C115" s="1301" t="s">
        <v>1800</v>
      </c>
      <c r="D115" s="1260" t="s">
        <v>1801</v>
      </c>
      <c r="E115" s="797">
        <v>35</v>
      </c>
      <c r="F115" s="922" cm="1" t="str">
        <f t="array" ref="F115:F115">OFFSET(G115,-1,-1)</f>
        <v>1</v>
      </c>
      <c r="G115" s="193" t="s">
        <v>1254</v>
      </c>
      <c r="H115" s="230"/>
      <c r="I115" s="230"/>
      <c r="J115" s="230"/>
      <c r="K115" s="230"/>
      <c r="L115" s="1289"/>
      <c r="M115" s="1287" cm="1" t="str">
        <f t="array" ref="M115:M115">OFFSET(L115,-1,1)</f>
        <v>ТЭ.42.28873685.0002</v>
      </c>
      <c r="N115" s="1289"/>
      <c r="O115" s="1289" t="s">
        <v>1856</v>
      </c>
      <c r="P115" s="1289"/>
      <c r="Q115" s="1289"/>
      <c r="R115" s="1289"/>
      <c r="S115" s="1289"/>
      <c r="T115" s="808" cm="1" t="str">
        <f t="array" ref="T115:T115">T114</f>
        <v>true</v>
      </c>
      <c r="U115" s="1582"/>
      <c r="V115" s="1582"/>
      <c r="W115" s="1582"/>
      <c r="X115" s="1582"/>
      <c r="Y115" s="1582"/>
      <c r="Z115" s="1582"/>
      <c r="AA115" s="230"/>
      <c r="AB115" s="992" t="s">
        <v>1857</v>
      </c>
      <c r="AC115" s="993" t="s">
        <v>1858</v>
      </c>
      <c r="AD115" s="994" t="s">
        <v>1023</v>
      </c>
      <c r="AE115" s="615">
        <f>_xlfn.SUMIFS(Налоги!AE$26:AE$55,Налоги!$F$26:$F$55,$F115,Налоги!$G$26:$G$55,$G115)</f>
        <v>0</v>
      </c>
      <c r="AF115" s="615">
        <f>_xlfn.SUMIFS(Налоги!AF$26:AF$55,Налоги!$F$26:$F$55,$F115,Налоги!$G$26:$G$55,$G115)</f>
        <v>0</v>
      </c>
      <c r="AG115" s="615">
        <f>_xlfn.SUMIFS(Налоги!AG$26:AG$55,Налоги!$F$26:$F$55,$F115,Налоги!$G$26:$G$55,$G115)</f>
        <v>0</v>
      </c>
      <c r="AH115" s="310">
        <f>AG115-AF115</f>
        <v>0</v>
      </c>
      <c r="AI115" s="615">
        <f>_xlfn.SUMIFS(Налоги!AH$26:AH$55,Налоги!$F$26:$F$55,$F115,Налоги!$G$26:$G$55,$G115)</f>
        <v>0</v>
      </c>
      <c r="AJ115" s="615">
        <f>_xlfn.SUMIFS(Налоги!AI$26:AI$55,Налоги!$F$26:$F$55,$F115,Налоги!$G$26:$G$55,$G115)</f>
        <v>0</v>
      </c>
      <c r="AK115" s="615">
        <f>_xlfn.SUMIFS(Налоги!AS$26:AS$55,Налоги!$F$26:$F$55,$F115,Налоги!$G$26:$G$55,$G115)</f>
        <v>0</v>
      </c>
      <c r="AL115" s="310">
        <f>IF(AI115=0,0,(AK115-AI115)/AI115*100)</f>
        <v>0</v>
      </c>
      <c r="AM115" s="1719"/>
      <c r="AN115" s="1719"/>
      <c r="AO115" s="1719"/>
      <c r="AP115" s="230"/>
      <c r="AQ115" s="230"/>
      <c r="AR115" s="1233" t="s">
        <v>1859</v>
      </c>
      <c r="AS115" s="1271"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M10558::ТЭ.42.28873685.0002::Неопределено::Неопределено::122.0.6.::Неопределено::Неопределено::Неопределено::Неопределено</v>
      </c>
    </row>
    <row s="1632" customFormat="1" customHeight="1" ht="33.75">
      <c r="A116" s="1186"/>
      <c r="B116" s="927"/>
      <c r="C116" s="1301" t="s">
        <v>1800</v>
      </c>
      <c r="D116" s="1260" t="s">
        <v>1801</v>
      </c>
      <c r="E116" s="797">
        <v>35</v>
      </c>
      <c r="F116" s="922" cm="1" t="str">
        <f t="array" ref="F116:F116">OFFSET(G116,-1,-1)</f>
        <v>1</v>
      </c>
      <c r="G116" s="230"/>
      <c r="H116" s="230"/>
      <c r="I116" s="230"/>
      <c r="J116" s="230"/>
      <c r="K116" s="230"/>
      <c r="L116" s="1289" t="s">
        <v>1860</v>
      </c>
      <c r="M116" s="1287" cm="1" t="str">
        <f t="array" ref="M116:M116">OFFSET(L116,-1,1)</f>
        <v>ТЭ.42.28873685.0002</v>
      </c>
      <c r="N116" s="1289"/>
      <c r="O116" s="1289"/>
      <c r="P116" s="1289"/>
      <c r="Q116" s="1289"/>
      <c r="R116" s="1289"/>
      <c r="S116" s="1289"/>
      <c r="T116" s="808" cm="1" t="str">
        <f t="array" ref="T116:T116">T115</f>
        <v>true</v>
      </c>
      <c r="U116" s="1582"/>
      <c r="V116" s="1582"/>
      <c r="W116" s="1582"/>
      <c r="X116" s="1582"/>
      <c r="Y116" s="1582"/>
      <c r="Z116" s="1582"/>
      <c r="AA116" s="230"/>
      <c r="AB116" s="992" t="s">
        <v>1861</v>
      </c>
      <c r="AC116" s="993" t="s">
        <v>1862</v>
      </c>
      <c r="AD116" s="994" t="s">
        <v>1023</v>
      </c>
      <c r="AE116" s="615">
        <f>SUM(AE117:AE121)</f>
        <v>930</v>
      </c>
      <c r="AF116" s="615">
        <f>SUM(AF117:AF121)</f>
        <v>930</v>
      </c>
      <c r="AG116" s="615">
        <f>SUM(AG117:AG121)</f>
        <v>930</v>
      </c>
      <c r="AH116" s="310">
        <f>AG116-AF116</f>
        <v>0</v>
      </c>
      <c r="AI116" s="615">
        <f>SUM(AI117:AI121)</f>
        <v>978.59</v>
      </c>
      <c r="AJ116" s="615">
        <f>SUM(AJ117:AJ121)</f>
        <v>2450.43</v>
      </c>
      <c r="AK116" s="615">
        <f>SUM(AK117:AK121)</f>
        <v>934.37</v>
      </c>
      <c r="AL116" s="310">
        <f>IF(AI116=0,0,(AK116-AI116)/AI116*100)</f>
        <v>-4.51874635955814</v>
      </c>
      <c r="AM116" s="1719"/>
      <c r="AN116" s="1719"/>
      <c r="AO116" s="1719"/>
      <c r="AP116" s="230"/>
      <c r="AQ116" s="230"/>
      <c r="AR116" s="1233" t="s">
        <v>1270</v>
      </c>
      <c r="AS116" s="1271"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M10558::ТЭ.42.28873685.0002::1.0.49.::Неопределено::Неопределено::Неопределено::Неопределено::Неопределено::Неопределено</v>
      </c>
    </row>
    <row s="1632" customFormat="1" customHeight="1" ht="16.5">
      <c r="A117" s="1186"/>
      <c r="B117" s="927"/>
      <c r="C117" s="1301" t="s">
        <v>1800</v>
      </c>
      <c r="D117" s="1260" t="s">
        <v>1801</v>
      </c>
      <c r="E117" s="797">
        <v>17.1</v>
      </c>
      <c r="F117" s="922" cm="1" t="str">
        <f t="array" ref="F117:F117">OFFSET(G117,-1,-1)</f>
        <v>1</v>
      </c>
      <c r="G117" s="193" t="s">
        <v>1258</v>
      </c>
      <c r="H117" s="230"/>
      <c r="I117" s="230"/>
      <c r="J117" s="230"/>
      <c r="K117" s="230"/>
      <c r="L117" s="1289" t="s">
        <v>1863</v>
      </c>
      <c r="M117" s="1287" cm="1" t="str">
        <f t="array" ref="M117:M117">OFFSET(L117,-1,1)</f>
        <v>ТЭ.42.28873685.0002</v>
      </c>
      <c r="N117" s="1289"/>
      <c r="O117" s="1289"/>
      <c r="P117" s="1289"/>
      <c r="Q117" s="1289"/>
      <c r="R117" s="1289"/>
      <c r="S117" s="1289"/>
      <c r="T117" s="808" cm="1" t="str">
        <f t="array" ref="T117:T117">T116</f>
        <v>true</v>
      </c>
      <c r="U117" s="1582"/>
      <c r="V117" s="1582"/>
      <c r="W117" s="1582"/>
      <c r="X117" s="1582"/>
      <c r="Y117" s="1582"/>
      <c r="Z117" s="1582"/>
      <c r="AA117" s="230"/>
      <c r="AB117" s="992" t="s">
        <v>1864</v>
      </c>
      <c r="AC117" s="993" t="s">
        <v>1865</v>
      </c>
      <c r="AD117" s="994" t="s">
        <v>1023</v>
      </c>
      <c r="AE117" s="615">
        <f>_xlfn.SUMIFS(Налоги!AE$26:AE$55,Налоги!$F$26:$F$55,$F117,Налоги!$H$26:$H$55,$G117)</f>
        <v>0</v>
      </c>
      <c r="AF117" s="615">
        <f>_xlfn.SUMIFS(Налоги!AF$26:AF$55,Налоги!$F$26:$F$55,$F117,Налоги!$H$26:$H$55,$G117)</f>
        <v>0</v>
      </c>
      <c r="AG117" s="615">
        <f>_xlfn.SUMIFS(Налоги!AG$26:AG$55,Налоги!$F$26:$F$55,$F117,Налоги!$H$26:$H$55,$G117)</f>
        <v>0</v>
      </c>
      <c r="AH117" s="310">
        <f>AG117-AF117</f>
        <v>0</v>
      </c>
      <c r="AI117" s="615">
        <f>_xlfn.SUMIFS(Налоги!AH$26:AH$55,Налоги!$F$26:$F$55,$F117,Налоги!$H$26:$H$55,$G117)</f>
        <v>0</v>
      </c>
      <c r="AJ117" s="615">
        <f>_xlfn.SUMIFS(Налоги!AI$26:AI$55,Налоги!$F$26:$F$55,$F117,Налоги!$H$26:$H$55,$G117)</f>
        <v>3.47</v>
      </c>
      <c r="AK117" s="615">
        <f>_xlfn.SUMIFS(Налоги!AS$26:AS$55,Налоги!$F$26:$F$55,$F117,Налоги!$H$26:$H$55,$G117)</f>
        <v>0</v>
      </c>
      <c r="AL117" s="310">
        <f>IF(AI117=0,0,(AK117-AI117)/AI117*100)</f>
        <v>0</v>
      </c>
      <c r="AM117" s="1719"/>
      <c r="AN117" s="1719"/>
      <c r="AO117" s="1719"/>
      <c r="AP117" s="230"/>
      <c r="AQ117" s="230"/>
      <c r="AR117" s="1233" t="s">
        <v>571</v>
      </c>
      <c r="AS117" s="1271"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M10558::ТЭ.42.28873685.0002::1.0.25.::Неопределено::Неопределено::Неопределено::Неопределено::Неопределено::Неопределено</v>
      </c>
    </row>
    <row s="1632" customFormat="1" customHeight="1" ht="16.5">
      <c r="A118" s="1186"/>
      <c r="B118" s="927"/>
      <c r="C118" s="1301" t="s">
        <v>1800</v>
      </c>
      <c r="D118" s="1260" t="s">
        <v>1801</v>
      </c>
      <c r="E118" s="797">
        <v>17.1</v>
      </c>
      <c r="F118" s="922" cm="1" t="str">
        <f t="array" ref="F118:F118">OFFSET(G118,-1,-1)</f>
        <v>1</v>
      </c>
      <c r="G118" s="193" t="s">
        <v>1260</v>
      </c>
      <c r="H118" s="230"/>
      <c r="I118" s="230"/>
      <c r="J118" s="230"/>
      <c r="K118" s="230"/>
      <c r="L118" s="1289" t="s">
        <v>1866</v>
      </c>
      <c r="M118" s="1287" cm="1" t="str">
        <f t="array" ref="M118:M118">OFFSET(L118,-1,1)</f>
        <v>ТЭ.42.28873685.0002</v>
      </c>
      <c r="N118" s="1289"/>
      <c r="O118" s="1289"/>
      <c r="P118" s="1289"/>
      <c r="Q118" s="1289"/>
      <c r="R118" s="1289"/>
      <c r="S118" s="1289"/>
      <c r="T118" s="808" cm="1" t="str">
        <f t="array" ref="T118:T118">T117</f>
        <v>true</v>
      </c>
      <c r="U118" s="1582"/>
      <c r="V118" s="1582"/>
      <c r="W118" s="1582"/>
      <c r="X118" s="1582"/>
      <c r="Y118" s="1582"/>
      <c r="Z118" s="1582"/>
      <c r="AA118" s="230"/>
      <c r="AB118" s="992" t="s">
        <v>1867</v>
      </c>
      <c r="AC118" s="993" t="s">
        <v>1261</v>
      </c>
      <c r="AD118" s="994" t="s">
        <v>1023</v>
      </c>
      <c r="AE118" s="615">
        <f>_xlfn.SUMIFS(Налоги!AE$26:AE$55,Налоги!$F$26:$F$55,$F118,Налоги!$H$26:$H$55,$G118)</f>
        <v>0</v>
      </c>
      <c r="AF118" s="615">
        <f>_xlfn.SUMIFS(Налоги!AF$26:AF$55,Налоги!$F$26:$F$55,$F118,Налоги!$H$26:$H$55,$G118)</f>
        <v>0</v>
      </c>
      <c r="AG118" s="615">
        <f>_xlfn.SUMIFS(Налоги!AG$26:AG$55,Налоги!$F$26:$F$55,$F118,Налоги!$H$26:$H$55,$G118)</f>
        <v>0</v>
      </c>
      <c r="AH118" s="310">
        <f>AG118-AF118</f>
        <v>0</v>
      </c>
      <c r="AI118" s="615">
        <f>_xlfn.SUMIFS(Налоги!AH$26:AH$55,Налоги!$F$26:$F$55,$F118,Налоги!$H$26:$H$55,$G118)</f>
        <v>0</v>
      </c>
      <c r="AJ118" s="615">
        <f>_xlfn.SUMIFS(Налоги!AI$26:AI$55,Налоги!$F$26:$F$55,$F118,Налоги!$H$26:$H$55,$G118)</f>
        <v>0</v>
      </c>
      <c r="AK118" s="615">
        <f>_xlfn.SUMIFS(Налоги!AS$26:AS$55,Налоги!$F$26:$F$55,$F118,Налоги!$H$26:$H$55,$G118)</f>
        <v>0</v>
      </c>
      <c r="AL118" s="310">
        <f>IF(AI118=0,0,(AK118-AI118)/AI118*100)</f>
        <v>0</v>
      </c>
      <c r="AM118" s="1719"/>
      <c r="AN118" s="1719"/>
      <c r="AO118" s="1719"/>
      <c r="AP118" s="230"/>
      <c r="AQ118" s="230"/>
      <c r="AR118" s="1233" t="s">
        <v>1262</v>
      </c>
      <c r="AS118" s="1271"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M10558::ТЭ.42.28873685.0002::1.0.17.::Неопределено::Неопределено::Неопределено::Неопределено::Неопределено::Неопределено</v>
      </c>
    </row>
    <row s="1632" customFormat="1" customHeight="1" ht="16.5">
      <c r="A119" s="1186"/>
      <c r="B119" s="927"/>
      <c r="C119" s="1301" t="s">
        <v>1800</v>
      </c>
      <c r="D119" s="1260" t="s">
        <v>1801</v>
      </c>
      <c r="E119" s="797">
        <v>17.1</v>
      </c>
      <c r="F119" s="922" cm="1" t="str">
        <f t="array" ref="F119:F119">OFFSET(G119,-1,-1)</f>
        <v>1</v>
      </c>
      <c r="G119" s="193" t="s">
        <v>1251</v>
      </c>
      <c r="H119" s="230"/>
      <c r="I119" s="230"/>
      <c r="J119" s="230"/>
      <c r="K119" s="230"/>
      <c r="L119" s="1289" t="s">
        <v>1868</v>
      </c>
      <c r="M119" s="1287" cm="1" t="str">
        <f t="array" ref="M119:M119">OFFSET(L119,-1,1)</f>
        <v>ТЭ.42.28873685.0002</v>
      </c>
      <c r="N119" s="1289"/>
      <c r="O119" s="1289"/>
      <c r="P119" s="1289"/>
      <c r="Q119" s="1289"/>
      <c r="R119" s="1289"/>
      <c r="S119" s="1289"/>
      <c r="T119" s="808" cm="1" t="str">
        <f t="array" ref="T119:T119">T118</f>
        <v>true</v>
      </c>
      <c r="U119" s="1582"/>
      <c r="V119" s="1582"/>
      <c r="W119" s="1582"/>
      <c r="X119" s="1582"/>
      <c r="Y119" s="1582"/>
      <c r="Z119" s="1582"/>
      <c r="AA119" s="230"/>
      <c r="AB119" s="997" t="s">
        <v>1869</v>
      </c>
      <c r="AC119" s="998" t="s">
        <v>1252</v>
      </c>
      <c r="AD119" s="999" t="s">
        <v>1023</v>
      </c>
      <c r="AE119" s="615">
        <f>_xlfn.SUMIFS(Налоги!AE$26:AE$55,Налоги!$F$26:$F$55,$F119,Налоги!$H$26:$H$55,$G119)</f>
        <v>0</v>
      </c>
      <c r="AF119" s="615">
        <f>_xlfn.SUMIFS(Налоги!AF$26:AF$55,Налоги!$F$26:$F$55,$F119,Налоги!$H$26:$H$55,$G119)</f>
        <v>0</v>
      </c>
      <c r="AG119" s="615">
        <f>_xlfn.SUMIFS(Налоги!AG$26:AG$55,Налоги!$F$26:$F$55,$F119,Налоги!$H$26:$H$55,$G119)</f>
        <v>0</v>
      </c>
      <c r="AH119" s="310">
        <f>AG119-AF119</f>
        <v>0</v>
      </c>
      <c r="AI119" s="615">
        <f>_xlfn.SUMIFS(Налоги!AH$26:AH$55,Налоги!$F$26:$F$55,$F119,Налоги!$H$26:$H$55,$G119)</f>
        <v>0</v>
      </c>
      <c r="AJ119" s="615">
        <f>_xlfn.SUMIFS(Налоги!AI$26:AI$55,Налоги!$F$26:$F$55,$F119,Налоги!$H$26:$H$55,$G119)</f>
        <v>0</v>
      </c>
      <c r="AK119" s="615">
        <f>_xlfn.SUMIFS(Налоги!AS$26:AS$55,Налоги!$F$26:$F$55,$F119,Налоги!$H$26:$H$55,$G119)</f>
        <v>0</v>
      </c>
      <c r="AL119" s="310">
        <f>IF(AI119=0,0,(AK119-AI119)/AI119*100)</f>
        <v>0</v>
      </c>
      <c r="AM119" s="1719"/>
      <c r="AN119" s="1719"/>
      <c r="AO119" s="1719"/>
      <c r="AP119" s="230"/>
      <c r="AQ119" s="230"/>
      <c r="AR119" s="1233" t="s">
        <v>1870</v>
      </c>
      <c r="AS119" s="1271"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M10558::ТЭ.42.28873685.0002::1.0.93.::Неопределено::Неопределено::Неопределено::Неопределено::Неопределено::Неопределено</v>
      </c>
    </row>
    <row s="1632" customFormat="1" customHeight="1" ht="16.5">
      <c r="A120" s="1186"/>
      <c r="B120" s="927"/>
      <c r="C120" s="1301" t="s">
        <v>1800</v>
      </c>
      <c r="D120" s="1260" t="s">
        <v>1801</v>
      </c>
      <c r="E120" s="797">
        <v>17.1</v>
      </c>
      <c r="F120" s="922" cm="1" t="str">
        <f t="array" ref="F120:F120">OFFSET(G120,-1,-1)</f>
        <v>1</v>
      </c>
      <c r="G120" s="193" t="s">
        <v>1265</v>
      </c>
      <c r="H120" s="230"/>
      <c r="I120" s="230"/>
      <c r="J120" s="230"/>
      <c r="K120" s="230"/>
      <c r="L120" s="1289" t="s">
        <v>1871</v>
      </c>
      <c r="M120" s="1287" cm="1" t="str">
        <f t="array" ref="M120:M120">OFFSET(L120,-1,1)</f>
        <v>ТЭ.42.28873685.0002</v>
      </c>
      <c r="N120" s="1289"/>
      <c r="O120" s="1289"/>
      <c r="P120" s="1289"/>
      <c r="Q120" s="1289"/>
      <c r="R120" s="1289"/>
      <c r="S120" s="1289"/>
      <c r="T120" s="808" cm="1" t="str">
        <f t="array" ref="T120:T120">T119</f>
        <v>true</v>
      </c>
      <c r="U120" s="1582"/>
      <c r="V120" s="1582"/>
      <c r="W120" s="1582"/>
      <c r="X120" s="1582"/>
      <c r="Y120" s="1582"/>
      <c r="Z120" s="1582"/>
      <c r="AA120" s="230"/>
      <c r="AB120" s="859" t="s">
        <v>1872</v>
      </c>
      <c r="AC120" s="1001" t="s">
        <v>1266</v>
      </c>
      <c r="AD120" s="859" t="s">
        <v>1023</v>
      </c>
      <c r="AE120" s="615">
        <f>_xlfn.SUMIFS(Налоги!AE$26:AE$55,Налоги!$F$26:$F$55,$F120,Налоги!$H$26:$H$55,$G120)</f>
        <v>0</v>
      </c>
      <c r="AF120" s="615">
        <f>_xlfn.SUMIFS(Налоги!AF$26:AF$55,Налоги!$F$26:$F$55,$F120,Налоги!$H$26:$H$55,$G120)</f>
        <v>0</v>
      </c>
      <c r="AG120" s="615">
        <f>_xlfn.SUMIFS(Налоги!AG$26:AG$55,Налоги!$F$26:$F$55,$F120,Налоги!$H$26:$H$55,$G120)</f>
        <v>0</v>
      </c>
      <c r="AH120" s="310">
        <f>AG120-AF120</f>
        <v>0</v>
      </c>
      <c r="AI120" s="615">
        <f>_xlfn.SUMIFS(Налоги!AH$26:AH$55,Налоги!$F$26:$F$55,$F120,Налоги!$H$26:$H$55,$G120)</f>
        <v>0</v>
      </c>
      <c r="AJ120" s="615">
        <f>_xlfn.SUMIFS(Налоги!AI$26:AI$55,Налоги!$F$26:$F$55,$F120,Налоги!$H$26:$H$55,$G120)</f>
        <v>0</v>
      </c>
      <c r="AK120" s="615">
        <f>_xlfn.SUMIFS(Налоги!AS$26:AS$55,Налоги!$F$26:$F$55,$F120,Налоги!$H$26:$H$55,$G120)</f>
        <v>0</v>
      </c>
      <c r="AL120" s="310">
        <f>IF(AI120=0,0,(AK120-AI120)/AI120*100)</f>
        <v>0</v>
      </c>
      <c r="AM120" s="1719"/>
      <c r="AN120" s="1719"/>
      <c r="AO120" s="1719"/>
      <c r="AP120" s="230"/>
      <c r="AQ120" s="230"/>
      <c r="AR120" s="1233" t="s">
        <v>1267</v>
      </c>
      <c r="AS120" s="1271"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M10558::ТЭ.42.28873685.0002::1.0.6.::Неопределено::Неопределено::Неопределено::Неопределено::Неопределено::Неопределено</v>
      </c>
    </row>
    <row s="1632" customFormat="1" customHeight="1" ht="16.5">
      <c r="A121" s="1186"/>
      <c r="B121" s="927"/>
      <c r="C121" s="1301" t="s">
        <v>1800</v>
      </c>
      <c r="D121" s="1260" t="s">
        <v>1801</v>
      </c>
      <c r="E121" s="797">
        <v>17.1</v>
      </c>
      <c r="F121" s="922" cm="1" t="str">
        <f t="array" ref="F121:F121">OFFSET(G121,-1,-1)</f>
        <v>1</v>
      </c>
      <c r="G121" s="193" t="s">
        <v>1250</v>
      </c>
      <c r="H121" s="230"/>
      <c r="I121" s="230"/>
      <c r="J121" s="230"/>
      <c r="K121" s="230"/>
      <c r="L121" s="1289" t="s">
        <v>1873</v>
      </c>
      <c r="M121" s="1287" cm="1" t="str">
        <f t="array" ref="M121:M121">OFFSET(L121,-1,1)</f>
        <v>ТЭ.42.28873685.0002</v>
      </c>
      <c r="N121" s="1289"/>
      <c r="O121" s="1289"/>
      <c r="P121" s="1289"/>
      <c r="Q121" s="1289"/>
      <c r="R121" s="1289"/>
      <c r="S121" s="1289"/>
      <c r="T121" s="808" cm="1" t="str">
        <f t="array" ref="T121:T121">T120</f>
        <v>true</v>
      </c>
      <c r="U121" s="1582"/>
      <c r="V121" s="1582"/>
      <c r="W121" s="1582"/>
      <c r="X121" s="1582"/>
      <c r="Y121" s="1582"/>
      <c r="Z121" s="1582"/>
      <c r="AA121" s="230"/>
      <c r="AB121" s="859" t="s">
        <v>1874</v>
      </c>
      <c r="AC121" s="1001" t="s">
        <v>1875</v>
      </c>
      <c r="AD121" s="859" t="s">
        <v>1023</v>
      </c>
      <c r="AE121" s="615">
        <f>_xlfn.SUMIFS(Налоги!AE$26:AE$55,Налоги!$F$26:$F$55,$F121,Налоги!$H$26:$H$55,$G121)</f>
        <v>930</v>
      </c>
      <c r="AF121" s="615">
        <f>_xlfn.SUMIFS(Налоги!AF$26:AF$55,Налоги!$F$26:$F$55,$F121,Налоги!$H$26:$H$55,$G121)</f>
        <v>930</v>
      </c>
      <c r="AG121" s="615">
        <f>_xlfn.SUMIFS(Налоги!AG$26:AG$55,Налоги!$F$26:$F$55,$F121,Налоги!$H$26:$H$55,$G121)</f>
        <v>930</v>
      </c>
      <c r="AH121" s="310">
        <f>AG121-AF121</f>
        <v>0</v>
      </c>
      <c r="AI121" s="615">
        <f>_xlfn.SUMIFS(Налоги!AH$26:AH$55,Налоги!$F$26:$F$55,$F121,Налоги!$H$26:$H$55,$G121)</f>
        <v>978.59</v>
      </c>
      <c r="AJ121" s="615">
        <f>_xlfn.SUMIFS(Налоги!AI$26:AI$55,Налоги!$F$26:$F$55,$F121,Налоги!$H$26:$H$55,$G121)</f>
        <v>2446.96</v>
      </c>
      <c r="AK121" s="615">
        <f>_xlfn.SUMIFS(Налоги!AS$26:AS$55,Налоги!$F$26:$F$55,$F121,Налоги!$H$26:$H$55,$G121)</f>
        <v>934.37</v>
      </c>
      <c r="AL121" s="310">
        <f>IF(AI121=0,0,(AK121-AI121)/AI121*100)</f>
        <v>-4.51874635955814</v>
      </c>
      <c r="AM121" s="1719"/>
      <c r="AN121" s="1719"/>
      <c r="AO121" s="1719"/>
      <c r="AP121" s="230"/>
      <c r="AQ121" s="230"/>
      <c r="AR121" s="1233" t="s">
        <v>1876</v>
      </c>
      <c r="AS121" s="1271"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M10558::ТЭ.42.28873685.0002::1.0.52.::Неопределено::Неопределено::Неопределено::Неопределено::Неопределено::Неопределено</v>
      </c>
    </row>
    <row s="1632" customFormat="1" customHeight="1" ht="16.5">
      <c r="A122" s="1186"/>
      <c r="B122" s="927"/>
      <c r="C122" s="1301" t="s">
        <v>1800</v>
      </c>
      <c r="D122" s="1260" t="s">
        <v>1801</v>
      </c>
      <c r="E122" s="797">
        <v>17.1</v>
      </c>
      <c r="F122" s="922" cm="1" t="str">
        <f t="array" ref="F122:F122">OFFSET(G122,-1,-1)</f>
        <v>1</v>
      </c>
      <c r="G122" s="230"/>
      <c r="H122" s="230"/>
      <c r="I122" s="230"/>
      <c r="J122" s="230"/>
      <c r="K122" s="230"/>
      <c r="L122" s="1289" t="s">
        <v>1877</v>
      </c>
      <c r="M122" s="1287" cm="1" t="str">
        <f t="array" ref="M122:M122">OFFSET(L122,-1,1)</f>
        <v>ТЭ.42.28873685.0002</v>
      </c>
      <c r="N122" s="1289"/>
      <c r="O122" s="1289"/>
      <c r="P122" s="1289"/>
      <c r="Q122" s="1289"/>
      <c r="R122" s="1289"/>
      <c r="S122" s="1289"/>
      <c r="T122" s="808" cm="1" t="str">
        <f t="array" ref="T122:T122">T121</f>
        <v>true</v>
      </c>
      <c r="U122" s="1582"/>
      <c r="V122" s="1582"/>
      <c r="W122" s="1582"/>
      <c r="X122" s="1582"/>
      <c r="Y122" s="1582"/>
      <c r="Z122" s="1582"/>
      <c r="AA122" s="230"/>
      <c r="AB122" s="886">
        <v>2</v>
      </c>
      <c r="AC122" s="1003" t="s">
        <v>1878</v>
      </c>
      <c r="AD122" s="886" t="s">
        <v>1023</v>
      </c>
      <c r="AE122" s="615">
        <f>AE123+AE124+AE125+AE126</f>
        <v>0</v>
      </c>
      <c r="AF122" s="615">
        <f>AF123+AF124+AF125+AF126</f>
        <v>0</v>
      </c>
      <c r="AG122" s="615">
        <f>AG123+AG124+AG125+AG126</f>
        <v>0</v>
      </c>
      <c r="AH122" s="310">
        <f>AG122-AF122</f>
        <v>0</v>
      </c>
      <c r="AI122" s="615">
        <f>AI123+AI124+AI125+AI126</f>
        <v>0</v>
      </c>
      <c r="AJ122" s="615">
        <f>AJ123+AJ124+AJ125+AJ126</f>
        <v>0</v>
      </c>
      <c r="AK122" s="615">
        <f>AK123+AK124+AK125+AK126</f>
        <v>0</v>
      </c>
      <c r="AL122" s="310">
        <f>IF(AI122=0,0,(AK122-AI122)/AI122*100)</f>
        <v>0</v>
      </c>
      <c r="AM122" s="1719"/>
      <c r="AN122" s="1719"/>
      <c r="AO122" s="1719"/>
      <c r="AP122" s="230"/>
      <c r="AQ122" s="230"/>
      <c r="AR122" s="1233" t="s">
        <v>1879</v>
      </c>
      <c r="AS122" s="1271"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M10558::ТЭ.42.28873685.0002::1.0.50.::Неопределено::Неопределено::Неопределено::Неопределено::Неопределено::Неопределено</v>
      </c>
    </row>
    <row s="1632" customFormat="1" customHeight="1" ht="43.5">
      <c r="A123" s="1186"/>
      <c r="B123" s="927"/>
      <c r="C123" s="1301" t="s">
        <v>1800</v>
      </c>
      <c r="D123" s="1260" t="s">
        <v>1801</v>
      </c>
      <c r="E123" s="797">
        <v>45</v>
      </c>
      <c r="F123" s="922" cm="1" t="str">
        <f t="array" ref="F123:F123">OFFSET(G123,-1,-1)</f>
        <v>1</v>
      </c>
      <c r="G123" s="230"/>
      <c r="H123" s="230"/>
      <c r="I123" s="230"/>
      <c r="J123" s="230"/>
      <c r="K123" s="230"/>
      <c r="L123" s="1289"/>
      <c r="M123" s="1287" cm="1" t="str">
        <f t="array" ref="M123:M123">OFFSET(L123,-1,1)</f>
        <v>ТЭ.42.28873685.0002</v>
      </c>
      <c r="N123" s="1289"/>
      <c r="O123" s="1289"/>
      <c r="P123" s="1289" t="s">
        <v>1880</v>
      </c>
      <c r="Q123" s="1289"/>
      <c r="R123" s="1289"/>
      <c r="S123" s="1289"/>
      <c r="T123" s="808" cm="1" t="str">
        <f t="array" ref="T123:T123">T122</f>
        <v>true</v>
      </c>
      <c r="U123" s="1582"/>
      <c r="V123" s="1582"/>
      <c r="W123" s="1582"/>
      <c r="X123" s="1582"/>
      <c r="Y123" s="1582"/>
      <c r="Z123" s="1582"/>
      <c r="AA123" s="230"/>
      <c r="AB123" s="859" t="s">
        <v>456</v>
      </c>
      <c r="AC123" s="1004" t="s">
        <v>1881</v>
      </c>
      <c r="AD123" s="859" t="s">
        <v>1023</v>
      </c>
      <c r="AE123" s="1956"/>
      <c r="AF123" s="1956"/>
      <c r="AG123" s="1956"/>
      <c r="AH123" s="310">
        <f>AG123-AF123</f>
        <v>0</v>
      </c>
      <c r="AI123" s="1956"/>
      <c r="AJ123" s="1956"/>
      <c r="AK123" s="1956"/>
      <c r="AL123" s="310">
        <f>IF(AI123=0,0,(AK123-AI123)/AI123*100)</f>
        <v>0</v>
      </c>
      <c r="AM123" s="1719"/>
      <c r="AN123" s="1719"/>
      <c r="AO123" s="1719"/>
      <c r="AP123" s="230"/>
      <c r="AQ123" s="230"/>
      <c r="AR123" s="1233" t="s">
        <v>1882</v>
      </c>
      <c r="AS123" s="1271"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M10558::ТЭ.42.28873685.0002::Неопределено::Неопределено::Неопределено::306.0.3.::Неопределено::Неопределено::Неопределено</v>
      </c>
    </row>
    <row s="1632" customFormat="1" customHeight="1" ht="16.5">
      <c r="A124" s="1186"/>
      <c r="B124" s="927"/>
      <c r="C124" s="1301" t="s">
        <v>1800</v>
      </c>
      <c r="D124" s="1260" t="s">
        <v>1801</v>
      </c>
      <c r="E124" s="797">
        <v>17.1</v>
      </c>
      <c r="F124" s="922" cm="1" t="str">
        <f t="array" ref="F124:F124">OFFSET(G124,-1,-1)</f>
        <v>1</v>
      </c>
      <c r="G124" s="230"/>
      <c r="H124" s="230"/>
      <c r="I124" s="230"/>
      <c r="J124" s="230"/>
      <c r="K124" s="230"/>
      <c r="L124" s="1289"/>
      <c r="M124" s="1287" cm="1" t="str">
        <f t="array" ref="M124:M124">OFFSET(L124,-1,1)</f>
        <v>ТЭ.42.28873685.0002</v>
      </c>
      <c r="N124" s="1289" t="s">
        <v>1883</v>
      </c>
      <c r="O124" s="1289"/>
      <c r="P124" s="1289"/>
      <c r="Q124" s="1289"/>
      <c r="R124" s="1289"/>
      <c r="S124" s="1289"/>
      <c r="T124" s="808" cm="1" t="str">
        <f t="array" ref="T124:T124">T123</f>
        <v>true</v>
      </c>
      <c r="U124" s="1582"/>
      <c r="V124" s="1582"/>
      <c r="W124" s="1582"/>
      <c r="X124" s="1582"/>
      <c r="Y124" s="1582"/>
      <c r="Z124" s="1582"/>
      <c r="AA124" s="230"/>
      <c r="AB124" s="558" t="s">
        <v>483</v>
      </c>
      <c r="AC124" s="1005" t="s">
        <v>1369</v>
      </c>
      <c r="AD124" s="574" t="s">
        <v>1023</v>
      </c>
      <c r="AE124" s="1956"/>
      <c r="AF124" s="1956"/>
      <c r="AG124" s="1956"/>
      <c r="AH124" s="310">
        <f>AG124-AF124</f>
        <v>0</v>
      </c>
      <c r="AI124" s="1956"/>
      <c r="AJ124" s="1956"/>
      <c r="AK124" s="1956"/>
      <c r="AL124" s="310">
        <f>IF(AI124=0,0,(AK124-AI124)/AI124*100)</f>
        <v>0</v>
      </c>
      <c r="AM124" s="1719"/>
      <c r="AN124" s="1719"/>
      <c r="AO124" s="1719"/>
      <c r="AP124" s="230"/>
      <c r="AQ124" s="230"/>
      <c r="AR124" s="1233" t="s">
        <v>1884</v>
      </c>
      <c r="AS124" s="1271"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M10558::ТЭ.42.28873685.0002::Неопределено::110.0.37.::Неопределено::Неопределено::Неопределено::Неопределено::Неопределено</v>
      </c>
    </row>
    <row s="1632" customFormat="1" customHeight="1" ht="33.75">
      <c r="A125" s="1186"/>
      <c r="B125" s="927"/>
      <c r="C125" s="1301" t="s">
        <v>1800</v>
      </c>
      <c r="D125" s="1260" t="s">
        <v>1801</v>
      </c>
      <c r="E125" s="797">
        <v>35</v>
      </c>
      <c r="F125" s="922" cm="1" t="str">
        <f t="array" ref="F125:F125">OFFSET(G125,-1,-1)</f>
        <v>1</v>
      </c>
      <c r="G125" s="230"/>
      <c r="H125" s="230"/>
      <c r="I125" s="230"/>
      <c r="J125" s="230"/>
      <c r="K125" s="230"/>
      <c r="L125" s="1289" t="s">
        <v>1885</v>
      </c>
      <c r="M125" s="1287" cm="1" t="str">
        <f t="array" ref="M125:M125">OFFSET(L125,-1,1)</f>
        <v>ТЭ.42.28873685.0002</v>
      </c>
      <c r="N125" s="1289"/>
      <c r="O125" s="1289"/>
      <c r="P125" s="1289"/>
      <c r="Q125" s="1289"/>
      <c r="R125" s="1289"/>
      <c r="S125" s="1289"/>
      <c r="T125" s="808" cm="1" t="str">
        <f t="array" ref="T125:T125">T124</f>
        <v>true</v>
      </c>
      <c r="U125" s="1582"/>
      <c r="V125" s="1582"/>
      <c r="W125" s="1582"/>
      <c r="X125" s="1582"/>
      <c r="Y125" s="1582"/>
      <c r="Z125" s="1582"/>
      <c r="AA125" s="230"/>
      <c r="AB125" s="488" t="s">
        <v>487</v>
      </c>
      <c r="AC125" s="1006" t="s">
        <v>1381</v>
      </c>
      <c r="AD125" s="575" t="s">
        <v>1023</v>
      </c>
      <c r="AE125" s="1956"/>
      <c r="AF125" s="1956"/>
      <c r="AG125" s="1956"/>
      <c r="AH125" s="310">
        <f>AG125-AF125</f>
        <v>0</v>
      </c>
      <c r="AI125" s="1956"/>
      <c r="AJ125" s="1956"/>
      <c r="AK125" s="1956"/>
      <c r="AL125" s="310">
        <f>IF(AI125=0,0,(AK125-AI125)/AI125*100)</f>
        <v>0</v>
      </c>
      <c r="AM125" s="1719"/>
      <c r="AN125" s="1719"/>
      <c r="AO125" s="1719"/>
      <c r="AP125" s="230"/>
      <c r="AQ125" s="230"/>
      <c r="AR125" s="1233" t="s">
        <v>1886</v>
      </c>
      <c r="AS125" s="1271"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M10558::ТЭ.42.28873685.0002::1.0.89.::Неопределено::Неопределено::Неопределено::Неопределено::Неопределено::Неопределено</v>
      </c>
    </row>
    <row s="1632" customFormat="1" customHeight="1" ht="16.5">
      <c r="A126" s="1186"/>
      <c r="B126" s="927"/>
      <c r="C126" s="1301" t="s">
        <v>1800</v>
      </c>
      <c r="D126" s="1260" t="s">
        <v>1801</v>
      </c>
      <c r="E126" s="797">
        <v>17.1</v>
      </c>
      <c r="F126" s="922" cm="1" t="str">
        <f t="array" ref="F126:F126">OFFSET(G126,-1,-1)</f>
        <v>1</v>
      </c>
      <c r="G126" s="230"/>
      <c r="H126" s="230"/>
      <c r="I126" s="230"/>
      <c r="J126" s="230"/>
      <c r="K126" s="230"/>
      <c r="L126" s="1289"/>
      <c r="M126" s="1287" cm="1" t="str">
        <f t="array" ref="M126:M126">OFFSET(L126,-1,1)</f>
        <v>ТЭ.42.28873685.0002</v>
      </c>
      <c r="N126" s="1279" t="s">
        <v>1887</v>
      </c>
      <c r="O126" s="1289"/>
      <c r="P126" s="1289"/>
      <c r="Q126" s="1289"/>
      <c r="R126" s="1289"/>
      <c r="S126" s="1289"/>
      <c r="T126" s="808" cm="1" t="str">
        <f t="array" ref="T126:T126">T125</f>
        <v>true</v>
      </c>
      <c r="U126" s="1582"/>
      <c r="V126" s="1582"/>
      <c r="W126" s="1582"/>
      <c r="X126" s="1582"/>
      <c r="Y126" s="1582"/>
      <c r="Z126" s="1582"/>
      <c r="AA126" s="230"/>
      <c r="AB126" s="488" t="s">
        <v>491</v>
      </c>
      <c r="AC126" s="1006" t="s">
        <v>1888</v>
      </c>
      <c r="AD126" s="575" t="s">
        <v>1023</v>
      </c>
      <c r="AE126" s="615">
        <f>AE127+AE128</f>
        <v>0</v>
      </c>
      <c r="AF126" s="615">
        <f>AF127+AF128</f>
        <v>0</v>
      </c>
      <c r="AG126" s="615">
        <f>AG127+AG128</f>
        <v>0</v>
      </c>
      <c r="AH126" s="310">
        <f>AG126-AF126</f>
        <v>0</v>
      </c>
      <c r="AI126" s="615">
        <f>AI127+AI128</f>
        <v>0</v>
      </c>
      <c r="AJ126" s="615">
        <f>AJ127+AJ128</f>
        <v>0</v>
      </c>
      <c r="AK126" s="615">
        <f>AK127+AK128</f>
        <v>0</v>
      </c>
      <c r="AL126" s="310">
        <f>IF(AI126=0,0,(AK126-AI126)/AI126*100)</f>
        <v>0</v>
      </c>
      <c r="AM126" s="1719"/>
      <c r="AN126" s="1719"/>
      <c r="AO126" s="1719"/>
      <c r="AP126" s="230"/>
      <c r="AQ126" s="230"/>
      <c r="AR126" s="1233" t="s">
        <v>1889</v>
      </c>
      <c r="AS126" s="1271"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M10558::ТЭ.42.28873685.0002::Неопределено::110.0.32.::Неопределено::Неопределено::Неопределено::Неопределено::Неопределено</v>
      </c>
    </row>
    <row s="1632" customFormat="1" customHeight="1" ht="16.5">
      <c r="A127" s="1186"/>
      <c r="B127" s="927"/>
      <c r="C127" s="1301" t="s">
        <v>1800</v>
      </c>
      <c r="D127" s="1260" t="s">
        <v>1801</v>
      </c>
      <c r="E127" s="797">
        <v>17.1</v>
      </c>
      <c r="F127" s="922" cm="1" t="str">
        <f t="array" ref="F127:F127">OFFSET(G127,-1,-1)</f>
        <v>1</v>
      </c>
      <c r="G127" s="230"/>
      <c r="H127" s="230"/>
      <c r="I127" s="230"/>
      <c r="J127" s="230"/>
      <c r="K127" s="230"/>
      <c r="L127" s="1289" t="s">
        <v>1890</v>
      </c>
      <c r="M127" s="1287" cm="1" t="str">
        <f t="array" ref="M127:M127">OFFSET(L127,-1,1)</f>
        <v>ТЭ.42.28873685.0002</v>
      </c>
      <c r="N127" s="1289"/>
      <c r="O127" s="1289"/>
      <c r="P127" s="1289"/>
      <c r="Q127" s="1289"/>
      <c r="R127" s="1289"/>
      <c r="S127" s="1289"/>
      <c r="T127" s="808" cm="1" t="str">
        <f t="array" ref="T127:T127">T126</f>
        <v>true</v>
      </c>
      <c r="U127" s="1582"/>
      <c r="V127" s="1582"/>
      <c r="W127" s="1582"/>
      <c r="X127" s="1582"/>
      <c r="Y127" s="1582"/>
      <c r="Z127" s="1582"/>
      <c r="AA127" s="230"/>
      <c r="AB127" s="499" t="s">
        <v>1891</v>
      </c>
      <c r="AC127" s="1008" t="s">
        <v>1892</v>
      </c>
      <c r="AD127" s="654" t="s">
        <v>1023</v>
      </c>
      <c r="AE127" s="1956"/>
      <c r="AF127" s="1956"/>
      <c r="AG127" s="1956"/>
      <c r="AH127" s="310">
        <f>AG127-AF127</f>
        <v>0</v>
      </c>
      <c r="AI127" s="1956"/>
      <c r="AJ127" s="1956"/>
      <c r="AK127" s="1956"/>
      <c r="AL127" s="310">
        <f>IF(AI127=0,0,(AK127-AI127)/AI127*100)</f>
        <v>0</v>
      </c>
      <c r="AM127" s="1719"/>
      <c r="AN127" s="1719"/>
      <c r="AO127" s="1719"/>
      <c r="AP127" s="230"/>
      <c r="AQ127" s="230"/>
      <c r="AR127" s="1233" t="s">
        <v>1893</v>
      </c>
      <c r="AS127" s="1271"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M10558::ТЭ.42.28873685.0002::1.0.96.::Неопределено::Неопределено::Неопределено::Неопределено::Неопределено::Неопределено</v>
      </c>
    </row>
    <row s="1632" customFormat="1" customHeight="1" ht="16.5">
      <c r="A128" s="1186"/>
      <c r="B128" s="927"/>
      <c r="C128" s="1301" t="s">
        <v>1800</v>
      </c>
      <c r="D128" s="1260" t="s">
        <v>1801</v>
      </c>
      <c r="E128" s="797">
        <v>17.1</v>
      </c>
      <c r="F128" s="922" cm="1" t="str">
        <f t="array" ref="F128:F128">OFFSET(G128,-1,-1)</f>
        <v>1</v>
      </c>
      <c r="G128" s="230"/>
      <c r="H128" s="230"/>
      <c r="I128" s="230"/>
      <c r="J128" s="230"/>
      <c r="K128" s="230"/>
      <c r="L128" s="1289"/>
      <c r="M128" s="1287" cm="1" t="str">
        <f t="array" ref="M128:M128">OFFSET(L128,-1,1)</f>
        <v>ТЭ.42.28873685.0002</v>
      </c>
      <c r="N128" s="1289" t="s">
        <v>1894</v>
      </c>
      <c r="O128" s="1289"/>
      <c r="P128" s="1289"/>
      <c r="Q128" s="1289"/>
      <c r="R128" s="1289"/>
      <c r="S128" s="1289"/>
      <c r="T128" s="808" cm="1" t="str">
        <f t="array" ref="T128:T128">T127</f>
        <v>true</v>
      </c>
      <c r="U128" s="1582"/>
      <c r="V128" s="1582"/>
      <c r="W128" s="1582"/>
      <c r="X128" s="1582"/>
      <c r="Y128" s="1582"/>
      <c r="Z128" s="1582"/>
      <c r="AA128" s="230"/>
      <c r="AB128" s="859" t="s">
        <v>1895</v>
      </c>
      <c r="AC128" s="1004" t="s">
        <v>1896</v>
      </c>
      <c r="AD128" s="859" t="s">
        <v>1023</v>
      </c>
      <c r="AE128" s="1956"/>
      <c r="AF128" s="1956"/>
      <c r="AG128" s="1956"/>
      <c r="AH128" s="310">
        <f>AG128-AF128</f>
        <v>0</v>
      </c>
      <c r="AI128" s="1956"/>
      <c r="AJ128" s="1956"/>
      <c r="AK128" s="1956"/>
      <c r="AL128" s="310">
        <f>IF(AI128=0,0,(AK128-AI128)/AI128*100)</f>
        <v>0</v>
      </c>
      <c r="AM128" s="1719"/>
      <c r="AN128" s="1719"/>
      <c r="AO128" s="1719"/>
      <c r="AP128" s="230"/>
      <c r="AQ128" s="230"/>
      <c r="AR128" s="1233" t="s">
        <v>1897</v>
      </c>
      <c r="AS128" s="1271"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M10558::ТЭ.42.28873685.0002::Неопределено::110.0.39.::Неопределено::Неопределено::Неопределено::Неопределено::Неопределено</v>
      </c>
    </row>
    <row s="1632" customFormat="1" customHeight="1" ht="33.75">
      <c r="A129" s="1186"/>
      <c r="B129" s="927"/>
      <c r="C129" s="1301" t="s">
        <v>1800</v>
      </c>
      <c r="D129" s="1260" t="s">
        <v>1801</v>
      </c>
      <c r="E129" s="797">
        <v>35</v>
      </c>
      <c r="F129" s="922" cm="1" t="str">
        <f t="array" ref="F129:F129">OFFSET(G129,-1,-1)</f>
        <v>1</v>
      </c>
      <c r="G129" s="230"/>
      <c r="H129" s="230"/>
      <c r="I129" s="230"/>
      <c r="J129" s="230"/>
      <c r="K129" s="230"/>
      <c r="L129" s="1289"/>
      <c r="M129" s="1287" cm="1" t="str">
        <f t="array" ref="M129:M129">OFFSET(L129,-1,1)</f>
        <v>ТЭ.42.28873685.0002</v>
      </c>
      <c r="N129" s="1289" t="s">
        <v>1898</v>
      </c>
      <c r="O129" s="1289"/>
      <c r="P129" s="1289"/>
      <c r="Q129" s="1289"/>
      <c r="R129" s="1289"/>
      <c r="S129" s="1289"/>
      <c r="T129" s="808" cm="1" t="str">
        <f t="array" ref="T129:T129">T128</f>
        <v>true</v>
      </c>
      <c r="U129" s="1582"/>
      <c r="V129" s="1582"/>
      <c r="W129" s="1582"/>
      <c r="X129" s="1582"/>
      <c r="Y129" s="1582"/>
      <c r="Z129" s="1582"/>
      <c r="AA129" s="230"/>
      <c r="AB129" s="886">
        <v>3</v>
      </c>
      <c r="AC129" s="1010" t="s">
        <v>1899</v>
      </c>
      <c r="AD129" s="886" t="s">
        <v>1023</v>
      </c>
      <c r="AE129" s="615">
        <f>AE130+AE131+AE132+AE133</f>
        <v>0</v>
      </c>
      <c r="AF129" s="615">
        <f>AF130+AF131+AF132+AF133</f>
        <v>0</v>
      </c>
      <c r="AG129" s="615">
        <f>AG130+AG131+AG132+AG133</f>
        <v>0</v>
      </c>
      <c r="AH129" s="310">
        <f>AG129-AF129</f>
        <v>0</v>
      </c>
      <c r="AI129" s="615">
        <f>AI130+AI131+AI132+AI133</f>
        <v>0</v>
      </c>
      <c r="AJ129" s="615">
        <f>AJ130+AJ131+AJ132+AJ133</f>
        <v>0</v>
      </c>
      <c r="AK129" s="615">
        <f>AK130+AK131+AK132+AK133</f>
        <v>0</v>
      </c>
      <c r="AL129" s="310">
        <f>IF(AI129=0,0,(AK129-AI129)/AI129*100)</f>
        <v>0</v>
      </c>
      <c r="AM129" s="1719"/>
      <c r="AN129" s="1719"/>
      <c r="AO129" s="1719"/>
      <c r="AP129" s="230"/>
      <c r="AQ129" s="230"/>
      <c r="AR129" s="1233" t="s">
        <v>1900</v>
      </c>
      <c r="AS129" s="1271"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M10558::ТЭ.42.28873685.0002::Неопределено::110.0.46.::Неопределено::Неопределено::Неопределено::Неопределено::Неопределено</v>
      </c>
    </row>
    <row s="1632" customFormat="1" customHeight="1" ht="16.5">
      <c r="A130" s="1186"/>
      <c r="B130" s="927"/>
      <c r="C130" s="1301" t="s">
        <v>1800</v>
      </c>
      <c r="D130" s="1260" t="s">
        <v>1801</v>
      </c>
      <c r="E130" s="797">
        <v>17.1</v>
      </c>
      <c r="F130" s="922" cm="1" t="str">
        <f t="array" ref="F130:F130">OFFSET(G130,-1,-1)</f>
        <v>1</v>
      </c>
      <c r="G130" s="230"/>
      <c r="H130" s="230"/>
      <c r="I130" s="230"/>
      <c r="J130" s="230"/>
      <c r="K130" s="230"/>
      <c r="L130" s="1289"/>
      <c r="M130" s="1287" cm="1" t="str">
        <f t="array" ref="M130:M130">OFFSET(L130,-1,1)</f>
        <v>ТЭ.42.28873685.0002</v>
      </c>
      <c r="N130" s="1289" t="s">
        <v>1901</v>
      </c>
      <c r="O130" s="1289"/>
      <c r="P130" s="1289"/>
      <c r="Q130" s="1289"/>
      <c r="R130" s="1289"/>
      <c r="S130" s="1289"/>
      <c r="T130" s="808" cm="1" t="str">
        <f t="array" ref="T130:T130">T129</f>
        <v>true</v>
      </c>
      <c r="U130" s="1582"/>
      <c r="V130" s="1582"/>
      <c r="W130" s="1582"/>
      <c r="X130" s="1582"/>
      <c r="Y130" s="1582"/>
      <c r="Z130" s="1582"/>
      <c r="AA130" s="230"/>
      <c r="AB130" s="859" t="s">
        <v>715</v>
      </c>
      <c r="AC130" s="1001" t="s">
        <v>1902</v>
      </c>
      <c r="AD130" s="859" t="s">
        <v>1023</v>
      </c>
      <c r="AE130" s="1956"/>
      <c r="AF130" s="1956"/>
      <c r="AG130" s="1956"/>
      <c r="AH130" s="310">
        <f>AG130-AF130</f>
        <v>0</v>
      </c>
      <c r="AI130" s="1956"/>
      <c r="AJ130" s="1956"/>
      <c r="AK130" s="1956"/>
      <c r="AL130" s="310">
        <f>IF(AI130=0,0,(AK130-AI130)/AI130*100)</f>
        <v>0</v>
      </c>
      <c r="AM130" s="1719"/>
      <c r="AN130" s="1719"/>
      <c r="AO130" s="1719"/>
      <c r="AP130" s="230"/>
      <c r="AQ130" s="230"/>
      <c r="AR130" s="1233" t="s">
        <v>1903</v>
      </c>
      <c r="AS130" s="1271"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M10558::ТЭ.42.28873685.0002::Неопределено::110.0.21.::Неопределено::Неопределено::Неопределено::Неопределено::Неопределено</v>
      </c>
    </row>
    <row s="1632" customFormat="1" customHeight="1" ht="16.5">
      <c r="A131" s="1186"/>
      <c r="B131" s="927"/>
      <c r="C131" s="1301" t="s">
        <v>1800</v>
      </c>
      <c r="D131" s="1260" t="s">
        <v>1801</v>
      </c>
      <c r="E131" s="797">
        <v>17.1</v>
      </c>
      <c r="F131" s="922" cm="1" t="str">
        <f t="array" ref="F131:F131">OFFSET(G131,-1,-1)</f>
        <v>1</v>
      </c>
      <c r="G131" s="230"/>
      <c r="H131" s="230"/>
      <c r="I131" s="230"/>
      <c r="J131" s="230"/>
      <c r="K131" s="230"/>
      <c r="L131" s="1289"/>
      <c r="M131" s="1287" cm="1" t="str">
        <f t="array" ref="M131:M131">OFFSET(L131,-1,1)</f>
        <v>ТЭ.42.28873685.0002</v>
      </c>
      <c r="N131" s="1289" t="s">
        <v>1904</v>
      </c>
      <c r="O131" s="1289"/>
      <c r="P131" s="1289"/>
      <c r="Q131" s="1289"/>
      <c r="R131" s="1289"/>
      <c r="S131" s="1289"/>
      <c r="T131" s="808" cm="1" t="str">
        <f t="array" ref="T131:T131">T130</f>
        <v>true</v>
      </c>
      <c r="U131" s="1582"/>
      <c r="V131" s="1582"/>
      <c r="W131" s="1582"/>
      <c r="X131" s="1582"/>
      <c r="Y131" s="1582"/>
      <c r="Z131" s="1582"/>
      <c r="AA131" s="230"/>
      <c r="AB131" s="859" t="s">
        <v>718</v>
      </c>
      <c r="AC131" s="1001" t="s">
        <v>1905</v>
      </c>
      <c r="AD131" s="859" t="s">
        <v>1023</v>
      </c>
      <c r="AE131" s="1956"/>
      <c r="AF131" s="1956"/>
      <c r="AG131" s="1956"/>
      <c r="AH131" s="310">
        <f>AG131-AF131</f>
        <v>0</v>
      </c>
      <c r="AI131" s="1956"/>
      <c r="AJ131" s="1956"/>
      <c r="AK131" s="1956"/>
      <c r="AL131" s="310">
        <f>IF(AI131=0,0,(AK131-AI131)/AI131*100)</f>
        <v>0</v>
      </c>
      <c r="AM131" s="1719"/>
      <c r="AN131" s="1719"/>
      <c r="AO131" s="1719"/>
      <c r="AP131" s="230"/>
      <c r="AQ131" s="230"/>
      <c r="AR131" s="1233" t="s">
        <v>1906</v>
      </c>
      <c r="AS131" s="1271"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M10558::ТЭ.42.28873685.0002::Неопределено::110.0.42.::Неопределено::Неопределено::Неопределено::Неопределено::Неопределено</v>
      </c>
    </row>
    <row s="1632" customFormat="1" customHeight="1" ht="16.5">
      <c r="A132" s="1186"/>
      <c r="B132" s="927"/>
      <c r="C132" s="1301" t="s">
        <v>1800</v>
      </c>
      <c r="D132" s="1260" t="s">
        <v>1801</v>
      </c>
      <c r="E132" s="797">
        <v>17.1</v>
      </c>
      <c r="F132" s="922" cm="1" t="str">
        <f t="array" ref="F132:F132">OFFSET(G132,-1,-1)</f>
        <v>1</v>
      </c>
      <c r="G132" s="230"/>
      <c r="H132" s="230"/>
      <c r="I132" s="230"/>
      <c r="J132" s="230"/>
      <c r="K132" s="230"/>
      <c r="L132" s="1289"/>
      <c r="M132" s="1287" cm="1" t="str">
        <f t="array" ref="M132:M132">OFFSET(L132,-1,1)</f>
        <v>ТЭ.42.28873685.0002</v>
      </c>
      <c r="N132" s="1289"/>
      <c r="O132" s="1289"/>
      <c r="P132" s="1289"/>
      <c r="Q132" s="1289" t="s">
        <v>1907</v>
      </c>
      <c r="R132" s="1289"/>
      <c r="S132" s="1289"/>
      <c r="T132" s="808" cm="1" t="str">
        <f t="array" ref="T132:T132">T131</f>
        <v>true</v>
      </c>
      <c r="U132" s="1582"/>
      <c r="V132" s="1582"/>
      <c r="W132" s="1582"/>
      <c r="X132" s="1582"/>
      <c r="Y132" s="1582"/>
      <c r="Z132" s="1582"/>
      <c r="AA132" s="230"/>
      <c r="AB132" s="859" t="s">
        <v>1908</v>
      </c>
      <c r="AC132" s="1001" t="s">
        <v>1909</v>
      </c>
      <c r="AD132" s="859" t="s">
        <v>1023</v>
      </c>
      <c r="AE132" s="1956"/>
      <c r="AF132" s="1956"/>
      <c r="AG132" s="1956"/>
      <c r="AH132" s="310">
        <f>AG132-AF132</f>
        <v>0</v>
      </c>
      <c r="AI132" s="1956"/>
      <c r="AJ132" s="1956"/>
      <c r="AK132" s="1956"/>
      <c r="AL132" s="310">
        <f>IF(AI132=0,0,(AK132-AI132)/AI132*100)</f>
        <v>0</v>
      </c>
      <c r="AM132" s="1719"/>
      <c r="AN132" s="1719"/>
      <c r="AO132" s="1719"/>
      <c r="AP132" s="230"/>
      <c r="AQ132" s="230"/>
      <c r="AR132" s="1233" t="s">
        <v>1910</v>
      </c>
      <c r="AS132" s="1271"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M10558::ТЭ.42.28873685.0002::Неопределено::Неопределено::Неопределено::Неопределено::2.0.48.::Неопределено::Неопределено</v>
      </c>
    </row>
    <row s="1632" customFormat="1" customHeight="1" ht="16.5">
      <c r="A133" s="1186"/>
      <c r="B133" s="927"/>
      <c r="C133" s="1301" t="s">
        <v>1800</v>
      </c>
      <c r="D133" s="1260" t="s">
        <v>1801</v>
      </c>
      <c r="E133" s="797">
        <v>17.1</v>
      </c>
      <c r="F133" s="922" cm="1" t="str">
        <f t="array" ref="F133:F133">OFFSET(G133,-1,-1)</f>
        <v>1</v>
      </c>
      <c r="G133" s="230"/>
      <c r="H133" s="230"/>
      <c r="I133" s="230"/>
      <c r="J133" s="230"/>
      <c r="K133" s="230"/>
      <c r="L133" s="1289" t="s">
        <v>1860</v>
      </c>
      <c r="M133" s="1287" cm="1" t="str">
        <f t="array" ref="M133:M133">OFFSET(L133,-1,1)</f>
        <v>ТЭ.42.28873685.0002</v>
      </c>
      <c r="N133" s="1289" t="s">
        <v>1887</v>
      </c>
      <c r="O133" s="1289"/>
      <c r="P133" s="1289"/>
      <c r="Q133" s="1289"/>
      <c r="R133" s="1289"/>
      <c r="S133" s="1289"/>
      <c r="T133" s="808" cm="1" t="str">
        <f t="array" ref="T133:T133">T132</f>
        <v>true</v>
      </c>
      <c r="U133" s="1582"/>
      <c r="V133" s="1582"/>
      <c r="W133" s="1582"/>
      <c r="X133" s="1582"/>
      <c r="Y133" s="1582"/>
      <c r="Z133" s="1582"/>
      <c r="AA133" s="230"/>
      <c r="AB133" s="859" t="s">
        <v>1911</v>
      </c>
      <c r="AC133" s="1001" t="s">
        <v>1269</v>
      </c>
      <c r="AD133" s="859" t="s">
        <v>1023</v>
      </c>
      <c r="AE133" s="1956"/>
      <c r="AF133" s="1956"/>
      <c r="AG133" s="1956"/>
      <c r="AH133" s="310">
        <f>AG133-AF133</f>
        <v>0</v>
      </c>
      <c r="AI133" s="1956"/>
      <c r="AJ133" s="1956"/>
      <c r="AK133" s="1956"/>
      <c r="AL133" s="310">
        <f>IF(AI133=0,0,(AK133-AI133)/AI133*100)</f>
        <v>0</v>
      </c>
      <c r="AM133" s="1719"/>
      <c r="AN133" s="1719"/>
      <c r="AO133" s="1719"/>
      <c r="AP133" s="230"/>
      <c r="AQ133" s="230"/>
      <c r="AR133" s="1233" t="s">
        <v>1912</v>
      </c>
      <c r="AS133" s="1271"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M10558::ТЭ.42.28873685.0002::1.0.49.::110.0.32.::Неопределено::Неопределено::Неопределено::Неопределено::Неопределено</v>
      </c>
    </row>
    <row s="1632" customFormat="1" customHeight="1" ht="16.5">
      <c r="A134" s="1186"/>
      <c r="B134" s="927"/>
      <c r="C134" s="1301" t="s">
        <v>1800</v>
      </c>
      <c r="D134" s="1260" t="s">
        <v>1801</v>
      </c>
      <c r="E134" s="797">
        <v>17.1</v>
      </c>
      <c r="F134" s="922" cm="1" t="str">
        <f t="array" ref="F134:F134">OFFSET(G134,-1,-1)</f>
        <v>1</v>
      </c>
      <c r="G134" s="739" t="s">
        <v>1263</v>
      </c>
      <c r="H134" s="230"/>
      <c r="I134" s="230"/>
      <c r="J134" s="230"/>
      <c r="K134" s="230"/>
      <c r="L134" s="1289" t="s">
        <v>1913</v>
      </c>
      <c r="M134" s="1287" cm="1" t="str">
        <f t="array" ref="M134:M134">OFFSET(L134,-1,1)</f>
        <v>ТЭ.42.28873685.0002</v>
      </c>
      <c r="N134" s="1289"/>
      <c r="O134" s="1289"/>
      <c r="P134" s="1289"/>
      <c r="Q134" s="1289"/>
      <c r="R134" s="1289"/>
      <c r="S134" s="1289"/>
      <c r="T134" s="808" cm="1" t="str">
        <f t="array" ref="T134:T134">T133</f>
        <v>true</v>
      </c>
      <c r="U134" s="1582"/>
      <c r="V134" s="1582"/>
      <c r="W134" s="1582"/>
      <c r="X134" s="1582"/>
      <c r="Y134" s="1582"/>
      <c r="Z134" s="1582"/>
      <c r="AA134" s="230"/>
      <c r="AB134" s="886">
        <v>4</v>
      </c>
      <c r="AC134" s="1010" t="s">
        <v>1378</v>
      </c>
      <c r="AD134" s="886" t="s">
        <v>1023</v>
      </c>
      <c r="AE134" s="615">
        <f>_xlfn.SUMIFS(Налоги!AE$26:AE$55,Налоги!$F$26:$F$55,$F134,Налоги!$G$26:$G$55,$G134)</f>
        <v>0</v>
      </c>
      <c r="AF134" s="615">
        <f>_xlfn.SUMIFS(Налоги!AF$26:AF$55,Налоги!$F$26:$F$55,$F134,Налоги!$G$26:$G$55,$G134)</f>
        <v>0</v>
      </c>
      <c r="AG134" s="615">
        <f>_xlfn.SUMIFS(Налоги!AG$26:AG$55,Налоги!$F$26:$F$55,$F134,Налоги!$G$26:$G$55,$G134)</f>
        <v>0</v>
      </c>
      <c r="AH134" s="310">
        <f>AG134-AF134</f>
        <v>0</v>
      </c>
      <c r="AI134" s="615">
        <f>_xlfn.SUMIFS(Налоги!AH$26:AH$55,Налоги!$F$26:$F$55,$F134,Налоги!$G$26:$G$55,$G134)</f>
        <v>0</v>
      </c>
      <c r="AJ134" s="615">
        <f>_xlfn.SUMIFS(Налоги!AI$26:AI$55,Налоги!$F$26:$F$55,$F134,Налоги!$G$26:$G$55,$G134)</f>
        <v>0</v>
      </c>
      <c r="AK134" s="615">
        <f>_xlfn.SUMIFS(Налоги!AS$26:AS$55,Налоги!$F$26:$F$55,$F134,Налоги!$G$26:$G$55,$G134)</f>
        <v>0</v>
      </c>
      <c r="AL134" s="310">
        <f>IF(AI134=0,0,(AK134-AI134)/AI134*100)</f>
        <v>0</v>
      </c>
      <c r="AM134" s="1719"/>
      <c r="AN134" s="1719"/>
      <c r="AO134" s="1719"/>
      <c r="AP134" s="230"/>
      <c r="AQ134" s="230"/>
      <c r="AR134" s="1233" t="s">
        <v>579</v>
      </c>
      <c r="AS134" s="1271"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M10558::ТЭ.42.28873685.0002::1.0.91.::Неопределено::Неопределено::Неопределено::Неопределено::Неопределено::Неопределено</v>
      </c>
    </row>
    <row s="1632" customFormat="1" customHeight="1" ht="33.75">
      <c r="A135" s="1186"/>
      <c r="B135" s="927"/>
      <c r="C135" s="1301" t="s">
        <v>1667</v>
      </c>
      <c r="D135" s="1260" t="s">
        <v>1668</v>
      </c>
      <c r="E135" s="797">
        <v>35</v>
      </c>
      <c r="F135" s="922" cm="1" t="str">
        <f t="array" ref="F135:F135">OFFSET(G135,-1,-1)</f>
        <v>1</v>
      </c>
      <c r="G135" s="230"/>
      <c r="H135" s="230"/>
      <c r="I135" s="230"/>
      <c r="J135" s="230"/>
      <c r="K135" s="230"/>
      <c r="L135" s="1289"/>
      <c r="M135" s="1287" cm="1" t="str">
        <f t="array" ref="M135:M135">OFFSET(L135,-1,1)</f>
        <v>ТЭ.42.28873685.0002</v>
      </c>
      <c r="N135" s="1289" t="s">
        <v>1914</v>
      </c>
      <c r="O135" s="1289"/>
      <c r="P135" s="1289"/>
      <c r="Q135" s="1289"/>
      <c r="R135" s="1289"/>
      <c r="S135" s="1289"/>
      <c r="T135" s="808" cm="1" t="str">
        <f t="array" ref="T135:T135">T134</f>
        <v>true</v>
      </c>
      <c r="U135" s="1582"/>
      <c r="V135" s="1582"/>
      <c r="W135" s="1582"/>
      <c r="X135" s="1582"/>
      <c r="Y135" s="1582"/>
      <c r="Z135" s="1582"/>
      <c r="AA135" s="230"/>
      <c r="AB135" s="886">
        <v>5</v>
      </c>
      <c r="AC135" s="1010" t="s">
        <v>1915</v>
      </c>
      <c r="AD135" s="886" t="s">
        <v>1023</v>
      </c>
      <c r="AE135" s="1956"/>
      <c r="AF135" s="1956"/>
      <c r="AG135" s="1956"/>
      <c r="AH135" s="310">
        <f>AG135-AF135</f>
        <v>0</v>
      </c>
      <c r="AI135" s="1956"/>
      <c r="AJ135" s="1956"/>
      <c r="AK135" s="1956"/>
      <c r="AL135" s="310">
        <f>IF(AI135=0,0,(AK135-AI135)/AI135*100)</f>
        <v>0</v>
      </c>
      <c r="AM135" s="1719"/>
      <c r="AN135" s="1719"/>
      <c r="AO135" s="1719"/>
      <c r="AP135" s="230"/>
      <c r="AQ135" s="230"/>
      <c r="AR135" s="1233" t="s">
        <v>1509</v>
      </c>
      <c r="AS135" s="1271"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M11281::ТЭ.42.28873685.0002::Неопределено::110.0.5.::Неопределено::Неопределено::Неопределено::Неопределено::Неопределено</v>
      </c>
    </row>
    <row s="1632" customFormat="1" customHeight="1" ht="16.5">
      <c r="A136" s="1186"/>
      <c r="B136" s="927"/>
      <c r="C136" s="1301" t="s">
        <v>1800</v>
      </c>
      <c r="D136" s="1260" t="s">
        <v>1801</v>
      </c>
      <c r="E136" s="797">
        <v>17.1</v>
      </c>
      <c r="F136" s="922" cm="1" t="str">
        <f t="array" ref="F136:F136">OFFSET(G136,-1,-1)</f>
        <v>1</v>
      </c>
      <c r="G136" s="230"/>
      <c r="H136" s="230"/>
      <c r="I136" s="230"/>
      <c r="J136" s="230"/>
      <c r="K136" s="230"/>
      <c r="L136" s="1289"/>
      <c r="M136" s="1287" cm="1" t="str">
        <f t="array" ref="M136:M136">OFFSET(L136,-1,1)</f>
        <v>ТЭ.42.28873685.0002</v>
      </c>
      <c r="N136" s="1289" t="s">
        <v>1916</v>
      </c>
      <c r="O136" s="1289"/>
      <c r="P136" s="1289"/>
      <c r="Q136" s="1289"/>
      <c r="R136" s="1289"/>
      <c r="S136" s="1289"/>
      <c r="T136" s="808" cm="1" t="str">
        <f t="array" ref="T136:T136">T135</f>
        <v>true</v>
      </c>
      <c r="U136" s="1582"/>
      <c r="V136" s="1582"/>
      <c r="W136" s="1582"/>
      <c r="X136" s="1582"/>
      <c r="Y136" s="1582"/>
      <c r="Z136" s="1582"/>
      <c r="AA136" s="230"/>
      <c r="AB136" s="886">
        <v>6</v>
      </c>
      <c r="AC136" s="1010" t="s">
        <v>1917</v>
      </c>
      <c r="AD136" s="886" t="s">
        <v>1023</v>
      </c>
      <c r="AE136" s="1956"/>
      <c r="AF136" s="1956"/>
      <c r="AG136" s="1956"/>
      <c r="AH136" s="310">
        <f>AG136-AF136</f>
        <v>0</v>
      </c>
      <c r="AI136" s="1956"/>
      <c r="AJ136" s="1956"/>
      <c r="AK136" s="1956"/>
      <c r="AL136" s="310">
        <f>IF(AI136=0,0,(AK136-AI136)/AI136*100)</f>
        <v>0</v>
      </c>
      <c r="AM136" s="1719"/>
      <c r="AN136" s="1719"/>
      <c r="AO136" s="1719"/>
      <c r="AP136" s="230"/>
      <c r="AQ136" s="230"/>
      <c r="AR136" s="1233" t="s">
        <v>1380</v>
      </c>
      <c r="AS136" s="1271"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M10558::ТЭ.42.28873685.0002::Неопределено::110.0.22.::Неопределено::Неопределено::Неопределено::Неопределено::Неопределено</v>
      </c>
    </row>
    <row s="1632" customFormat="1" customHeight="1" ht="16.5">
      <c r="A137" s="1186"/>
      <c r="B137" s="927"/>
      <c r="C137" s="1301" t="s">
        <v>1695</v>
      </c>
      <c r="D137" s="1260" t="s">
        <v>1696</v>
      </c>
      <c r="E137" s="797">
        <v>17.1</v>
      </c>
      <c r="F137" s="922" cm="1" t="str">
        <f t="array" ref="F137:F137">OFFSET(G137,-1,-1)</f>
        <v>1</v>
      </c>
      <c r="G137" s="230"/>
      <c r="H137" s="230"/>
      <c r="I137" s="230"/>
      <c r="J137" s="230"/>
      <c r="K137" s="230"/>
      <c r="L137" s="1289"/>
      <c r="M137" s="1287" cm="1" t="str">
        <f t="array" ref="M137:M137">OFFSET(L137,-1,1)</f>
        <v>ТЭ.42.28873685.0002</v>
      </c>
      <c r="N137" s="1289"/>
      <c r="O137" s="1289"/>
      <c r="P137" s="1289"/>
      <c r="Q137" s="1289"/>
      <c r="R137" s="1289"/>
      <c r="S137" s="1289"/>
      <c r="T137" s="808" cm="1" t="str">
        <f t="array" ref="T137:T137">T136</f>
        <v>true</v>
      </c>
      <c r="U137" s="1582"/>
      <c r="V137" s="1582"/>
      <c r="W137" s="1582"/>
      <c r="X137" s="1582"/>
      <c r="Y137" s="1582"/>
      <c r="Z137" s="1582"/>
      <c r="AA137" s="230"/>
      <c r="AB137" s="1011" t="s">
        <v>656</v>
      </c>
      <c r="AC137" s="1012" t="s">
        <v>1698</v>
      </c>
      <c r="AD137" s="1013" t="s">
        <v>1023</v>
      </c>
      <c r="AE137" s="615">
        <f>AE95+AE122+AE129+AE134+AE135+AE136</f>
        <v>20255.73235</v>
      </c>
      <c r="AF137" s="615">
        <f>AF95+AF122+AF129+AF134+AF135+AF136</f>
        <v>22530.51</v>
      </c>
      <c r="AG137" s="615">
        <f>AG95+AG122+AG129+AG134+AG135+AG136</f>
        <v>22084.3457142857</v>
      </c>
      <c r="AH137" s="310">
        <f>AG137-AF137</f>
        <v>-446.164285714298</v>
      </c>
      <c r="AI137" s="615">
        <f>AI95+AI122+AI129+AI134+AI135+AI136</f>
        <v>20152.4797414</v>
      </c>
      <c r="AJ137" s="615">
        <f>AJ95+AJ122+AJ129+AJ134+AJ135+AJ136</f>
        <v>26087.251925</v>
      </c>
      <c r="AK137" s="615">
        <f>AK95+AK122+AK129+AK134+AK135+AK136</f>
        <v>21085.8565493362</v>
      </c>
      <c r="AL137" s="310">
        <f>IF(AI137=0,0,(AK137-AI137)/AI137*100)</f>
        <v>4.63157298711349</v>
      </c>
      <c r="AM137" s="1719"/>
      <c r="AN137" s="1719"/>
      <c r="AO137" s="1719"/>
      <c r="AP137" s="230"/>
      <c r="AQ137" s="230"/>
      <c r="AR137" s="1233" t="s">
        <v>1918</v>
      </c>
      <c r="AS137" s="1271"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M10655::ТЭ.42.28873685.0002::Неопределено::Неопределено::Неопределено::Неопределено::Неопределено::Неопределено::Неопределено</v>
      </c>
    </row>
    <row s="1632" customFormat="1" customHeight="1" ht="48.75">
      <c r="A138" s="1186"/>
      <c r="B138" s="927"/>
      <c r="C138" s="1301" t="s">
        <v>1700</v>
      </c>
      <c r="D138" s="1260" t="s">
        <v>1701</v>
      </c>
      <c r="E138" s="797">
        <v>50</v>
      </c>
      <c r="F138" s="922" cm="1" t="str">
        <f t="array" ref="F138:F138">OFFSET(G138,-1,-1)</f>
        <v>1</v>
      </c>
      <c r="G138" s="230"/>
      <c r="H138" s="230"/>
      <c r="I138" s="230"/>
      <c r="J138" s="230"/>
      <c r="K138" s="230"/>
      <c r="L138" s="1289"/>
      <c r="M138" s="1287" cm="1" t="str">
        <f t="array" ref="M138:M138">OFFSET(L138,-1,1)</f>
        <v>ТЭ.42.28873685.0002</v>
      </c>
      <c r="N138" s="1289"/>
      <c r="O138" s="1289"/>
      <c r="P138" s="1289"/>
      <c r="Q138" s="1289"/>
      <c r="R138" s="1289"/>
      <c r="S138" s="1289"/>
      <c r="T138" s="808" cm="1" t="str">
        <f t="array" ref="T138:T138">T137</f>
        <v>true</v>
      </c>
      <c r="U138" s="1582"/>
      <c r="V138" s="1582"/>
      <c r="W138" s="1582"/>
      <c r="X138" s="1582"/>
      <c r="Y138" s="1582"/>
      <c r="Z138" s="1582"/>
      <c r="AA138" s="230"/>
      <c r="AB138" s="1014" t="s">
        <v>661</v>
      </c>
      <c r="AC138" s="1086" t="s">
        <v>1700</v>
      </c>
      <c r="AD138" s="859" t="s">
        <v>1023</v>
      </c>
      <c r="AE138" s="1956"/>
      <c r="AF138" s="1956"/>
      <c r="AG138" s="1956"/>
      <c r="AH138" s="310">
        <f>AG138-AF138</f>
        <v>0</v>
      </c>
      <c r="AI138" s="1956"/>
      <c r="AJ138" s="1956"/>
      <c r="AK138" s="1956"/>
      <c r="AL138" s="310">
        <f>IF(AI138=0,0,(AK138-AI138)/AI138*100)</f>
        <v>0</v>
      </c>
      <c r="AM138" s="1719"/>
      <c r="AN138" s="1719"/>
      <c r="AO138" s="1719"/>
      <c r="AP138" s="230"/>
      <c r="AQ138" s="230"/>
      <c r="AR138" s="1233" t="s">
        <v>1919</v>
      </c>
      <c r="AS138" s="1271"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M11579::ТЭ.42.28873685.0002::Неопределено::Неопределено::Неопределено::Неопределено::Неопределено::Неопределено::Неопределено</v>
      </c>
    </row>
    <row s="1632" customFormat="1" customHeight="1" ht="16.5">
      <c r="A139" s="1186"/>
      <c r="B139" s="927"/>
      <c r="C139" s="1301" t="s">
        <v>1704</v>
      </c>
      <c r="D139" s="1260" t="s">
        <v>1705</v>
      </c>
      <c r="E139" s="797">
        <v>17.1</v>
      </c>
      <c r="F139" s="922" cm="1" t="str">
        <f t="array" ref="F139:F139">OFFSET(G139,-1,-1)</f>
        <v>1</v>
      </c>
      <c r="G139" s="230"/>
      <c r="H139" s="230"/>
      <c r="I139" s="230"/>
      <c r="J139" s="230"/>
      <c r="K139" s="230"/>
      <c r="L139" s="1289"/>
      <c r="M139" s="1287" cm="1" t="str">
        <f t="array" ref="M139:M139">OFFSET(L139,-1,1)</f>
        <v>ТЭ.42.28873685.0002</v>
      </c>
      <c r="N139" s="1289"/>
      <c r="O139" s="1289"/>
      <c r="P139" s="1289"/>
      <c r="Q139" s="1289"/>
      <c r="R139" s="1289"/>
      <c r="S139" s="1289"/>
      <c r="T139" s="808" cm="1" t="str">
        <f t="array" ref="T139:T139">T138</f>
        <v>true</v>
      </c>
      <c r="U139" s="1582"/>
      <c r="V139" s="1582"/>
      <c r="W139" s="1582"/>
      <c r="X139" s="1582"/>
      <c r="Y139" s="1582"/>
      <c r="Z139" s="1582"/>
      <c r="AA139" s="230"/>
      <c r="AB139" s="649" t="s">
        <v>669</v>
      </c>
      <c r="AC139" s="1073" t="s">
        <v>1708</v>
      </c>
      <c r="AD139" s="1015" t="s">
        <v>1023</v>
      </c>
      <c r="AE139" s="615">
        <f>AE137+AE138</f>
        <v>20255.73235</v>
      </c>
      <c r="AF139" s="615">
        <f>AF137+AF138</f>
        <v>22530.51</v>
      </c>
      <c r="AG139" s="615">
        <f>AG137+AG138</f>
        <v>22084.3457142857</v>
      </c>
      <c r="AH139" s="310">
        <f>AG139-AF139</f>
        <v>-446.164285714298</v>
      </c>
      <c r="AI139" s="615">
        <f>AI137+AI138</f>
        <v>20152.4797414</v>
      </c>
      <c r="AJ139" s="615">
        <f>AJ137+AJ138</f>
        <v>26087.251925</v>
      </c>
      <c r="AK139" s="615">
        <f>AK137+AK138</f>
        <v>21085.8565493362</v>
      </c>
      <c r="AL139" s="310">
        <f>IF(AI139=0,0,(AK139-AI139)/AI139*100)</f>
        <v>4.63157298711349</v>
      </c>
      <c r="AM139" s="1719"/>
      <c r="AN139" s="1719"/>
      <c r="AO139" s="1719"/>
      <c r="AP139" s="230"/>
      <c r="AQ139" s="230"/>
      <c r="AR139" s="1233" t="s">
        <v>1920</v>
      </c>
      <c r="AS139" s="1271"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M11580::ТЭ.42.28873685.0002::Неопределено::Неопределено::Неопределено::Неопределено::Неопределено::Неопределено::Неопределено</v>
      </c>
    </row>
    <row s="1632" customFormat="1" customHeight="1" ht="16.5" hidden="1">
      <c r="A140" s="1186"/>
      <c r="B140" s="927"/>
      <c r="C140" s="1301" t="s">
        <v>1710</v>
      </c>
      <c r="D140" s="1260" t="s">
        <v>1711</v>
      </c>
      <c r="E140" s="797">
        <v>17.1</v>
      </c>
      <c r="F140" s="922" cm="1" t="str">
        <f t="array" ref="F140:F140">OFFSET(G140,-1,-1)</f>
        <v>1</v>
      </c>
      <c r="G140" s="230"/>
      <c r="H140" s="193" cm="1" t="str">
        <f t="array" ref="H140:H140">G94</f>
        <v>одноставочный</v>
      </c>
      <c r="I140" s="230"/>
      <c r="J140" s="230"/>
      <c r="K140" s="230"/>
      <c r="L140" s="1289"/>
      <c r="M140" s="1287" cm="1" t="str">
        <f t="array" ref="M140:M140">OFFSET(L140,-1,1)</f>
        <v>ТЭ.42.28873685.0002</v>
      </c>
      <c r="N140" s="1289"/>
      <c r="O140" s="1289"/>
      <c r="P140" s="1289"/>
      <c r="Q140" s="1289"/>
      <c r="R140" s="1289"/>
      <c r="S140" s="1289"/>
      <c r="T140" s="808">
        <f>AND(F140&gt;0,H140="двухставочный")</f>
        <v>0</v>
      </c>
      <c r="U140" s="1582"/>
      <c r="V140" s="1582"/>
      <c r="W140" s="1582"/>
      <c r="X140" s="1582"/>
      <c r="Y140" s="1582"/>
      <c r="Z140" s="1582"/>
      <c r="AA140" s="230"/>
      <c r="AB140" s="663" t="str">
        <f>AB139&amp;".1"</f>
        <v>9.1</v>
      </c>
      <c r="AC140" s="619" t="s">
        <v>1713</v>
      </c>
      <c r="AD140" s="312" t="s">
        <v>810</v>
      </c>
      <c r="AE140" s="124"/>
      <c r="AF140" s="124"/>
      <c r="AG140" s="124"/>
      <c r="AH140" s="310">
        <f>AG140-AF140</f>
        <v>0</v>
      </c>
      <c r="AI140" s="124"/>
      <c r="AJ140" s="1956"/>
      <c r="AK140" s="1956"/>
      <c r="AL140" s="310">
        <f>IF(AI140=0,0,(AK140-AI140)/AI140*100)</f>
        <v>0</v>
      </c>
      <c r="AM140" s="73"/>
      <c r="AN140" s="73"/>
      <c r="AO140" s="73"/>
      <c r="AP140" s="230"/>
      <c r="AQ140" s="230"/>
      <c r="AR140" s="1233" t="s">
        <v>1921</v>
      </c>
      <c r="AS140" s="1271"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M11581::ТЭ.42.28873685.0002::Неопределено::Неопределено::Неопределено::Неопределено::Неопределено::Неопределено::Неопределено</v>
      </c>
    </row>
    <row s="1632" customFormat="1" customHeight="1" ht="16.5" hidden="1">
      <c r="A141" s="1186"/>
      <c r="B141" s="927"/>
      <c r="C141" s="1301" t="s">
        <v>1715</v>
      </c>
      <c r="D141" s="1260" t="s">
        <v>1716</v>
      </c>
      <c r="E141" s="797">
        <v>17.1</v>
      </c>
      <c r="F141" s="922" cm="1" t="str">
        <f t="array" ref="F141:F141">OFFSET(G141,-1,-1)</f>
        <v>1</v>
      </c>
      <c r="G141" s="230"/>
      <c r="H141" s="193" cm="1" t="str">
        <f t="array" ref="H141:H141">G94</f>
        <v>одноставочный</v>
      </c>
      <c r="I141" s="230"/>
      <c r="J141" s="230"/>
      <c r="K141" s="230"/>
      <c r="L141" s="1289"/>
      <c r="M141" s="1287" cm="1" t="str">
        <f t="array" ref="M141:M141">OFFSET(L141,-1,1)</f>
        <v>ТЭ.42.28873685.0002</v>
      </c>
      <c r="N141" s="1289"/>
      <c r="O141" s="1289"/>
      <c r="P141" s="1289"/>
      <c r="Q141" s="1289"/>
      <c r="R141" s="1289"/>
      <c r="S141" s="1289"/>
      <c r="T141" s="808">
        <f>AND(F141&gt;0,H141="двухставочный")</f>
        <v>0</v>
      </c>
      <c r="U141" s="1582"/>
      <c r="V141" s="1582"/>
      <c r="W141" s="1582"/>
      <c r="X141" s="1582"/>
      <c r="Y141" s="1582"/>
      <c r="Z141" s="1582"/>
      <c r="AA141" s="230"/>
      <c r="AB141" s="663" t="str">
        <f>AB139&amp;".2"</f>
        <v>9.2</v>
      </c>
      <c r="AC141" s="619" t="s">
        <v>1715</v>
      </c>
      <c r="AD141" s="312" t="s">
        <v>810</v>
      </c>
      <c r="AE141" s="615">
        <f>AE139-AE140</f>
        <v>20255.73235</v>
      </c>
      <c r="AF141" s="615">
        <f>AF139-AF140</f>
        <v>22530.51</v>
      </c>
      <c r="AG141" s="615">
        <f>AG139-AG140</f>
        <v>22084.3457142857</v>
      </c>
      <c r="AH141" s="310">
        <f>AG141-AF141</f>
        <v>-446.164285714298</v>
      </c>
      <c r="AI141" s="615">
        <f>AI139-AI140</f>
        <v>20152.4797414</v>
      </c>
      <c r="AJ141" s="615">
        <f>AJ139-AJ140</f>
        <v>26087.251925</v>
      </c>
      <c r="AK141" s="615">
        <f>AK139-AK140</f>
        <v>21085.8565493362</v>
      </c>
      <c r="AL141" s="310">
        <f>IF(AI141=0,0,(AK141-AI141)/AI141*100)</f>
        <v>4.63157298711349</v>
      </c>
      <c r="AM141" s="73"/>
      <c r="AN141" s="73"/>
      <c r="AO141" s="73"/>
      <c r="AP141" s="230"/>
      <c r="AQ141" s="230"/>
      <c r="AR141" s="1233" t="s">
        <v>1922</v>
      </c>
      <c r="AS141" s="1271"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M11582::ТЭ.42.28873685.0002::Неопределено::Неопределено::Неопределено::Неопределено::Неопределено::Неопределено::Неопределено</v>
      </c>
    </row>
    <row s="1632" customFormat="1" customHeight="1" ht="16.5">
      <c r="A142" s="1186"/>
      <c r="B142" s="927"/>
      <c r="C142" s="1301" t="s">
        <v>1718</v>
      </c>
      <c r="D142" s="1260" t="s">
        <v>1719</v>
      </c>
      <c r="E142" s="797">
        <v>17.1</v>
      </c>
      <c r="F142" s="922" cm="1" t="str">
        <f t="array" ref="F142:F142">OFFSET(G142,-1,-1)</f>
        <v>1</v>
      </c>
      <c r="G142" s="230"/>
      <c r="H142" s="230"/>
      <c r="I142" s="230"/>
      <c r="J142" s="230"/>
      <c r="K142" s="230"/>
      <c r="L142" s="1289"/>
      <c r="M142" s="1287" cm="1" t="str">
        <f t="array" ref="M142:M142">OFFSET(L142,-1,1)</f>
        <v>ТЭ.42.28873685.0002</v>
      </c>
      <c r="N142" s="1289"/>
      <c r="O142" s="1289"/>
      <c r="P142" s="1289"/>
      <c r="Q142" s="1289"/>
      <c r="R142" s="1289"/>
      <c r="S142" s="1289"/>
      <c r="T142" s="808" cm="1" t="str">
        <f t="array" ref="T142:T142">T139</f>
        <v>true</v>
      </c>
      <c r="U142" s="1582"/>
      <c r="V142" s="1582"/>
      <c r="W142" s="1582"/>
      <c r="X142" s="1582"/>
      <c r="Y142" s="1582"/>
      <c r="Z142" s="1582"/>
      <c r="AA142" s="230"/>
      <c r="AB142" s="317" t="s">
        <v>693</v>
      </c>
      <c r="AC142" s="313" t="s">
        <v>1721</v>
      </c>
      <c r="AD142" s="318" t="s">
        <v>599</v>
      </c>
      <c r="AE142" s="1979">
        <f>IF($K94="передача тепловой энергии",_xlfn.SUMIFS('Баланс Тр'!AE$27:AE$43,'Баланс Тр'!$F$27:$F$43,$F142,'Баланс Тр'!$AB$27:$AB$43,"3"),_xlfn.SUMIFS('Баланс Пр'!AE$27:AE$165,'Баланс Пр'!$F$27:$F$165,$F142,'Баланс Пр'!$AB$27:$AB$165,"9.1"))</f>
        <v>6693.74</v>
      </c>
      <c r="AF142" s="616"/>
      <c r="AG142" s="616"/>
      <c r="AH142" s="377"/>
      <c r="AI142" s="1979">
        <f>IF($K94="передача тепловой энергии",_xlfn.SUMIFS('Баланс Тр'!AH$27:AH$43,'Баланс Тр'!$F$27:$F$43,$F142,'Баланс Тр'!$AB$27:$AB$43,"3"),_xlfn.SUMIFS('Баланс Пр'!AH$27:AH$165,'Баланс Пр'!$F$27:$F$165,$F142,'Баланс Пр'!$AB$27:$AB$165,"9.1"))</f>
        <v>5626</v>
      </c>
      <c r="AJ142" s="1979">
        <f>IF($K94="передача тепловой энергии",_xlfn.SUMIFS('Баланс Тр'!AI$27:AI$43,'Баланс Тр'!$F$27:$F$43,$F142,'Баланс Тр'!$AB$27:$AB$43,"3"),_xlfn.SUMIFS('Баланс Пр'!AI$27:AI$165,'Баланс Пр'!$F$27:$F$165,$F142,'Баланс Пр'!$AB$27:$AB$165,"9.1"))</f>
        <v>5626.1</v>
      </c>
      <c r="AK142" s="1979">
        <f>IF($K94="передача тепловой энергии",_xlfn.SUMIFS('Баланс Тр'!AS$27:AS$43,'Баланс Тр'!$F$27:$F$43,$F142,'Баланс Тр'!$AB$27:$AB$43,"3"),_xlfn.SUMIFS('Баланс Пр'!AS$27:AS$165,'Баланс Пр'!$F$27:$F$165,$F142,'Баланс Пр'!$AB$27:$AB$165,"9.1"))</f>
        <v>5626</v>
      </c>
      <c r="AL142" s="310">
        <f>IF(AI142=0,0,(AK142-AI142)/AI142*100)</f>
        <v>0</v>
      </c>
      <c r="AM142" s="1719"/>
      <c r="AN142" s="1719"/>
      <c r="AO142" s="1719"/>
      <c r="AP142" s="230"/>
      <c r="AQ142" s="230"/>
      <c r="AR142" s="1233" t="s">
        <v>1722</v>
      </c>
      <c r="AS142" s="1271"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M10502::ТЭ.42.28873685.0002::Неопределено::Неопределено::Неопределено::Неопределено::Неопределено::Неопределено::Неопределено</v>
      </c>
    </row>
    <row s="1992" customFormat="1" customHeight="1" ht="16.5">
      <c r="A143" s="235"/>
      <c r="B143" s="235"/>
      <c r="C143" s="1301" t="s">
        <v>1723</v>
      </c>
      <c r="D143" s="1260" t="s">
        <v>1724</v>
      </c>
      <c r="E143" s="797">
        <v>17.1</v>
      </c>
      <c r="F143" s="922" cm="1" t="str">
        <f t="array" ref="F143:F143">OFFSET(G143,-1,-1)</f>
        <v>1</v>
      </c>
      <c r="G143" s="193" t="s">
        <v>1725</v>
      </c>
      <c r="H143" s="235"/>
      <c r="I143" s="235"/>
      <c r="J143" s="235"/>
      <c r="K143" s="235"/>
      <c r="L143" s="1297"/>
      <c r="M143" s="1287" cm="1" t="str">
        <f t="array" ref="M143:M143">OFFSET(L143,-1,1)</f>
        <v>ТЭ.42.28873685.0002</v>
      </c>
      <c r="N143" s="1297"/>
      <c r="O143" s="1297"/>
      <c r="P143" s="1297"/>
      <c r="Q143" s="1289"/>
      <c r="R143" s="1289"/>
      <c r="S143" s="1289" t="s">
        <v>1726</v>
      </c>
      <c r="T143" s="808" cm="1" t="str">
        <f t="array" ref="T143:T143">T142</f>
        <v>true</v>
      </c>
      <c r="U143" s="235"/>
      <c r="V143" s="235"/>
      <c r="W143" s="235"/>
      <c r="X143" s="235"/>
      <c r="Y143" s="235"/>
      <c r="Z143" s="235"/>
      <c r="AA143" s="235"/>
      <c r="AB143" s="663" t="str">
        <f>AB142&amp;".1"</f>
        <v>10.1</v>
      </c>
      <c r="AC143" s="289" t="s">
        <v>1727</v>
      </c>
      <c r="AD143" s="312" t="s">
        <v>599</v>
      </c>
      <c r="AE143" s="1956"/>
      <c r="AF143" s="616"/>
      <c r="AG143" s="616"/>
      <c r="AH143" s="377"/>
      <c r="AI143" s="1956"/>
      <c r="AJ143" s="1956"/>
      <c r="AK143" s="1956"/>
      <c r="AL143" s="310">
        <f>IF(AI143=0,0,(AK143-AI143)/AI143*100)</f>
        <v>0</v>
      </c>
      <c r="AM143" s="1719"/>
      <c r="AN143" s="1719"/>
      <c r="AO143" s="1719"/>
      <c r="AP143" s="235"/>
      <c r="AQ143" s="235"/>
      <c r="AR143" s="1233" t="s">
        <v>1728</v>
      </c>
      <c r="AS143" s="1271"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M10670::ТЭ.42.28873685.0002::Неопределено::Неопределено::Неопределено::Неопределено::Неопределено::Неопределено::8.0.3.</v>
      </c>
    </row>
    <row s="1993" customFormat="1" customHeight="1" ht="16.5">
      <c r="A144" s="235"/>
      <c r="B144" s="235"/>
      <c r="C144" s="1301" t="s">
        <v>1729</v>
      </c>
      <c r="D144" s="1260" t="s">
        <v>1730</v>
      </c>
      <c r="E144" s="797">
        <v>17.1</v>
      </c>
      <c r="F144" s="922" cm="1" t="str">
        <f t="array" ref="F144:F144">OFFSET(G144,-1,-1)</f>
        <v>1</v>
      </c>
      <c r="G144" s="739" t="s">
        <v>1731</v>
      </c>
      <c r="H144" s="235"/>
      <c r="I144" s="235"/>
      <c r="J144" s="235"/>
      <c r="K144" s="235"/>
      <c r="L144" s="1297"/>
      <c r="M144" s="1287" cm="1" t="str">
        <f t="array" ref="M144:M144">OFFSET(L144,-1,1)</f>
        <v>ТЭ.42.28873685.0002</v>
      </c>
      <c r="N144" s="1297"/>
      <c r="O144" s="1297"/>
      <c r="P144" s="1297"/>
      <c r="Q144" s="1289"/>
      <c r="R144" s="1289"/>
      <c r="S144" s="1289" t="s">
        <v>1726</v>
      </c>
      <c r="T144" s="808" cm="1" t="str">
        <f t="array" ref="T144:T144">T143</f>
        <v>true</v>
      </c>
      <c r="U144" s="235"/>
      <c r="V144" s="235"/>
      <c r="W144" s="235"/>
      <c r="X144" s="235"/>
      <c r="Y144" s="235"/>
      <c r="Z144" s="235"/>
      <c r="AA144" s="235"/>
      <c r="AB144" s="663" t="str">
        <f>AB142&amp;".2"</f>
        <v>10.2</v>
      </c>
      <c r="AC144" s="289" t="s">
        <v>1732</v>
      </c>
      <c r="AD144" s="312" t="s">
        <v>900</v>
      </c>
      <c r="AE144" s="1956"/>
      <c r="AF144" s="616"/>
      <c r="AG144" s="616"/>
      <c r="AH144" s="377"/>
      <c r="AI144" s="1956"/>
      <c r="AJ144" s="1956"/>
      <c r="AK144" s="1956"/>
      <c r="AL144" s="310">
        <f>IF(AI144=0,0,(AK144-AI144)/AI144*100)</f>
        <v>0</v>
      </c>
      <c r="AM144" s="1719"/>
      <c r="AN144" s="1719"/>
      <c r="AO144" s="1719"/>
      <c r="AP144" s="235"/>
      <c r="AQ144" s="235"/>
      <c r="AR144" s="1233" t="s">
        <v>1733</v>
      </c>
      <c r="AS144" s="1271"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M10546::ТЭ.42.28873685.0002::Неопределено::Неопределено::Неопределено::Неопределено::Неопределено::Неопределено::8.0.3.</v>
      </c>
    </row>
    <row s="1632" customFormat="1" customHeight="1" ht="16.5">
      <c r="A145" s="1186"/>
      <c r="B145" s="927"/>
      <c r="C145" s="1301" t="s">
        <v>1723</v>
      </c>
      <c r="D145" s="1260" t="s">
        <v>1724</v>
      </c>
      <c r="E145" s="797">
        <v>17.1</v>
      </c>
      <c r="F145" s="922" cm="1" t="str">
        <f t="array" ref="F145:F145">OFFSET(G145,-1,-1)</f>
        <v>1</v>
      </c>
      <c r="G145" s="193" t="s">
        <v>1734</v>
      </c>
      <c r="H145" s="230"/>
      <c r="I145" s="230"/>
      <c r="J145" s="230"/>
      <c r="K145" s="230"/>
      <c r="L145" s="1289"/>
      <c r="M145" s="1287" cm="1" t="str">
        <f t="array" ref="M145:M145">OFFSET(L145,-1,1)</f>
        <v>ТЭ.42.28873685.0002</v>
      </c>
      <c r="N145" s="1289"/>
      <c r="O145" s="1289"/>
      <c r="P145" s="1289"/>
      <c r="Q145" s="1289"/>
      <c r="R145" s="1289"/>
      <c r="S145" s="1289" t="s">
        <v>1735</v>
      </c>
      <c r="T145" s="808" cm="1" t="str">
        <f t="array" ref="T145:T145">T144</f>
        <v>true</v>
      </c>
      <c r="U145" s="1582"/>
      <c r="V145" s="1582"/>
      <c r="W145" s="1582"/>
      <c r="X145" s="1582"/>
      <c r="Y145" s="1582"/>
      <c r="Z145" s="1582"/>
      <c r="AA145" s="230"/>
      <c r="AB145" s="663" t="str">
        <f>AB142&amp;".3"</f>
        <v>10.3</v>
      </c>
      <c r="AC145" s="289" t="s">
        <v>1736</v>
      </c>
      <c r="AD145" s="312" t="s">
        <v>599</v>
      </c>
      <c r="AE145" s="1021">
        <f>AE142-AE143</f>
        <v>6693.74</v>
      </c>
      <c r="AF145" s="616"/>
      <c r="AG145" s="616"/>
      <c r="AH145" s="377"/>
      <c r="AI145" s="1021">
        <f>AI142-AI143</f>
        <v>5626</v>
      </c>
      <c r="AJ145" s="1021">
        <f>AJ142-AJ143</f>
        <v>5626.1</v>
      </c>
      <c r="AK145" s="1021">
        <f>AK142-AK143</f>
        <v>5626</v>
      </c>
      <c r="AL145" s="310">
        <f>IF(AI145=0,0,(AK145-AI145)/AI145*100)</f>
        <v>0</v>
      </c>
      <c r="AM145" s="1721"/>
      <c r="AN145" s="1721"/>
      <c r="AO145" s="1721"/>
      <c r="AP145" s="230"/>
      <c r="AQ145" s="230"/>
      <c r="AR145" s="1233" t="s">
        <v>1737</v>
      </c>
      <c r="AS145" s="1271"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M10670::ТЭ.42.28873685.0002::Неопределено::Неопределено::Неопределено::Неопределено::Неопределено::Неопределено::8.0.5.</v>
      </c>
    </row>
    <row s="1632" customFormat="1" customHeight="1" ht="16.5">
      <c r="A146" s="1186"/>
      <c r="B146" s="927"/>
      <c r="C146" s="1301" t="s">
        <v>1729</v>
      </c>
      <c r="D146" s="1260" t="s">
        <v>1730</v>
      </c>
      <c r="E146" s="797">
        <v>17.1</v>
      </c>
      <c r="F146" s="922" cm="1" t="str">
        <f t="array" ref="F146:F146">OFFSET(G146,-1,-1)</f>
        <v>1</v>
      </c>
      <c r="G146" s="739" t="s">
        <v>1738</v>
      </c>
      <c r="H146" s="230"/>
      <c r="I146" s="230"/>
      <c r="J146" s="230"/>
      <c r="K146" s="230"/>
      <c r="L146" s="1289"/>
      <c r="M146" s="1287" cm="1" t="str">
        <f t="array" ref="M146:M146">OFFSET(L146,-1,1)</f>
        <v>ТЭ.42.28873685.0002</v>
      </c>
      <c r="N146" s="1289"/>
      <c r="O146" s="1289"/>
      <c r="P146" s="1289"/>
      <c r="Q146" s="1289"/>
      <c r="R146" s="1289"/>
      <c r="S146" s="1289" t="s">
        <v>1735</v>
      </c>
      <c r="T146" s="808" cm="1" t="str">
        <f t="array" ref="T146:T146">T145</f>
        <v>true</v>
      </c>
      <c r="U146" s="1582"/>
      <c r="V146" s="1582"/>
      <c r="W146" s="1582"/>
      <c r="X146" s="1582"/>
      <c r="Y146" s="1582"/>
      <c r="Z146" s="1582"/>
      <c r="AA146" s="230"/>
      <c r="AB146" s="663" t="str">
        <f>AB142&amp;".4"</f>
        <v>10.4</v>
      </c>
      <c r="AC146" s="289" t="s">
        <v>1739</v>
      </c>
      <c r="AD146" s="312" t="s">
        <v>900</v>
      </c>
      <c r="AE146" s="1956">
        <f>_xlfn.IFERROR((AE139*1000-AE143*AE144)/AE145,0)</f>
        <v>3026.0709782573</v>
      </c>
      <c r="AF146" s="616"/>
      <c r="AG146" s="616"/>
      <c r="AH146" s="377"/>
      <c r="AI146" s="1956">
        <f>_xlfn.IFERROR((AI139*1000-AI143*AI144)/AI145,0)</f>
        <v>3582.02626046925</v>
      </c>
      <c r="AJ146" s="1956">
        <f>_xlfn.IFERROR((AJ139*1000-AJ143*AJ144)/AJ145,0)</f>
        <v>4636.82691829153</v>
      </c>
      <c r="AK146" s="1956">
        <f>_xlfn.IFERROR((AK139*1000-AK143*AK144)/AK145,0)</f>
        <v>3747.93042114045</v>
      </c>
      <c r="AL146" s="310">
        <f>IF(AI146=0,0,(AK146-AI146)/AI146*100)</f>
        <v>4.63157298711335</v>
      </c>
      <c r="AM146" s="1722"/>
      <c r="AN146" s="1722"/>
      <c r="AO146" s="1722"/>
      <c r="AP146" s="230"/>
      <c r="AQ146" s="230"/>
      <c r="AR146" s="1233" t="s">
        <v>1740</v>
      </c>
      <c r="AS146" s="1271"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M10546::ТЭ.42.28873685.0002::Неопределено::Неопределено::Неопределено::Неопределено::Неопределено::Неопределено::8.0.5.</v>
      </c>
    </row>
    <row s="1994" customFormat="1" customHeight="1" ht="16.5">
      <c r="A147" s="646"/>
      <c r="B147" s="646"/>
      <c r="C147" s="1301" t="s">
        <v>1741</v>
      </c>
      <c r="D147" s="1260" t="s">
        <v>1742</v>
      </c>
      <c r="E147" s="797">
        <v>17.1</v>
      </c>
      <c r="F147" s="922" cm="1" t="str">
        <f t="array" ref="F147:F147">OFFSET(G147,-1,-1)</f>
        <v>1</v>
      </c>
      <c r="G147" s="646"/>
      <c r="H147" s="646"/>
      <c r="I147" s="646"/>
      <c r="J147" s="646"/>
      <c r="K147" s="646"/>
      <c r="L147" s="1289"/>
      <c r="M147" s="1287" cm="1" t="str">
        <f t="array" ref="M147:M147">OFFSET(L147,-1,1)</f>
        <v>ТЭ.42.28873685.0002</v>
      </c>
      <c r="N147" s="1289"/>
      <c r="O147" s="1289"/>
      <c r="P147" s="1289"/>
      <c r="Q147" s="1289"/>
      <c r="R147" s="1289"/>
      <c r="S147" s="1289"/>
      <c r="T147" s="808" cm="1" t="str">
        <f t="array" ref="T147:T147">T146</f>
        <v>true</v>
      </c>
      <c r="U147" s="646"/>
      <c r="V147" s="646"/>
      <c r="W147" s="646"/>
      <c r="X147" s="646"/>
      <c r="Y147" s="646"/>
      <c r="Z147" s="646"/>
      <c r="AA147" s="646"/>
      <c r="AB147" s="663" t="str">
        <f>AB142&amp;".5"</f>
        <v>10.5</v>
      </c>
      <c r="AC147" s="315" t="s">
        <v>1743</v>
      </c>
      <c r="AD147" s="312" t="s">
        <v>498</v>
      </c>
      <c r="AE147" s="665">
        <f>_xlfn.IFERROR(AE146/AE144,0)</f>
        <v>0</v>
      </c>
      <c r="AF147" s="616"/>
      <c r="AG147" s="616"/>
      <c r="AH147" s="377"/>
      <c r="AI147" s="665">
        <f>_xlfn.IFERROR(AI146/AI144,0)</f>
        <v>0</v>
      </c>
      <c r="AJ147" s="665">
        <f>_xlfn.IFERROR(AJ146/AJ144,0)</f>
        <v>0</v>
      </c>
      <c r="AK147" s="665">
        <f>_xlfn.IFERROR(AK146/AK144,0)</f>
        <v>0</v>
      </c>
      <c r="AL147" s="310">
        <f>IF(AI147=0,0,(AK147-AI147)/AI147*100)</f>
        <v>0</v>
      </c>
      <c r="AM147" s="842"/>
      <c r="AN147" s="842"/>
      <c r="AO147" s="842"/>
      <c r="AP147" s="646"/>
      <c r="AQ147" s="646"/>
      <c r="AR147" s="1233" t="s">
        <v>1744</v>
      </c>
      <c r="AS147" s="1271"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M11244::ТЭ.42.28873685.0002::Неопределено::Неопределено::Неопределено::Неопределено::Неопределено::Неопределено::Неопределено</v>
      </c>
    </row>
    <row s="1632" customFormat="1" customHeight="1" ht="16.5">
      <c r="A148" s="1186"/>
      <c r="B148" s="927"/>
      <c r="C148" s="1301" t="s">
        <v>1745</v>
      </c>
      <c r="D148" s="1260" t="s">
        <v>1746</v>
      </c>
      <c r="E148" s="797">
        <v>17.1</v>
      </c>
      <c r="F148" s="922" cm="1" t="str">
        <f t="array" ref="F148:F148">OFFSET(G148,-1,-1)</f>
        <v>1</v>
      </c>
      <c r="G148" s="230"/>
      <c r="H148" s="230"/>
      <c r="I148" s="230"/>
      <c r="J148" s="230"/>
      <c r="K148" s="230"/>
      <c r="L148" s="1289"/>
      <c r="M148" s="1287" cm="1" t="str">
        <f t="array" ref="M148:M148">OFFSET(L148,-1,1)</f>
        <v>ТЭ.42.28873685.0002</v>
      </c>
      <c r="N148" s="1289"/>
      <c r="O148" s="1289"/>
      <c r="P148" s="1289"/>
      <c r="Q148" s="1289"/>
      <c r="R148" s="1289"/>
      <c r="S148" s="1289"/>
      <c r="T148" s="808" cm="1" t="str">
        <f t="array" ref="T148:T148">T147</f>
        <v>true</v>
      </c>
      <c r="U148" s="1582"/>
      <c r="V148" s="1582"/>
      <c r="W148" s="1582"/>
      <c r="X148" s="1582"/>
      <c r="Y148" s="1582"/>
      <c r="Z148" s="1582"/>
      <c r="AA148" s="230"/>
      <c r="AB148" s="663" t="str">
        <f>AB142&amp;".6"</f>
        <v>10.6</v>
      </c>
      <c r="AC148" s="315" t="s">
        <v>1747</v>
      </c>
      <c r="AD148" s="312" t="s">
        <v>900</v>
      </c>
      <c r="AE148" s="1021">
        <f>_xlfn.IFERROR(AE139/AE142*1000,0)</f>
        <v>3026.0709782573</v>
      </c>
      <c r="AF148" s="616"/>
      <c r="AG148" s="616"/>
      <c r="AH148" s="377"/>
      <c r="AI148" s="1021">
        <f>_xlfn.IFERROR(AI139/AI142*1000,0)</f>
        <v>3582.02626046925</v>
      </c>
      <c r="AJ148" s="1021">
        <f>_xlfn.IFERROR(AJ139/AJ142*1000,0)</f>
        <v>4636.82691829153</v>
      </c>
      <c r="AK148" s="1021">
        <f>_xlfn.IFERROR(AK139/AK142*1000,0)</f>
        <v>3747.93042114046</v>
      </c>
      <c r="AL148" s="310">
        <f>IF(AI148=0,0,(AK148-AI148)/AI148*100)</f>
        <v>4.63157298711363</v>
      </c>
      <c r="AM148" s="1722"/>
      <c r="AN148" s="1722"/>
      <c r="AO148" s="1722"/>
      <c r="AP148" s="230"/>
      <c r="AQ148" s="230"/>
      <c r="AR148" s="1233" t="s">
        <v>1748</v>
      </c>
      <c r="AS148" s="1271"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M10552::ТЭ.42.28873685.0002::Неопределено::Неопределено::Неопределено::Неопределено::Неопределено::Неопределено::Неопределено</v>
      </c>
    </row>
    <row s="1995" customFormat="1" customHeight="1" ht="16.5" hidden="1">
      <c r="A149" s="646"/>
      <c r="B149" s="646"/>
      <c r="C149" s="1301" t="s">
        <v>1749</v>
      </c>
      <c r="D149" s="1260" t="s">
        <v>1750</v>
      </c>
      <c r="E149" s="797">
        <v>17.1</v>
      </c>
      <c r="F149" s="922" cm="1" t="str">
        <f t="array" ref="F149:F149">OFFSET(G149,-1,-1)</f>
        <v>1</v>
      </c>
      <c r="G149" s="646"/>
      <c r="H149" s="193" cm="1" t="str">
        <f t="array" ref="H149:H149">G94</f>
        <v>одноставочный</v>
      </c>
      <c r="I149" s="646"/>
      <c r="J149" s="646"/>
      <c r="K149" s="646"/>
      <c r="L149" s="1289"/>
      <c r="M149" s="1287" cm="1" t="str">
        <f t="array" ref="M149:M149">OFFSET(L149,-1,1)</f>
        <v>ТЭ.42.28873685.0002</v>
      </c>
      <c r="N149" s="1289"/>
      <c r="O149" s="1289"/>
      <c r="P149" s="1289"/>
      <c r="Q149" s="1289"/>
      <c r="R149" s="1289"/>
      <c r="S149" s="1289"/>
      <c r="T149" s="808">
        <f>AND(F149&gt;0,H149="двухставочный")</f>
        <v>0</v>
      </c>
      <c r="U149" s="646"/>
      <c r="V149" s="646"/>
      <c r="W149" s="646"/>
      <c r="X149" s="646"/>
      <c r="Y149" s="646"/>
      <c r="Z149" s="646"/>
      <c r="AA149" s="646"/>
      <c r="AB149" s="317" t="s">
        <v>701</v>
      </c>
      <c r="AC149" s="889" t="s">
        <v>1752</v>
      </c>
      <c r="AD149" s="667" t="s">
        <v>695</v>
      </c>
      <c r="AE149" s="98">
        <f>_xlfn.SUMIFS('Баланс Пр'!AE$27:AE$165,'Баланс Пр'!$F$27:$F$165,$F149,'Баланс Пр'!$AB$27:$AB$165,"10")</f>
        <v>0</v>
      </c>
      <c r="AF149" s="616"/>
      <c r="AG149" s="616"/>
      <c r="AH149" s="377"/>
      <c r="AI149" s="98">
        <f>_xlfn.SUMIFS('Баланс Пр'!AH$27:AH$165,'Баланс Пр'!$F$27:$F$165,$F149,'Баланс Пр'!$AB$27:$AB$165,"10")</f>
        <v>0</v>
      </c>
      <c r="AJ149" s="1868">
        <f>_xlfn.SUMIFS('Баланс Пр'!AI$27:AI$165,'Баланс Пр'!$F$27:$F$165,$F149,'Баланс Пр'!$AB$27:$AB$165,"10")</f>
        <v>0</v>
      </c>
      <c r="AK149" s="1868">
        <f>_xlfn.SUMIFS('Баланс Пр'!AS$27:AS$165,'Баланс Пр'!$F$27:$F$165,$F149,'Баланс Пр'!$AB$27:$AB$165,"10")</f>
        <v>0</v>
      </c>
      <c r="AL149" s="310">
        <f>IF(AI149=0,0,(AK149-AI149)/AI149*100)</f>
        <v>0</v>
      </c>
      <c r="AM149" s="1106"/>
      <c r="AN149" s="1106"/>
      <c r="AO149" s="1101"/>
      <c r="AP149" s="646"/>
      <c r="AQ149" s="646"/>
      <c r="AR149" s="1233" t="s">
        <v>696</v>
      </c>
      <c r="AS149" s="1271"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M10476::ТЭ.42.28873685.0002::Неопределено::Неопределено::Неопределено::Неопределено::Неопределено::Неопределено::Неопределено</v>
      </c>
    </row>
    <row s="1632" customFormat="1" customHeight="1" ht="16.5" hidden="1">
      <c r="A150" s="1186"/>
      <c r="B150" s="927"/>
      <c r="C150" s="1301" t="s">
        <v>1749</v>
      </c>
      <c r="D150" s="1260" t="s">
        <v>1750</v>
      </c>
      <c r="E150" s="797">
        <v>17.1</v>
      </c>
      <c r="F150" s="922" cm="1" t="str">
        <f t="array" ref="F150:F150">OFFSET(G150,-1,-1)</f>
        <v>1</v>
      </c>
      <c r="G150" s="230"/>
      <c r="H150" s="193" cm="1" t="str">
        <f t="array" ref="H150:H150">G94</f>
        <v>одноставочный</v>
      </c>
      <c r="I150" s="230"/>
      <c r="J150" s="230"/>
      <c r="K150" s="230"/>
      <c r="L150" s="1289"/>
      <c r="M150" s="1287" cm="1" t="str">
        <f t="array" ref="M150:M150">OFFSET(L150,-1,1)</f>
        <v>ТЭ.42.28873685.0002</v>
      </c>
      <c r="N150" s="1289"/>
      <c r="O150" s="1289"/>
      <c r="P150" s="1289"/>
      <c r="Q150" s="1289"/>
      <c r="R150" s="1289"/>
      <c r="S150" s="1289" t="s">
        <v>1726</v>
      </c>
      <c r="T150" s="808">
        <f>AND(F150&gt;0,H150="двухставочный")</f>
        <v>0</v>
      </c>
      <c r="U150" s="1582"/>
      <c r="V150" s="1582"/>
      <c r="W150" s="1582"/>
      <c r="X150" s="1582"/>
      <c r="Y150" s="1582"/>
      <c r="Z150" s="1582"/>
      <c r="AA150" s="230"/>
      <c r="AB150" s="663" t="str">
        <f>AB149&amp;".1"</f>
        <v>11.1</v>
      </c>
      <c r="AC150" s="723" t="s">
        <v>1754</v>
      </c>
      <c r="AD150" s="623" t="s">
        <v>695</v>
      </c>
      <c r="AE150" s="132" cm="1" t="str">
        <f t="array" ref="AE150:AE150">AE149</f>
        <v>0</v>
      </c>
      <c r="AF150" s="616"/>
      <c r="AG150" s="616"/>
      <c r="AH150" s="377"/>
      <c r="AI150" s="132" cm="1" t="str">
        <f t="array" ref="AI150:AI150">AI149</f>
        <v>0</v>
      </c>
      <c r="AJ150" s="1986" cm="1" t="str">
        <f t="array" ref="AJ150:AJ150">AJ149</f>
        <v>0</v>
      </c>
      <c r="AK150" s="1986" cm="1" t="str">
        <f t="array" ref="AK150:AK150">AK149</f>
        <v>0</v>
      </c>
      <c r="AL150" s="310">
        <f>IF(AI150=0,0,(AK150-AI150)/AI150*100)</f>
        <v>0</v>
      </c>
      <c r="AM150" s="80"/>
      <c r="AN150" s="80"/>
      <c r="AO150" s="80"/>
      <c r="AP150" s="230"/>
      <c r="AQ150" s="230"/>
      <c r="AR150" s="1233" t="s">
        <v>1755</v>
      </c>
      <c r="AS150" s="1271"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M10476::ТЭ.42.28873685.0002::Неопределено::Неопределено::Неопределено::Неопределено::Неопределено::Неопределено::8.0.3.</v>
      </c>
    </row>
    <row s="1632" customFormat="1" customHeight="1" ht="16.5" hidden="1">
      <c r="A151" s="1186"/>
      <c r="B151" s="927"/>
      <c r="C151" s="1301" t="s">
        <v>1749</v>
      </c>
      <c r="D151" s="1260" t="s">
        <v>1750</v>
      </c>
      <c r="E151" s="797">
        <v>17.1</v>
      </c>
      <c r="F151" s="922" cm="1" t="str">
        <f t="array" ref="F151:F151">OFFSET(G151,-1,-1)</f>
        <v>1</v>
      </c>
      <c r="G151" s="230"/>
      <c r="H151" s="193" cm="1" t="str">
        <f t="array" ref="H151:H151">G94</f>
        <v>одноставочный</v>
      </c>
      <c r="I151" s="230"/>
      <c r="J151" s="230"/>
      <c r="K151" s="230"/>
      <c r="L151" s="1289"/>
      <c r="M151" s="1287" cm="1" t="str">
        <f t="array" ref="M151:M151">OFFSET(L151,-1,1)</f>
        <v>ТЭ.42.28873685.0002</v>
      </c>
      <c r="N151" s="1289"/>
      <c r="O151" s="1289"/>
      <c r="P151" s="1289"/>
      <c r="Q151" s="1289"/>
      <c r="R151" s="1289"/>
      <c r="S151" s="1289" t="s">
        <v>1735</v>
      </c>
      <c r="T151" s="808">
        <f>AND(F151&gt;0,H151="двухставочный")</f>
        <v>0</v>
      </c>
      <c r="U151" s="1582"/>
      <c r="V151" s="1582"/>
      <c r="W151" s="1582"/>
      <c r="X151" s="1582"/>
      <c r="Y151" s="1582"/>
      <c r="Z151" s="1582"/>
      <c r="AA151" s="230"/>
      <c r="AB151" s="663" t="str">
        <f>AB149&amp;".2"</f>
        <v>11.2</v>
      </c>
      <c r="AC151" s="723" t="s">
        <v>1757</v>
      </c>
      <c r="AD151" s="623" t="s">
        <v>695</v>
      </c>
      <c r="AE151" s="132" cm="1" t="str">
        <f t="array" ref="AE151:AE151">AE149</f>
        <v>0</v>
      </c>
      <c r="AF151" s="616"/>
      <c r="AG151" s="616"/>
      <c r="AH151" s="377"/>
      <c r="AI151" s="132" cm="1" t="str">
        <f t="array" ref="AI151:AI151">AI149</f>
        <v>0</v>
      </c>
      <c r="AJ151" s="1986" cm="1" t="str">
        <f t="array" ref="AJ151:AJ151">AJ149</f>
        <v>0</v>
      </c>
      <c r="AK151" s="1986" cm="1" t="str">
        <f t="array" ref="AK151:AK151">AK149</f>
        <v>0</v>
      </c>
      <c r="AL151" s="310">
        <f>IF(AI151=0,0,(AK151-AI151)/AI151*100)</f>
        <v>0</v>
      </c>
      <c r="AM151" s="80"/>
      <c r="AN151" s="80"/>
      <c r="AO151" s="80"/>
      <c r="AP151" s="230"/>
      <c r="AQ151" s="230"/>
      <c r="AR151" s="1233" t="s">
        <v>1758</v>
      </c>
      <c r="AS151" s="1271"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M10476::ТЭ.42.28873685.0002::Неопределено::Неопределено::Неопределено::Неопределено::Неопределено::Неопределено::8.0.5.</v>
      </c>
    </row>
    <row s="1632" customFormat="1" customHeight="1" ht="16.5" hidden="1">
      <c r="A152" s="1186"/>
      <c r="B152" s="927"/>
      <c r="C152" s="1301"/>
      <c r="D152" s="1260"/>
      <c r="E152" s="797">
        <v>17.1</v>
      </c>
      <c r="F152" s="922" cm="1" t="str">
        <f t="array" ref="F152:F152">OFFSET(G152,-1,-1)</f>
        <v>1</v>
      </c>
      <c r="G152" s="230"/>
      <c r="H152" s="193" cm="1" t="str">
        <f t="array" ref="H152:H152">G94</f>
        <v>одноставочный</v>
      </c>
      <c r="I152" s="230"/>
      <c r="J152" s="230"/>
      <c r="K152" s="230"/>
      <c r="L152" s="1289"/>
      <c r="M152" s="1287" cm="1" t="str">
        <f t="array" ref="M152:M152">OFFSET(L152,-1,1)</f>
        <v>ТЭ.42.28873685.0002</v>
      </c>
      <c r="N152" s="1289"/>
      <c r="O152" s="1289"/>
      <c r="P152" s="1289"/>
      <c r="Q152" s="1289"/>
      <c r="R152" s="1289"/>
      <c r="S152" s="1289"/>
      <c r="T152" s="808">
        <f>AND(F152&gt;0,H152="двухставочный")</f>
        <v>0</v>
      </c>
      <c r="U152" s="1582"/>
      <c r="V152" s="1582"/>
      <c r="W152" s="1582"/>
      <c r="X152" s="1582"/>
      <c r="Y152" s="1582"/>
      <c r="Z152" s="1582"/>
      <c r="AA152" s="230"/>
      <c r="AB152" s="662" t="s">
        <v>1697</v>
      </c>
      <c r="AC152" s="163" t="s">
        <v>1760</v>
      </c>
      <c r="AD152" s="713"/>
      <c r="AE152" s="738"/>
      <c r="AF152" s="616"/>
      <c r="AG152" s="616"/>
      <c r="AH152" s="377"/>
      <c r="AI152" s="738"/>
      <c r="AJ152" s="738"/>
      <c r="AK152" s="738"/>
      <c r="AL152" s="377"/>
      <c r="AM152" s="73"/>
      <c r="AN152" s="73"/>
      <c r="AO152" s="73"/>
      <c r="AP152" s="230"/>
      <c r="AQ152" s="230"/>
      <c r="AR152" s="1233" t="s">
        <v>1761</v>
      </c>
      <c r="AS152" s="1339"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M11407::ТЭ.42.28873685.0002::Неопределено::Неопределено::Неопределено::Неопределено::Неопределено::Неопределено::Неопределено</v>
      </c>
    </row>
    <row s="1632" customFormat="1" customHeight="1" ht="16.5" hidden="1">
      <c r="A153" s="1186"/>
      <c r="B153" s="927"/>
      <c r="C153" s="1301" t="s">
        <v>1762</v>
      </c>
      <c r="D153" s="1260" t="s">
        <v>1763</v>
      </c>
      <c r="E153" s="797">
        <v>17.1</v>
      </c>
      <c r="F153" s="922" cm="1" t="str">
        <f t="array" ref="F153:F153">OFFSET(G153,-1,-1)</f>
        <v>1</v>
      </c>
      <c r="G153" s="739" t="s">
        <v>1764</v>
      </c>
      <c r="H153" s="193" cm="1" t="str">
        <f t="array" ref="H153:H153">G94</f>
        <v>одноставочный</v>
      </c>
      <c r="I153" s="230"/>
      <c r="J153" s="230"/>
      <c r="K153" s="230"/>
      <c r="L153" s="1289"/>
      <c r="M153" s="1287" cm="1" t="str">
        <f t="array" ref="M153:M153">OFFSET(L153,-1,1)</f>
        <v>ТЭ.42.28873685.0002</v>
      </c>
      <c r="N153" s="1289"/>
      <c r="O153" s="1289"/>
      <c r="P153" s="1289"/>
      <c r="Q153" s="1289"/>
      <c r="R153" s="1289"/>
      <c r="S153" s="1289" t="s">
        <v>1726</v>
      </c>
      <c r="T153" s="808">
        <f>AND(F153&gt;0,H153="двухставочный")</f>
        <v>0</v>
      </c>
      <c r="U153" s="1582"/>
      <c r="V153" s="1582"/>
      <c r="W153" s="1582"/>
      <c r="X153" s="1582"/>
      <c r="Y153" s="1582"/>
      <c r="Z153" s="1582"/>
      <c r="AA153" s="230"/>
      <c r="AB153" s="663" t="str">
        <f>AB152&amp;".1"</f>
        <v>12.1</v>
      </c>
      <c r="AC153" s="1349" t="s">
        <v>1765</v>
      </c>
      <c r="AD153" s="520" t="s">
        <v>900</v>
      </c>
      <c r="AE153" s="132"/>
      <c r="AF153" s="616"/>
      <c r="AG153" s="616"/>
      <c r="AH153" s="377"/>
      <c r="AI153" s="132"/>
      <c r="AJ153" s="1986"/>
      <c r="AK153" s="1986"/>
      <c r="AL153" s="310">
        <f>IF(AI153=0,0,(AK153-AI153)/AI153*100)</f>
        <v>0</v>
      </c>
      <c r="AM153" s="73"/>
      <c r="AN153" s="73"/>
      <c r="AO153" s="73"/>
      <c r="AP153" s="230"/>
      <c r="AQ153" s="230"/>
      <c r="AR153" s="1233" t="s">
        <v>1766</v>
      </c>
      <c r="AS153" s="1271"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M11407::ТЭ.42.28873685.0002::Неопределено::Неопределено::Неопределено::Неопределено::Неопределено::Неопределено::8.0.3.</v>
      </c>
    </row>
    <row s="1632" customFormat="1" customHeight="1" ht="16.5" hidden="1">
      <c r="A154" s="1186"/>
      <c r="B154" s="927"/>
      <c r="C154" s="1301" t="s">
        <v>1762</v>
      </c>
      <c r="D154" s="1260" t="s">
        <v>1763</v>
      </c>
      <c r="E154" s="797">
        <v>17.1</v>
      </c>
      <c r="F154" s="922" cm="1" t="str">
        <f t="array" ref="F154:F154">OFFSET(G154,-1,-1)</f>
        <v>1</v>
      </c>
      <c r="G154" s="739" t="s">
        <v>1767</v>
      </c>
      <c r="H154" s="193" cm="1" t="str">
        <f t="array" ref="H154:H154">G94</f>
        <v>одноставочный</v>
      </c>
      <c r="I154" s="230"/>
      <c r="J154" s="230"/>
      <c r="K154" s="230"/>
      <c r="L154" s="1289"/>
      <c r="M154" s="1287" cm="1" t="str">
        <f t="array" ref="M154:M154">OFFSET(L154,-1,1)</f>
        <v>ТЭ.42.28873685.0002</v>
      </c>
      <c r="N154" s="1289"/>
      <c r="O154" s="1289"/>
      <c r="P154" s="1289"/>
      <c r="Q154" s="1289"/>
      <c r="R154" s="1289"/>
      <c r="S154" s="1289" t="s">
        <v>1735</v>
      </c>
      <c r="T154" s="808">
        <f>AND(F154&gt;0,H154="двухставочный")</f>
        <v>0</v>
      </c>
      <c r="U154" s="1582"/>
      <c r="V154" s="1582"/>
      <c r="W154" s="1582"/>
      <c r="X154" s="1582"/>
      <c r="Y154" s="1582"/>
      <c r="Z154" s="1582"/>
      <c r="AA154" s="230"/>
      <c r="AB154" s="663" t="str">
        <f>AB152&amp;".2"</f>
        <v>12.2</v>
      </c>
      <c r="AC154" s="1349" t="s">
        <v>1768</v>
      </c>
      <c r="AD154" s="520" t="s">
        <v>900</v>
      </c>
      <c r="AE154" s="615">
        <f>_xlfn.IFERROR((AE140*1000-AE143*AE153)/AE145,0)</f>
        <v>0</v>
      </c>
      <c r="AF154" s="616"/>
      <c r="AG154" s="616"/>
      <c r="AH154" s="377"/>
      <c r="AI154" s="615">
        <f>_xlfn.IFERROR((AI140*1000-AI143*AI153)/AI145,0)</f>
        <v>0</v>
      </c>
      <c r="AJ154" s="615">
        <f>_xlfn.IFERROR((AJ140*1000-AJ143*AJ153)/AJ145,0)</f>
        <v>0</v>
      </c>
      <c r="AK154" s="615">
        <f>_xlfn.IFERROR((AK140*1000-AK143*AK153)/AK145,0)</f>
        <v>0</v>
      </c>
      <c r="AL154" s="310">
        <f>IF(AI154=0,0,(AK154-AI154)/AI154*100)</f>
        <v>0</v>
      </c>
      <c r="AM154" s="73"/>
      <c r="AN154" s="73"/>
      <c r="AO154" s="73"/>
      <c r="AP154" s="230"/>
      <c r="AQ154" s="230"/>
      <c r="AR154" s="1233" t="s">
        <v>1769</v>
      </c>
      <c r="AS154" s="1271"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M11407::ТЭ.42.28873685.0002::Неопределено::Неопределено::Неопределено::Неопределено::Неопределено::Неопределено::8.0.5.</v>
      </c>
    </row>
    <row s="1632" customFormat="1" customHeight="1" ht="16.5" hidden="1">
      <c r="A155" s="1186"/>
      <c r="B155" s="927"/>
      <c r="C155" s="1301" t="s">
        <v>1770</v>
      </c>
      <c r="D155" s="1260" t="s">
        <v>1771</v>
      </c>
      <c r="E155" s="797">
        <v>17.1</v>
      </c>
      <c r="F155" s="922" cm="1" t="str">
        <f t="array" ref="F155:F155">OFFSET(G155,-1,-1)</f>
        <v>1</v>
      </c>
      <c r="G155" s="230"/>
      <c r="H155" s="193" cm="1" t="str">
        <f t="array" ref="H155:H155">G94</f>
        <v>одноставочный</v>
      </c>
      <c r="I155" s="230"/>
      <c r="J155" s="230"/>
      <c r="K155" s="230"/>
      <c r="L155" s="1289" t="s">
        <v>1923</v>
      </c>
      <c r="M155" s="1287" cm="1" t="str">
        <f t="array" ref="M155:M155">OFFSET(L155,-1,1)</f>
        <v>ТЭ.42.28873685.0002</v>
      </c>
      <c r="N155" s="1289"/>
      <c r="O155" s="1289"/>
      <c r="P155" s="1289"/>
      <c r="Q155" s="1289"/>
      <c r="R155" s="1289"/>
      <c r="S155" s="1289"/>
      <c r="T155" s="808">
        <f>AND(F155&gt;0,H155="двухставочный")</f>
        <v>0</v>
      </c>
      <c r="U155" s="1582"/>
      <c r="V155" s="1582"/>
      <c r="W155" s="1582"/>
      <c r="X155" s="1582"/>
      <c r="Y155" s="1582"/>
      <c r="Z155" s="1582"/>
      <c r="AA155" s="230"/>
      <c r="AB155" s="663" t="str">
        <f>AB152&amp;".3"</f>
        <v>12.3</v>
      </c>
      <c r="AC155" s="315" t="s">
        <v>1773</v>
      </c>
      <c r="AD155" s="520" t="s">
        <v>498</v>
      </c>
      <c r="AE155" s="665">
        <f>_xlfn.IFERROR(AE154/AE153,0)</f>
        <v>0</v>
      </c>
      <c r="AF155" s="616"/>
      <c r="AG155" s="616"/>
      <c r="AH155" s="616"/>
      <c r="AI155" s="665">
        <f>_xlfn.IFERROR(AI154/AI153,0)</f>
        <v>0</v>
      </c>
      <c r="AJ155" s="665">
        <f>_xlfn.IFERROR(AJ154/AJ153,0)</f>
        <v>0</v>
      </c>
      <c r="AK155" s="665">
        <f>_xlfn.IFERROR(AK154/AK153,0)</f>
        <v>0</v>
      </c>
      <c r="AL155" s="377"/>
      <c r="AM155" s="73"/>
      <c r="AN155" s="73"/>
      <c r="AO155" s="73"/>
      <c r="AP155" s="230"/>
      <c r="AQ155" s="230"/>
      <c r="AR155" s="1233" t="s">
        <v>1774</v>
      </c>
      <c r="AS155" s="1271"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M10444::ТЭ.42.28873685.0002::1.0.84.::Неопределено::Неопределено::Неопределено::Неопределено::Неопределено::Неопределено</v>
      </c>
    </row>
    <row s="1632" customFormat="1" customHeight="1" ht="33.75" hidden="1">
      <c r="A156" s="1186"/>
      <c r="B156" s="927"/>
      <c r="C156" s="1301"/>
      <c r="D156" s="1260"/>
      <c r="E156" s="797">
        <v>35</v>
      </c>
      <c r="F156" s="922" cm="1" t="str">
        <f t="array" ref="F156:F156">OFFSET(G156,-1,-1)</f>
        <v>1</v>
      </c>
      <c r="G156" s="230"/>
      <c r="H156" s="193" cm="1" t="str">
        <f t="array" ref="H156:H156">G94</f>
        <v>одноставочный</v>
      </c>
      <c r="I156" s="230"/>
      <c r="J156" s="230"/>
      <c r="K156" s="230"/>
      <c r="L156" s="1289"/>
      <c r="M156" s="1287" cm="1" t="str">
        <f t="array" ref="M156:M156">OFFSET(L156,-1,1)</f>
        <v>ТЭ.42.28873685.0002</v>
      </c>
      <c r="N156" s="1289"/>
      <c r="O156" s="1289"/>
      <c r="P156" s="1289"/>
      <c r="Q156" s="1289"/>
      <c r="R156" s="1289"/>
      <c r="S156" s="1289"/>
      <c r="T156" s="808">
        <f>AND(F156&gt;0,H156="двухставочный")</f>
        <v>0</v>
      </c>
      <c r="U156" s="1582"/>
      <c r="V156" s="1582"/>
      <c r="W156" s="1582"/>
      <c r="X156" s="1582"/>
      <c r="Y156" s="1582"/>
      <c r="Z156" s="1582"/>
      <c r="AA156" s="230"/>
      <c r="AB156" s="286" t="s">
        <v>1702</v>
      </c>
      <c r="AC156" s="163" t="s">
        <v>1775</v>
      </c>
      <c r="AD156" s="622"/>
      <c r="AE156" s="738"/>
      <c r="AF156" s="616"/>
      <c r="AG156" s="616"/>
      <c r="AH156" s="616"/>
      <c r="AI156" s="738"/>
      <c r="AJ156" s="738"/>
      <c r="AK156" s="738"/>
      <c r="AL156" s="377"/>
      <c r="AM156" s="73"/>
      <c r="AN156" s="73"/>
      <c r="AO156" s="73"/>
      <c r="AP156" s="230"/>
      <c r="AQ156" s="230"/>
      <c r="AR156" s="1233" t="s">
        <v>1776</v>
      </c>
      <c r="AS156" s="1339"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M11397::ТЭ.42.28873685.0002::Неопределено::Неопределено::Неопределено::Неопределено::Неопределено::Неопределено::Неопределено</v>
      </c>
    </row>
    <row s="1632" customFormat="1" customHeight="1" ht="16.5" hidden="1">
      <c r="A157" s="1186"/>
      <c r="B157" s="927"/>
      <c r="C157" s="1301" t="s">
        <v>1777</v>
      </c>
      <c r="D157" s="1260" t="s">
        <v>1778</v>
      </c>
      <c r="E157" s="797">
        <v>17.1</v>
      </c>
      <c r="F157" s="922" cm="1" t="str">
        <f t="array" ref="F157:F157">OFFSET(G157,-1,-1)</f>
        <v>1</v>
      </c>
      <c r="G157" s="739" t="s">
        <v>1779</v>
      </c>
      <c r="H157" s="193" cm="1" t="str">
        <f t="array" ref="H157:H157">G94</f>
        <v>одноставочный</v>
      </c>
      <c r="I157" s="230"/>
      <c r="J157" s="230"/>
      <c r="K157" s="230"/>
      <c r="L157" s="1289"/>
      <c r="M157" s="1287" cm="1" t="str">
        <f t="array" ref="M157:M157">OFFSET(L157,-1,1)</f>
        <v>ТЭ.42.28873685.0002</v>
      </c>
      <c r="N157" s="1289"/>
      <c r="O157" s="1289"/>
      <c r="P157" s="1289"/>
      <c r="Q157" s="1289"/>
      <c r="R157" s="1289"/>
      <c r="S157" s="1289"/>
      <c r="T157" s="808">
        <f>AND(F157&gt;0,H157="двухставочный")</f>
        <v>0</v>
      </c>
      <c r="U157" s="1582"/>
      <c r="V157" s="1582"/>
      <c r="W157" s="1582"/>
      <c r="X157" s="1582"/>
      <c r="Y157" s="1582"/>
      <c r="Z157" s="1582"/>
      <c r="AA157" s="230"/>
      <c r="AB157" s="663" t="str">
        <f>AB156&amp;".1"</f>
        <v>13.1</v>
      </c>
      <c r="AC157" s="164" t="s">
        <v>1780</v>
      </c>
      <c r="AD157" s="520" t="s">
        <v>1781</v>
      </c>
      <c r="AE157" s="98"/>
      <c r="AF157" s="616"/>
      <c r="AG157" s="616"/>
      <c r="AH157" s="377"/>
      <c r="AI157" s="98"/>
      <c r="AJ157" s="1868"/>
      <c r="AK157" s="1868"/>
      <c r="AL157" s="310">
        <f>IF(AI157=0,0,(AK157-AI157)/AI157*100)</f>
        <v>0</v>
      </c>
      <c r="AM157" s="73"/>
      <c r="AN157" s="73"/>
      <c r="AO157" s="73"/>
      <c r="AP157" s="230"/>
      <c r="AQ157" s="230"/>
      <c r="AR157" s="1233" t="s">
        <v>1782</v>
      </c>
      <c r="AS157" s="1271"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M11397::ТЭ.42.28873685.0002::Неопределено::Неопределено::Неопределено::Неопределено::Неопределено::Неопределено::Неопределено</v>
      </c>
    </row>
    <row s="1632" customFormat="1" customHeight="1" ht="16.5" hidden="1">
      <c r="A158" s="1186"/>
      <c r="B158" s="927"/>
      <c r="C158" s="1301" t="s">
        <v>1777</v>
      </c>
      <c r="D158" s="1260" t="s">
        <v>1778</v>
      </c>
      <c r="E158" s="797">
        <v>17.1</v>
      </c>
      <c r="F158" s="922" cm="1" t="str">
        <f t="array" ref="F158:F158">OFFSET(G158,-1,-1)</f>
        <v>1</v>
      </c>
      <c r="G158" s="739" t="s">
        <v>1783</v>
      </c>
      <c r="H158" s="193" cm="1" t="str">
        <f t="array" ref="H158:H158">G94</f>
        <v>одноставочный</v>
      </c>
      <c r="I158" s="230"/>
      <c r="J158" s="230"/>
      <c r="K158" s="230"/>
      <c r="L158" s="1289"/>
      <c r="M158" s="1287" cm="1" t="str">
        <f t="array" ref="M158:M158">OFFSET(L158,-1,1)</f>
        <v>ТЭ.42.28873685.0002</v>
      </c>
      <c r="N158" s="1289"/>
      <c r="O158" s="1289"/>
      <c r="P158" s="1289"/>
      <c r="Q158" s="1289"/>
      <c r="R158" s="1289"/>
      <c r="S158" s="1289"/>
      <c r="T158" s="808">
        <f>AND(F158&gt;0,H158="двухставочный")</f>
        <v>0</v>
      </c>
      <c r="U158" s="1582"/>
      <c r="V158" s="1582"/>
      <c r="W158" s="1582"/>
      <c r="X158" s="1582"/>
      <c r="Y158" s="1582"/>
      <c r="Z158" s="1582"/>
      <c r="AA158" s="230"/>
      <c r="AB158" s="663" t="str">
        <f>AB156&amp;".2"</f>
        <v>13.2</v>
      </c>
      <c r="AC158" s="164" t="s">
        <v>1784</v>
      </c>
      <c r="AD158" s="520" t="s">
        <v>1781</v>
      </c>
      <c r="AE158" s="310">
        <f>_xlfn.IFERROR((AE141-AE150*6*AE157)/AE151/6,0)</f>
        <v>0</v>
      </c>
      <c r="AF158" s="616"/>
      <c r="AG158" s="616"/>
      <c r="AH158" s="377"/>
      <c r="AI158" s="310">
        <f>_xlfn.IFERROR((AI141-AI150*6*AI157)/AI151/6,0)</f>
        <v>0</v>
      </c>
      <c r="AJ158" s="310">
        <f>_xlfn.IFERROR((AJ141-AJ150*IF(god=2026,9,6)*AJ157)/AJ151/IF(god=2026,3,6),0)</f>
        <v>0</v>
      </c>
      <c r="AK158" s="310">
        <f>_xlfn.IFERROR((AK141-AK150*IF(god=2026,9,6)*AK157)/AK151/IF(god=2026,3,6),0)</f>
        <v>0</v>
      </c>
      <c r="AL158" s="310">
        <f>IF(AI158=0,0,(AK158-AI158)/AI158*100)</f>
        <v>0</v>
      </c>
      <c r="AM158" s="73"/>
      <c r="AN158" s="73"/>
      <c r="AO158" s="73"/>
      <c r="AP158" s="230"/>
      <c r="AQ158" s="230"/>
      <c r="AR158" s="1233" t="s">
        <v>1785</v>
      </c>
      <c r="AS158" s="1271"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M11397::ТЭ.42.28873685.0002::Неопределено::Неопределено::Неопределено::Неопределено::Неопределено::Неопределено::Неопределено</v>
      </c>
    </row>
    <row s="1632" customFormat="1" customHeight="1" ht="16.5" hidden="1">
      <c r="A159" s="1186"/>
      <c r="B159" s="927"/>
      <c r="C159" s="1301" t="s">
        <v>1770</v>
      </c>
      <c r="D159" s="1260" t="s">
        <v>1771</v>
      </c>
      <c r="E159" s="797">
        <v>17.1</v>
      </c>
      <c r="F159" s="922" cm="1" t="str">
        <f t="array" ref="F159:F159">OFFSET(G159,-1,-1)</f>
        <v>1</v>
      </c>
      <c r="G159" s="230"/>
      <c r="H159" s="193" cm="1" t="str">
        <f t="array" ref="H159:H159">G94</f>
        <v>одноставочный</v>
      </c>
      <c r="I159" s="230"/>
      <c r="J159" s="230"/>
      <c r="K159" s="230"/>
      <c r="L159" s="1289"/>
      <c r="M159" s="1287" cm="1" t="str">
        <f t="array" ref="M159:M159">OFFSET(L159,-1,1)</f>
        <v>ТЭ.42.28873685.0002</v>
      </c>
      <c r="N159" s="1289"/>
      <c r="O159" s="1289"/>
      <c r="P159" s="1289"/>
      <c r="Q159" s="1289"/>
      <c r="R159" s="1289" t="s">
        <v>1786</v>
      </c>
      <c r="S159" s="1289"/>
      <c r="T159" s="808">
        <f>AND(F159&gt;0,H159="двухставочный")</f>
        <v>0</v>
      </c>
      <c r="U159" s="1582"/>
      <c r="V159" s="1582"/>
      <c r="W159" s="1582"/>
      <c r="X159" s="1582"/>
      <c r="Y159" s="1582"/>
      <c r="Z159" s="1582"/>
      <c r="AA159" s="230"/>
      <c r="AB159" s="663" t="str">
        <f>AB156&amp;".3"</f>
        <v>13.3</v>
      </c>
      <c r="AC159" s="315" t="s">
        <v>1787</v>
      </c>
      <c r="AD159" s="520" t="s">
        <v>498</v>
      </c>
      <c r="AE159" s="665">
        <f>_xlfn.IFERROR(AE158/AE157,0)</f>
        <v>0</v>
      </c>
      <c r="AF159" s="1022"/>
      <c r="AG159" s="616"/>
      <c r="AH159" s="616"/>
      <c r="AI159" s="665">
        <f>_xlfn.IFERROR(AI158/AI157,0)</f>
        <v>0</v>
      </c>
      <c r="AJ159" s="665">
        <f>_xlfn.IFERROR(AJ158/AJ157,0)</f>
        <v>0</v>
      </c>
      <c r="AK159" s="665">
        <f>_xlfn.IFERROR(AK158/AK157,0)</f>
        <v>0</v>
      </c>
      <c r="AL159" s="377"/>
      <c r="AM159" s="73"/>
      <c r="AN159" s="73"/>
      <c r="AO159" s="73"/>
      <c r="AP159" s="230"/>
      <c r="AQ159" s="230"/>
      <c r="AR159" s="1233" t="s">
        <v>1788</v>
      </c>
      <c r="AS159" s="1271"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M10444::ТЭ.42.28873685.0002::Неопределено::Неопределено::Неопределено::Неопределено::Неопределено::225.0.1.::Неопределено</v>
      </c>
    </row>
    <row s="1632" customFormat="1" customHeight="1" ht="29.25">
      <c r="A160" s="1186"/>
      <c r="B160" s="927"/>
      <c r="C160" s="1301" t="s">
        <v>1789</v>
      </c>
      <c r="D160" s="1260" t="s">
        <v>1790</v>
      </c>
      <c r="E160" s="797">
        <v>30</v>
      </c>
      <c r="F160" s="922" cm="1" t="str">
        <f t="array" ref="F160:F160">OFFSET(G160,-1,-1)</f>
        <v>1</v>
      </c>
      <c r="G160" s="230"/>
      <c r="H160" s="230"/>
      <c r="I160" s="230"/>
      <c r="J160" s="230"/>
      <c r="K160" s="230"/>
      <c r="L160" s="1289"/>
      <c r="M160" s="1287" cm="1" t="str">
        <f t="array" ref="M160:M160">OFFSET(L160,-1,1)</f>
        <v>ТЭ.42.28873685.0002</v>
      </c>
      <c r="N160" s="1289"/>
      <c r="O160" s="1289"/>
      <c r="P160" s="1289"/>
      <c r="Q160" s="1289"/>
      <c r="R160" s="1289"/>
      <c r="S160" s="1289"/>
      <c r="T160" s="808" cm="1" t="str">
        <f t="array" ref="T160:T160">T139</f>
        <v>true</v>
      </c>
      <c r="U160" s="1582"/>
      <c r="V160" s="1582"/>
      <c r="W160" s="1582"/>
      <c r="X160" s="1582"/>
      <c r="Y160" s="1582"/>
      <c r="Z160" s="1582"/>
      <c r="AA160" s="230"/>
      <c r="AB160" s="288" t="s">
        <v>1707</v>
      </c>
      <c r="AC160" s="1062" t="s">
        <v>1792</v>
      </c>
      <c r="AD160" s="580" t="s">
        <v>1023</v>
      </c>
      <c r="AE160" s="1868"/>
      <c r="AF160" s="1956"/>
      <c r="AG160" s="1956"/>
      <c r="AH160" s="310">
        <f>AG160-AF160</f>
        <v>0</v>
      </c>
      <c r="AI160" s="1868"/>
      <c r="AJ160" s="1868"/>
      <c r="AK160" s="1868"/>
      <c r="AL160" s="310">
        <f>IF(AI160=0,0,(AK160-AI160)/AI160*100)</f>
        <v>0</v>
      </c>
      <c r="AM160" s="1719"/>
      <c r="AN160" s="1719"/>
      <c r="AO160" s="1719"/>
      <c r="AP160" s="230"/>
      <c r="AQ160" s="230"/>
      <c r="AR160" s="1233" t="s">
        <v>1793</v>
      </c>
      <c r="AS160" s="1271"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M10591::ТЭ.42.28873685.0002::Неопределено::Неопределено::Неопределено::Неопределено::Неопределено::Неопределено::Неопределено</v>
      </c>
    </row>
    <row customHeight="1" ht="9.945">
      <c r="E161" s="797">
        <v>10.2</v>
      </c>
      <c r="U161" s="179" t="s">
        <v>236</v>
      </c>
      <c r="V161" s="171" t="s">
        <v>1924</v>
      </c>
      <c r="AJ161" s="230"/>
      <c r="AK161" s="230"/>
      <c r="AL161" s="230"/>
    </row>
    <row customHeight="1" ht="11.25" hidden="1">
      <c r="E162" s="797">
        <v>0</v>
      </c>
      <c r="AJ162" s="230"/>
      <c r="AK162" s="230"/>
      <c r="AL162" s="230"/>
    </row>
    <row customHeight="1" ht="14.625">
      <c r="E163" s="797">
        <v>15</v>
      </c>
      <c r="AB163" s="1530" t="s">
        <v>705</v>
      </c>
      <c r="AC163" s="1530"/>
      <c r="AD163" s="1530"/>
      <c r="AE163" s="1530"/>
      <c r="AF163" s="1530"/>
      <c r="AG163" s="1530"/>
      <c r="AH163" s="1530"/>
      <c r="AI163" s="1530"/>
      <c r="AJ163" s="1530"/>
      <c r="AK163" s="1530"/>
      <c r="AL163" s="1530"/>
      <c r="AM163" s="1530"/>
      <c r="AN163" s="1530"/>
      <c r="AO163" s="1530"/>
    </row>
    <row customHeight="1" ht="14.625">
      <c r="E164" s="797">
        <v>15</v>
      </c>
      <c r="AA164" s="921"/>
      <c r="AB164" s="1543"/>
      <c r="AC164" s="1544"/>
      <c r="AD164" s="1544"/>
      <c r="AE164" s="1544"/>
      <c r="AF164" s="1544"/>
      <c r="AG164" s="1544"/>
      <c r="AH164" s="1544"/>
      <c r="AI164" s="1544"/>
      <c r="AJ164" s="1544"/>
      <c r="AK164" s="1544"/>
      <c r="AL164" s="1544"/>
      <c r="AM164" s="1544"/>
      <c r="AN164" s="1544"/>
      <c r="AO164" s="1544"/>
    </row>
    <row customHeight="1" ht="14.625" hidden="1">
      <c r="A165" s="1186"/>
      <c r="B165" s="927"/>
      <c r="C165" s="1306"/>
      <c r="D165" s="1266"/>
      <c r="E165" s="797">
        <v>15</v>
      </c>
      <c r="F165" s="228"/>
      <c r="G165" s="230"/>
      <c r="H165" s="230"/>
      <c r="I165" s="230"/>
      <c r="J165" s="230"/>
      <c r="K165" s="230"/>
      <c r="L165" s="1331"/>
      <c r="M165" s="1331"/>
      <c r="N165" s="1331"/>
      <c r="O165" s="1331"/>
      <c r="P165" s="1331"/>
      <c r="Q165" s="1331"/>
      <c r="R165" s="1331"/>
      <c r="S165" s="1331"/>
      <c r="T165" s="808">
        <f>ROW(W165)&gt;ROW(W$165)</f>
        <v>0</v>
      </c>
      <c r="U165" s="1582"/>
      <c r="V165" s="1582"/>
      <c r="W165" s="175" t="s">
        <v>234</v>
      </c>
      <c r="X165" s="1582"/>
      <c r="Y165" s="1582"/>
      <c r="Z165" s="1582"/>
      <c r="AA165" s="1018" t="s">
        <v>218</v>
      </c>
      <c r="AB165" s="1932"/>
      <c r="AC165" s="1544"/>
      <c r="AD165" s="1544"/>
      <c r="AE165" s="1544"/>
      <c r="AF165" s="1544"/>
      <c r="AG165" s="1544"/>
      <c r="AH165" s="1544"/>
      <c r="AI165" s="1544"/>
      <c r="AJ165" s="1544"/>
      <c r="AK165" s="1544"/>
      <c r="AL165" s="1544"/>
      <c r="AM165" s="1544"/>
      <c r="AN165" s="1544"/>
      <c r="AO165" s="1544"/>
      <c r="AP165" s="230"/>
      <c r="AQ165" s="230"/>
      <c r="AR165" s="1233"/>
      <c r="AS165" s="1333"/>
    </row>
    <row customHeight="1" ht="14.625">
      <c r="E166" s="797">
        <v>15</v>
      </c>
      <c r="W166" s="171" t="s">
        <v>235</v>
      </c>
      <c r="AA166" s="213"/>
      <c r="AB166" s="1478" t="s">
        <v>706</v>
      </c>
      <c r="AC166" s="1479"/>
      <c r="AD166" s="383"/>
      <c r="AE166" s="383"/>
      <c r="AF166" s="383"/>
      <c r="AG166" s="383"/>
      <c r="AH166" s="383"/>
      <c r="AI166" s="383"/>
      <c r="AJ166" s="383"/>
      <c r="AK166" s="383"/>
      <c r="AL166" s="383"/>
      <c r="AM166" s="383"/>
      <c r="AN166" s="383"/>
      <c r="AO166" s="350"/>
    </row>
    <row customHeight="1" ht="11.25">
      <c r="AJ167" s="230"/>
      <c r="AK167" s="230"/>
      <c r="AL167" s="230"/>
      <c r="AP167" s="230"/>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C32728-5DF4-FA78-B748-82F5723804A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38" style="1235" width="9.140625" hidden="1"/>
  </cols>
  <sheetData>
    <row s="228" customFormat="1" customHeight="1" ht="12" hidden="1">
      <c r="A1" s="1186"/>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372</v>
      </c>
      <c r="Z1" s="808" t="s">
        <v>93</v>
      </c>
      <c r="AA1" s="819" t="s">
        <v>90</v>
      </c>
      <c r="AB1" s="819" t="s">
        <v>92</v>
      </c>
      <c r="AL1" s="1235" t="s">
        <v>373</v>
      </c>
    </row>
    <row s="927" customFormat="1" customHeight="1" ht="12" hidden="1">
      <c r="A2" s="1194"/>
      <c r="B2" s="910" t="s">
        <v>15</v>
      </c>
      <c r="G2" s="930"/>
      <c r="H2" s="930"/>
      <c r="I2" s="930"/>
      <c r="J2" s="930"/>
      <c r="K2" s="930"/>
      <c r="L2" s="930"/>
      <c r="M2" s="930"/>
      <c r="N2" s="930"/>
      <c r="O2" s="930"/>
      <c r="P2" s="930"/>
      <c r="Q2" s="930"/>
      <c r="R2" s="930"/>
      <c r="S2" s="930"/>
      <c r="AC2" s="792"/>
      <c r="AL2" s="1176"/>
    </row>
    <row s="228" customFormat="1" customHeight="1" ht="12" hidden="1">
      <c r="A3" s="1186"/>
      <c r="B3" s="788"/>
      <c r="E3" s="788"/>
      <c r="G3" s="230"/>
      <c r="H3" s="230"/>
      <c r="I3" s="230"/>
      <c r="J3" s="230"/>
      <c r="K3" s="230"/>
      <c r="L3" s="230"/>
      <c r="M3" s="230"/>
      <c r="N3" s="230"/>
      <c r="O3" s="230"/>
      <c r="P3" s="230"/>
      <c r="Q3" s="193"/>
      <c r="R3" s="193"/>
      <c r="S3" s="230"/>
      <c r="T3" s="175"/>
      <c r="U3" s="175"/>
      <c r="V3" s="175"/>
      <c r="W3" s="175"/>
      <c r="X3" s="175"/>
      <c r="Y3" s="175"/>
      <c r="Z3" s="175"/>
      <c r="AC3" s="232"/>
      <c r="AL3" s="1235"/>
    </row>
    <row s="228" customFormat="1" customHeight="1" ht="12" hidden="1">
      <c r="A4" s="1186"/>
      <c r="B4" s="788"/>
      <c r="E4" s="788"/>
      <c r="G4" s="230"/>
      <c r="H4" s="230"/>
      <c r="I4" s="230"/>
      <c r="J4" s="230"/>
      <c r="K4" s="230"/>
      <c r="L4" s="230"/>
      <c r="M4" s="230"/>
      <c r="N4" s="230"/>
      <c r="O4" s="230"/>
      <c r="P4" s="230"/>
      <c r="Q4" s="193"/>
      <c r="R4" s="193"/>
      <c r="S4" s="230"/>
      <c r="T4" s="175"/>
      <c r="U4" s="175"/>
      <c r="V4" s="175"/>
      <c r="W4" s="175"/>
      <c r="X4" s="175"/>
      <c r="Y4" s="175"/>
      <c r="Z4" s="175"/>
      <c r="AC4" s="232"/>
      <c r="AL4" s="1235"/>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15</v>
      </c>
      <c r="AF5" s="797">
        <v>15</v>
      </c>
      <c r="AG5" s="797">
        <v>19</v>
      </c>
      <c r="AH5" s="797">
        <v>17.25</v>
      </c>
      <c r="AI5" s="797">
        <v>31.25</v>
      </c>
      <c r="AJ5" s="797">
        <v>3</v>
      </c>
      <c r="AL5" s="1176"/>
    </row>
    <row s="228" customFormat="1" customHeight="1" ht="12" hidden="1">
      <c r="A6" s="1186"/>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cm="1" t="str">
        <f t="array" ref="AF6:AF6">god</f>
        <v>2026</v>
      </c>
      <c r="AL6" s="1235"/>
    </row>
    <row customHeight="1" ht="12" hidden="1">
      <c r="F7" s="230"/>
      <c r="T7" s="213"/>
      <c r="U7" s="213"/>
      <c r="V7" s="213"/>
      <c r="W7" s="213"/>
      <c r="X7" s="213"/>
      <c r="Y7" s="213"/>
      <c r="Z7" s="213"/>
      <c r="AB7" s="230"/>
      <c r="AD7" s="230"/>
      <c r="AE7" s="213" cm="1" t="str">
        <f t="array" ref="AE7:AE7">AE25</f>
        <v>Предложение организации</v>
      </c>
      <c r="AF7" s="213" cm="1" t="str">
        <f t="array" ref="AF7:AF7">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234" customFormat="1" customHeight="1" ht="12" hidden="1">
      <c r="A9" s="1161" t="s">
        <v>437</v>
      </c>
      <c r="B9" s="1154"/>
      <c r="E9" s="1154"/>
      <c r="Q9" s="1212"/>
      <c r="R9" s="1212"/>
      <c r="T9" s="1162"/>
      <c r="U9" s="1162"/>
      <c r="V9" s="1162"/>
      <c r="W9" s="1162"/>
      <c r="X9" s="1162"/>
      <c r="Y9" s="1162"/>
      <c r="Z9" s="1162"/>
      <c r="AE9" s="1234">
        <f>god-2</f>
        <v>2024</v>
      </c>
      <c r="AF9" s="1234" cm="1" t="str">
        <f t="array" ref="AF9:AF9">god</f>
        <v>2026</v>
      </c>
      <c r="AL9" s="1235"/>
    </row>
    <row s="1234" customFormat="1" customHeight="1" ht="12" hidden="1">
      <c r="A10" s="1161" t="s">
        <v>438</v>
      </c>
      <c r="B10" s="1154"/>
      <c r="E10" s="1154"/>
      <c r="Q10" s="1212"/>
      <c r="R10" s="1212"/>
      <c r="T10" s="1162"/>
      <c r="U10" s="1162"/>
      <c r="V10" s="1162"/>
      <c r="W10" s="1162"/>
      <c r="X10" s="1162"/>
      <c r="Y10" s="1162"/>
      <c r="Z10" s="1162"/>
      <c r="AE10" s="1234" cm="1" t="str">
        <f t="array" ref="AE10:AE10">AE25</f>
        <v>Предложение организации</v>
      </c>
      <c r="AF10" s="1234" cm="1" t="str">
        <f t="array" ref="AF10:AF10">AF25</f>
        <v>Версия органа регулирования</v>
      </c>
      <c r="AL10" s="1235"/>
    </row>
    <row s="1234" customFormat="1" customHeight="1" ht="12" hidden="1">
      <c r="A11" s="1161" t="s">
        <v>439</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G11" s="1234" cm="1" t="str">
        <f t="array" ref="AG11:AG11">AG24</f>
        <v>Указание на подтверждающие документы / URL-ссылка на копии подтверждающих документов</v>
      </c>
      <c r="AH11" s="1234" cm="1" t="str">
        <f t="array" ref="AH11:AH11">AH24</f>
        <v>Ссылка на правовую норму (основание для принятия показателя в расчет тарифа)</v>
      </c>
      <c r="AI11" s="1234"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5"/>
    </row>
    <row s="228" customFormat="1" customHeight="1" ht="12" hidden="1">
      <c r="A12" s="1186"/>
      <c r="B12" s="788"/>
      <c r="E12" s="797"/>
      <c r="G12" s="230"/>
      <c r="H12" s="230"/>
      <c r="I12" s="230"/>
      <c r="J12" s="230"/>
      <c r="K12" s="230"/>
      <c r="L12" s="230"/>
      <c r="M12" s="230"/>
      <c r="N12" s="230"/>
      <c r="O12" s="230"/>
      <c r="P12" s="230"/>
      <c r="Q12" s="193"/>
      <c r="R12" s="193"/>
      <c r="S12" s="230"/>
      <c r="T12" s="175"/>
      <c r="U12" s="175"/>
      <c r="V12" s="175"/>
      <c r="W12" s="175"/>
      <c r="X12" s="175"/>
      <c r="Y12" s="175"/>
      <c r="Z12" s="175"/>
      <c r="AC12" s="232"/>
      <c r="AL12" s="1235"/>
    </row>
    <row s="228" customFormat="1" customHeight="1" ht="12" hidden="1">
      <c r="A13" s="1186"/>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L13" s="1235"/>
    </row>
    <row s="228" customFormat="1" customHeight="1" ht="12" hidden="1">
      <c r="A14" s="1186"/>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L14" s="1235"/>
    </row>
    <row s="228" customFormat="1" customHeight="1" ht="12" hidden="1">
      <c r="A15" s="1186"/>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L15" s="1235"/>
    </row>
    <row s="228" customFormat="1" customHeight="1" ht="12" hidden="1">
      <c r="A16" s="1186"/>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L16" s="1235"/>
    </row>
    <row s="228" customFormat="1" customHeight="1" ht="12" hidden="1">
      <c r="A17" s="1186"/>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L17" s="1235"/>
    </row>
    <row s="228" customFormat="1" customHeight="1" ht="12" hidden="1">
      <c r="A18" s="1186"/>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L18" s="1235"/>
    </row>
    <row s="228" customFormat="1" customHeight="1" ht="12" hidden="1">
      <c r="A19" s="1186"/>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L19" s="1235"/>
    </row>
    <row s="228" customFormat="1" customHeight="1" ht="12" hidden="1">
      <c r="A20" s="1186"/>
      <c r="B20" s="788"/>
      <c r="E20" s="797"/>
      <c r="G20" s="230"/>
      <c r="H20" s="230"/>
      <c r="I20" s="230"/>
      <c r="J20" s="230"/>
      <c r="K20" s="230"/>
      <c r="L20" s="230"/>
      <c r="M20" s="230"/>
      <c r="N20" s="230"/>
      <c r="O20" s="230"/>
      <c r="P20" s="230"/>
      <c r="Q20" s="193"/>
      <c r="R20" s="193"/>
      <c r="S20" s="230"/>
      <c r="T20" s="175"/>
      <c r="U20" s="175"/>
      <c r="V20" s="175"/>
      <c r="W20" s="175"/>
      <c r="X20" s="175"/>
      <c r="Y20" s="175"/>
      <c r="Z20" s="175"/>
      <c r="AC20" s="232"/>
      <c r="AL20" s="1235"/>
    </row>
    <row customHeight="1" ht="14.625">
      <c r="E21" s="797">
        <v>15</v>
      </c>
      <c r="AA21" s="820"/>
      <c r="AB21" s="230"/>
      <c r="AC21" s="403" cm="1" t="str">
        <f t="array" ref="AC21:AC21">tpl_title</f>
        <v>Кемеровская область / 2026 / ООО "ВЕЛЕС" (ИНН:4212036655, КПП:421201001) / ДПР: 2016-2025</v>
      </c>
      <c r="AD21" s="230"/>
    </row>
    <row s="1535" customFormat="1" customHeight="1" ht="33.15">
      <c r="A22" s="988"/>
      <c r="B22" s="788"/>
      <c r="C22" s="183"/>
      <c r="D22" s="183"/>
      <c r="E22" s="797">
        <v>34</v>
      </c>
      <c r="F22" s="183"/>
      <c r="Q22" s="193"/>
      <c r="R22" s="193"/>
      <c r="T22" s="179"/>
      <c r="U22" s="179"/>
      <c r="V22" s="179"/>
      <c r="W22" s="179"/>
      <c r="X22" s="179"/>
      <c r="Y22" s="179"/>
      <c r="Z22" s="179"/>
      <c r="AB22" s="1558" t="s">
        <v>1925</v>
      </c>
      <c r="AC22" s="1558"/>
      <c r="AD22" s="1558"/>
      <c r="AE22" s="1558"/>
      <c r="AF22" s="1558"/>
      <c r="AG22" s="1558"/>
      <c r="AH22" s="1558"/>
      <c r="AI22" s="1558"/>
      <c r="AL22" s="1192"/>
    </row>
    <row s="1535" customFormat="1" customHeight="1" ht="9.945">
      <c r="A23" s="988"/>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L23" s="1192"/>
    </row>
    <row s="229" customFormat="1" customHeight="1" ht="24.180000000000003">
      <c r="A24" s="332"/>
      <c r="B24" s="792"/>
      <c r="C24" s="232"/>
      <c r="D24" s="232"/>
      <c r="E24" s="803">
        <v>24.8</v>
      </c>
      <c r="F24" s="232"/>
      <c r="Q24" s="932"/>
      <c r="R24" s="932"/>
      <c r="T24" s="171"/>
      <c r="U24" s="171"/>
      <c r="V24" s="171"/>
      <c r="W24" s="171"/>
      <c r="X24" s="171"/>
      <c r="Y24" s="171"/>
      <c r="Z24" s="171"/>
      <c r="AB24" s="1559" t="s">
        <v>386</v>
      </c>
      <c r="AC24" s="1547" t="s">
        <v>440</v>
      </c>
      <c r="AD24" s="1547" t="s">
        <v>441</v>
      </c>
      <c r="AE24" s="1364" t="str">
        <f>god-2&amp;" год"</f>
        <v>2024 год</v>
      </c>
      <c r="AF24" s="157" t="str">
        <f>god-2&amp;" год"</f>
        <v>2024 год</v>
      </c>
      <c r="AG24" s="1546" t="s">
        <v>1290</v>
      </c>
      <c r="AH24" s="1546" t="s">
        <v>595</v>
      </c>
      <c r="AI24" s="1546" t="s">
        <v>1291</v>
      </c>
      <c r="AL24" s="1235"/>
    </row>
    <row s="229" customFormat="1" customHeight="1" ht="44.655">
      <c r="A25" s="332"/>
      <c r="B25" s="792"/>
      <c r="C25" s="232"/>
      <c r="D25" s="232"/>
      <c r="E25" s="803">
        <v>45.8</v>
      </c>
      <c r="F25" s="232"/>
      <c r="Q25" s="932"/>
      <c r="R25" s="932"/>
      <c r="T25" s="171"/>
      <c r="U25" s="171"/>
      <c r="V25" s="171"/>
      <c r="W25" s="171"/>
      <c r="X25" s="171"/>
      <c r="Y25" s="171"/>
      <c r="Z25" s="171"/>
      <c r="AB25" s="1560"/>
      <c r="AC25" s="1547"/>
      <c r="AD25" s="1547"/>
      <c r="AE25" s="1366" t="s">
        <v>403</v>
      </c>
      <c r="AF25" s="157" t="s">
        <v>1554</v>
      </c>
      <c r="AG25" s="1546"/>
      <c r="AH25" s="1546"/>
      <c r="AI25" s="1546"/>
      <c r="AL25" s="1235"/>
    </row>
    <row s="229" customFormat="1" customHeight="1" ht="14.25" hidden="1">
      <c r="A26" s="332"/>
      <c r="B26" s="792"/>
      <c r="C26" s="232"/>
      <c r="D26" s="232"/>
      <c r="E26" s="803">
        <v>0</v>
      </c>
      <c r="F26" s="232"/>
      <c r="Q26" s="932"/>
      <c r="R26" s="932"/>
      <c r="T26" s="171"/>
      <c r="U26" s="171"/>
      <c r="V26" s="171"/>
      <c r="W26" s="171"/>
      <c r="X26" s="171"/>
      <c r="Y26" s="171"/>
      <c r="Z26" s="171"/>
      <c r="AB26" s="712"/>
      <c r="AC26" s="712"/>
      <c r="AD26" s="712"/>
      <c r="AE26" s="171"/>
      <c r="AF26" s="171"/>
      <c r="AG26" s="232"/>
      <c r="AH26" s="232"/>
      <c r="AI26" s="232"/>
      <c r="AL26" s="1235"/>
    </row>
    <row s="220" customFormat="1" customHeight="1" ht="16.672500000000003" hidden="1">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T27" s="808">
        <f>X27&gt;0</f>
        <v>0</v>
      </c>
      <c r="V27" s="175" t="s">
        <v>310</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L27" s="1184"/>
    </row>
    <row s="220" customFormat="1" customHeight="1" ht="16.672500000000003" hidden="1">
      <c r="E28" s="797">
        <v>17.1</v>
      </c>
      <c r="F28" s="922" cm="1" t="str">
        <f t="array" ref="F28:F28">OFFSET(G28,-1,-1)</f>
        <v>0</v>
      </c>
      <c r="T28" s="808" cm="1" t="str">
        <f t="array" ref="T28:T28">T27</f>
        <v>false</v>
      </c>
      <c r="AB28" s="610">
        <v>1</v>
      </c>
      <c r="AC28" s="1027" t="s">
        <v>1926</v>
      </c>
      <c r="AD28" s="1028"/>
      <c r="AE28" s="1028"/>
      <c r="AF28" s="1028"/>
      <c r="AG28" s="1028"/>
      <c r="AH28" s="1028"/>
      <c r="AI28" s="1028"/>
      <c r="AL28" s="1184"/>
    </row>
    <row s="220" customFormat="1" customHeight="1" ht="43.875" hidden="1">
      <c r="E29" s="797">
        <v>45</v>
      </c>
      <c r="F29" s="922" cm="1" t="str">
        <f t="array" ref="F29:F29">OFFSET(G29,-1,-1)</f>
        <v>0</v>
      </c>
      <c r="T29" s="808" cm="1" t="str">
        <f t="array" ref="T29:T29">T28</f>
        <v>false</v>
      </c>
      <c r="AB29" s="610" t="s">
        <v>1927</v>
      </c>
      <c r="AC29" s="289" t="s">
        <v>1928</v>
      </c>
      <c r="AD29" s="154" t="s">
        <v>1402</v>
      </c>
      <c r="AE29" s="61"/>
      <c r="AF29" s="61"/>
      <c r="AG29" s="140"/>
      <c r="AH29" s="140"/>
      <c r="AI29" s="59"/>
      <c r="AL29" s="1184" t="s">
        <v>1929</v>
      </c>
    </row>
    <row s="220" customFormat="1" customHeight="1" ht="43.875" hidden="1">
      <c r="E30" s="797">
        <v>45</v>
      </c>
      <c r="F30" s="922" cm="1" t="str">
        <f t="array" ref="F30:F30">OFFSET(G30,-1,-1)</f>
        <v>0</v>
      </c>
      <c r="T30" s="808" cm="1" t="str">
        <f t="array" ref="T30:T30">T29</f>
        <v>false</v>
      </c>
      <c r="AB30" s="610" t="s">
        <v>1930</v>
      </c>
      <c r="AC30" s="289" t="s">
        <v>1931</v>
      </c>
      <c r="AD30" s="154" t="s">
        <v>466</v>
      </c>
      <c r="AE30" s="61"/>
      <c r="AF30" s="61"/>
      <c r="AG30" s="140"/>
      <c r="AH30" s="140"/>
      <c r="AI30" s="59"/>
      <c r="AL30" s="1184" t="s">
        <v>1932</v>
      </c>
    </row>
    <row s="220" customFormat="1" customHeight="1" ht="39" hidden="1">
      <c r="E31" s="797">
        <v>40</v>
      </c>
      <c r="F31" s="922" cm="1" t="str">
        <f t="array" ref="F31:F31">OFFSET(G31,-1,-1)</f>
        <v>0</v>
      </c>
      <c r="T31" s="808" cm="1" t="str">
        <f t="array" ref="T31:T31">T30</f>
        <v>false</v>
      </c>
      <c r="AB31" s="610" t="s">
        <v>1933</v>
      </c>
      <c r="AC31" s="289" t="s">
        <v>1934</v>
      </c>
      <c r="AD31" s="154" t="s">
        <v>1935</v>
      </c>
      <c r="AE31" s="61">
        <f>_xlfn.IFERROR(AE29/AE30,0)</f>
        <v>0</v>
      </c>
      <c r="AF31" s="61">
        <f>_xlfn.IFERROR(AF29/AF30,0)</f>
        <v>0</v>
      </c>
      <c r="AG31" s="140"/>
      <c r="AH31" s="140"/>
      <c r="AI31" s="59"/>
      <c r="AL31" s="1184" t="s">
        <v>1936</v>
      </c>
    </row>
    <row s="220" customFormat="1" customHeight="1" ht="16.672500000000003" hidden="1">
      <c r="E32" s="797">
        <v>17.1</v>
      </c>
      <c r="F32" s="922" cm="1" t="str">
        <f t="array" ref="F32:F32">OFFSET(G32,-1,-1)</f>
        <v>0</v>
      </c>
      <c r="T32" s="808" cm="1" t="str">
        <f t="array" ref="T32:T32">T31</f>
        <v>false</v>
      </c>
      <c r="AB32" s="610" t="s">
        <v>1937</v>
      </c>
      <c r="AC32" s="289" t="s">
        <v>1938</v>
      </c>
      <c r="AD32" s="154" t="s">
        <v>498</v>
      </c>
      <c r="AE32" s="141"/>
      <c r="AF32" s="141"/>
      <c r="AG32" s="140"/>
      <c r="AH32" s="140"/>
      <c r="AI32" s="59"/>
      <c r="AL32" s="1184" t="s">
        <v>1939</v>
      </c>
    </row>
    <row s="220" customFormat="1" customHeight="1" ht="39" hidden="1">
      <c r="E33" s="797">
        <v>40</v>
      </c>
      <c r="F33" s="922" cm="1" t="str">
        <f t="array" ref="F33:F33">OFFSET(G33,-1,-1)</f>
        <v>0</v>
      </c>
      <c r="T33" s="808" cm="1" t="str">
        <f t="array" ref="T33:T33">T32</f>
        <v>false</v>
      </c>
      <c r="AB33" s="1031" t="s">
        <v>1940</v>
      </c>
      <c r="AC33" s="1029" t="s">
        <v>1941</v>
      </c>
      <c r="AD33" s="1030" t="s">
        <v>1935</v>
      </c>
      <c r="AE33" s="62"/>
      <c r="AF33" s="62"/>
      <c r="AG33" s="142"/>
      <c r="AH33" s="142"/>
      <c r="AI33" s="143"/>
      <c r="AL33" s="1184" t="s">
        <v>1942</v>
      </c>
    </row>
    <row s="220" customFormat="1" customHeight="1" ht="16.672500000000003" hidden="1">
      <c r="E34" s="797">
        <v>17.1</v>
      </c>
      <c r="F34" s="922" cm="1" t="str">
        <f t="array" ref="F34:F34">OFFSET(G34,-1,-1)</f>
        <v>0</v>
      </c>
      <c r="T34" s="808" cm="1" t="str">
        <f t="array" ref="T34:T34">T33</f>
        <v>false</v>
      </c>
      <c r="AB34" s="154">
        <v>2</v>
      </c>
      <c r="AC34" s="1027" t="s">
        <v>1943</v>
      </c>
      <c r="AD34" s="1028"/>
      <c r="AE34" s="1049"/>
      <c r="AF34" s="1049"/>
      <c r="AG34" s="1028"/>
      <c r="AH34" s="1028"/>
      <c r="AI34" s="1028"/>
      <c r="AL34" s="1184"/>
    </row>
    <row s="220" customFormat="1" customHeight="1" ht="43.875" hidden="1">
      <c r="E35" s="797">
        <v>45</v>
      </c>
      <c r="F35" s="922" cm="1" t="str">
        <f t="array" ref="F35:F35">OFFSET(G35,-1,-1)</f>
        <v>0</v>
      </c>
      <c r="T35" s="808" cm="1" t="str">
        <f t="array" ref="T35:T35">T34</f>
        <v>false</v>
      </c>
      <c r="AB35" s="154" t="s">
        <v>1944</v>
      </c>
      <c r="AC35" s="289" t="s">
        <v>1945</v>
      </c>
      <c r="AD35" s="154" t="s">
        <v>1402</v>
      </c>
      <c r="AE35" s="62"/>
      <c r="AF35" s="62"/>
      <c r="AG35" s="142"/>
      <c r="AH35" s="142"/>
      <c r="AI35" s="143"/>
      <c r="AL35" s="1184" t="s">
        <v>1946</v>
      </c>
    </row>
    <row s="220" customFormat="1" customHeight="1" ht="39" hidden="1">
      <c r="E36" s="797">
        <v>40</v>
      </c>
      <c r="F36" s="922" cm="1" t="str">
        <f t="array" ref="F36:F36">OFFSET(G36,-1,-1)</f>
        <v>0</v>
      </c>
      <c r="T36" s="808" cm="1" t="str">
        <f t="array" ref="T36:T36">T35</f>
        <v>false</v>
      </c>
      <c r="AB36" s="154" t="s">
        <v>1947</v>
      </c>
      <c r="AC36" s="289" t="s">
        <v>1948</v>
      </c>
      <c r="AD36" s="154" t="s">
        <v>1949</v>
      </c>
      <c r="AE36" s="62"/>
      <c r="AF36" s="62"/>
      <c r="AG36" s="142"/>
      <c r="AH36" s="142"/>
      <c r="AI36" s="143"/>
      <c r="AL36" s="1184" t="s">
        <v>1950</v>
      </c>
    </row>
    <row s="220" customFormat="1" customHeight="1" ht="39" hidden="1">
      <c r="E37" s="797">
        <v>40</v>
      </c>
      <c r="F37" s="922" cm="1" t="str">
        <f t="array" ref="F37:F37">OFFSET(G37,-1,-1)</f>
        <v>0</v>
      </c>
      <c r="T37" s="808" cm="1" t="str">
        <f t="array" ref="T37:T37">T36</f>
        <v>false</v>
      </c>
      <c r="AB37" s="154" t="s">
        <v>1951</v>
      </c>
      <c r="AC37" s="289" t="s">
        <v>1952</v>
      </c>
      <c r="AD37" s="154" t="s">
        <v>900</v>
      </c>
      <c r="AE37" s="61">
        <f>_xlfn.IFERROR(AE35/AE36,0)</f>
        <v>0</v>
      </c>
      <c r="AF37" s="61">
        <f>_xlfn.IFERROR(AF35/AF36,0)</f>
        <v>0</v>
      </c>
      <c r="AG37" s="142"/>
      <c r="AH37" s="142"/>
      <c r="AI37" s="143"/>
      <c r="AL37" s="1184" t="s">
        <v>1936</v>
      </c>
    </row>
    <row s="220" customFormat="1" customHeight="1" ht="16.672500000000003" hidden="1">
      <c r="E38" s="797">
        <v>17.1</v>
      </c>
      <c r="F38" s="922" cm="1" t="str">
        <f t="array" ref="F38:F38">OFFSET(G38,-1,-1)</f>
        <v>0</v>
      </c>
      <c r="T38" s="808" cm="1" t="str">
        <f t="array" ref="T38:T38">T37</f>
        <v>false</v>
      </c>
      <c r="AB38" s="154" t="s">
        <v>1953</v>
      </c>
      <c r="AC38" s="289" t="s">
        <v>1938</v>
      </c>
      <c r="AD38" s="154" t="s">
        <v>498</v>
      </c>
      <c r="AE38" s="62"/>
      <c r="AF38" s="62"/>
      <c r="AG38" s="142"/>
      <c r="AH38" s="142"/>
      <c r="AI38" s="143"/>
      <c r="AL38" s="1184" t="s">
        <v>1954</v>
      </c>
    </row>
    <row s="220" customFormat="1" customHeight="1" ht="39" hidden="1">
      <c r="E39" s="797">
        <v>40</v>
      </c>
      <c r="F39" s="922" cm="1" t="str">
        <f t="array" ref="F39:F39">OFFSET(G39,-1,-1)</f>
        <v>0</v>
      </c>
      <c r="T39" s="808" cm="1" t="str">
        <f t="array" ref="T39:T39">T38</f>
        <v>false</v>
      </c>
      <c r="AB39" s="154" t="s">
        <v>1955</v>
      </c>
      <c r="AC39" s="289" t="s">
        <v>1956</v>
      </c>
      <c r="AD39" s="610" t="s">
        <v>900</v>
      </c>
      <c r="AE39" s="61"/>
      <c r="AF39" s="61"/>
      <c r="AG39" s="140"/>
      <c r="AH39" s="140"/>
      <c r="AI39" s="59"/>
      <c r="AL39" s="1184" t="s">
        <v>1942</v>
      </c>
    </row>
    <row customHeight="1" ht="17.25" hidden="1">
      <c r="E40" s="797">
        <v>0</v>
      </c>
      <c r="F40" s="922" cm="1" t="str">
        <f t="array" ref="F40:F40">OFFSET(G40,-1,-1)</f>
        <v>0</v>
      </c>
      <c r="T40" s="808" cm="1" t="str">
        <f t="array" ref="T40:T40">T39</f>
        <v>false</v>
      </c>
    </row>
    <row s="1997" customFormat="1" customHeight="1" ht="16.5">
      <c r="A41" s="220"/>
      <c r="B41" s="220"/>
      <c r="C41" s="220"/>
      <c r="D41" s="220"/>
      <c r="E41" s="797">
        <v>17.1</v>
      </c>
      <c r="F41" s="922" cm="1" t="str">
        <f t="array" ref="F41:F41">X41</f>
        <v>1</v>
      </c>
      <c r="G41" s="739" cm="1" t="str">
        <f t="array" ref="G41:G41">INDEX('Общие сведения'!$AK$169:$AK$202,MATCH($F41,'Общие сведения'!$Z$169:$Z$202,0))</f>
        <v>одноставочный</v>
      </c>
      <c r="H41" s="220"/>
      <c r="I41" s="213" cm="1" t="str">
        <f t="array" ref="I41:I41">INDEX('Общие сведения'!$AE$169:$AE$202,MATCH($F41,'Общие сведения'!$Z$169:$Z$202,0))</f>
        <v>Теплоснабжение</v>
      </c>
      <c r="J41" s="220"/>
      <c r="K41" s="213"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0"/>
      <c r="M41" s="220"/>
      <c r="N41" s="220"/>
      <c r="O41" s="220"/>
      <c r="P41" s="220"/>
      <c r="Q41" s="220"/>
      <c r="R41" s="220"/>
      <c r="S41" s="220"/>
      <c r="T41" s="808">
        <f>X41&gt;0</f>
        <v>1</v>
      </c>
      <c r="U41" s="220"/>
      <c r="V41" s="175" cm="1" t="str">
        <f t="array" ref="V41:V41">'Калькуляция (4.6)'!$AB$94</f>
        <v>Тариф 1 (Теплоснабжение) - Тариф на тепловую энергию (мощность), поставляемую потребителям (Не определено)</v>
      </c>
      <c r="W41" s="220"/>
      <c r="X41" s="1557" t="s">
        <v>336</v>
      </c>
      <c r="Y41" s="220"/>
      <c r="Z41" s="220"/>
      <c r="AA41" s="220"/>
      <c r="AB41" s="330"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1"/>
      <c r="AD41" s="331"/>
      <c r="AE41" s="331"/>
      <c r="AF41" s="331"/>
      <c r="AG41" s="331"/>
      <c r="AH41" s="331"/>
      <c r="AI41" s="331"/>
      <c r="AJ41" s="220"/>
      <c r="AK41" s="220"/>
      <c r="AL41" s="1184"/>
    </row>
    <row s="1998" customFormat="1" customHeight="1" ht="16.5">
      <c r="A42" s="220"/>
      <c r="B42" s="220"/>
      <c r="C42" s="220"/>
      <c r="D42" s="220"/>
      <c r="E42" s="797">
        <v>17.1</v>
      </c>
      <c r="F42" s="922" cm="1" t="str">
        <f t="array" ref="F42:F42">OFFSET(G42,-1,-1)</f>
        <v>1</v>
      </c>
      <c r="G42" s="220"/>
      <c r="H42" s="220"/>
      <c r="I42" s="220"/>
      <c r="J42" s="220"/>
      <c r="K42" s="220"/>
      <c r="L42" s="220"/>
      <c r="M42" s="220"/>
      <c r="N42" s="220"/>
      <c r="O42" s="220"/>
      <c r="P42" s="220"/>
      <c r="Q42" s="220"/>
      <c r="R42" s="220"/>
      <c r="S42" s="220"/>
      <c r="T42" s="808" cm="1" t="str">
        <f t="array" ref="T42:T42">T41</f>
        <v>true</v>
      </c>
      <c r="U42" s="220"/>
      <c r="V42" s="220"/>
      <c r="W42" s="220"/>
      <c r="X42" s="220"/>
      <c r="Y42" s="220"/>
      <c r="Z42" s="220"/>
      <c r="AA42" s="220"/>
      <c r="AB42" s="610">
        <v>1</v>
      </c>
      <c r="AC42" s="1027" t="s">
        <v>1926</v>
      </c>
      <c r="AD42" s="1028"/>
      <c r="AE42" s="1028"/>
      <c r="AF42" s="1028"/>
      <c r="AG42" s="1028"/>
      <c r="AH42" s="1028"/>
      <c r="AI42" s="1028"/>
      <c r="AJ42" s="220"/>
      <c r="AK42" s="220"/>
      <c r="AL42" s="1184"/>
    </row>
    <row s="1999" customFormat="1" customHeight="1" ht="43.5">
      <c r="A43" s="220"/>
      <c r="B43" s="220"/>
      <c r="C43" s="220"/>
      <c r="D43" s="220"/>
      <c r="E43" s="797">
        <v>45</v>
      </c>
      <c r="F43" s="922" cm="1" t="str">
        <f t="array" ref="F43:F43">OFFSET(G43,-1,-1)</f>
        <v>1</v>
      </c>
      <c r="G43" s="220"/>
      <c r="H43" s="220"/>
      <c r="I43" s="220"/>
      <c r="J43" s="220"/>
      <c r="K43" s="220"/>
      <c r="L43" s="220"/>
      <c r="M43" s="220"/>
      <c r="N43" s="220"/>
      <c r="O43" s="220"/>
      <c r="P43" s="220"/>
      <c r="Q43" s="220"/>
      <c r="R43" s="220"/>
      <c r="S43" s="220"/>
      <c r="T43" s="808" cm="1" t="str">
        <f t="array" ref="T43:T43">T42</f>
        <v>true</v>
      </c>
      <c r="U43" s="220"/>
      <c r="V43" s="220"/>
      <c r="W43" s="220"/>
      <c r="X43" s="220"/>
      <c r="Y43" s="220"/>
      <c r="Z43" s="220"/>
      <c r="AA43" s="220"/>
      <c r="AB43" s="610" t="s">
        <v>1927</v>
      </c>
      <c r="AC43" s="289" t="s">
        <v>1928</v>
      </c>
      <c r="AD43" s="154" t="s">
        <v>1402</v>
      </c>
      <c r="AE43" s="1665"/>
      <c r="AF43" s="1665"/>
      <c r="AG43" s="2000"/>
      <c r="AH43" s="2000"/>
      <c r="AI43" s="1671"/>
      <c r="AJ43" s="220"/>
      <c r="AK43" s="220"/>
      <c r="AL43" s="1184" t="s">
        <v>1929</v>
      </c>
    </row>
    <row s="2001" customFormat="1" customHeight="1" ht="43.5">
      <c r="A44" s="220"/>
      <c r="B44" s="220"/>
      <c r="C44" s="220"/>
      <c r="D44" s="220"/>
      <c r="E44" s="797">
        <v>45</v>
      </c>
      <c r="F44" s="922" cm="1" t="str">
        <f t="array" ref="F44:F44">OFFSET(G44,-1,-1)</f>
        <v>1</v>
      </c>
      <c r="G44" s="220"/>
      <c r="H44" s="220"/>
      <c r="I44" s="220"/>
      <c r="J44" s="220"/>
      <c r="K44" s="220"/>
      <c r="L44" s="220"/>
      <c r="M44" s="220"/>
      <c r="N44" s="220"/>
      <c r="O44" s="220"/>
      <c r="P44" s="220"/>
      <c r="Q44" s="220"/>
      <c r="R44" s="220"/>
      <c r="S44" s="220"/>
      <c r="T44" s="808" cm="1" t="str">
        <f t="array" ref="T44:T44">T43</f>
        <v>true</v>
      </c>
      <c r="U44" s="220"/>
      <c r="V44" s="220"/>
      <c r="W44" s="220"/>
      <c r="X44" s="220"/>
      <c r="Y44" s="220"/>
      <c r="Z44" s="220"/>
      <c r="AA44" s="220"/>
      <c r="AB44" s="610" t="s">
        <v>1930</v>
      </c>
      <c r="AC44" s="289" t="s">
        <v>1931</v>
      </c>
      <c r="AD44" s="154" t="s">
        <v>466</v>
      </c>
      <c r="AE44" s="1665"/>
      <c r="AF44" s="1665"/>
      <c r="AG44" s="2000"/>
      <c r="AH44" s="2000"/>
      <c r="AI44" s="1671"/>
      <c r="AJ44" s="220"/>
      <c r="AK44" s="220"/>
      <c r="AL44" s="1184" t="s">
        <v>1932</v>
      </c>
    </row>
    <row s="2002" customFormat="1" customHeight="1" ht="39">
      <c r="A45" s="220"/>
      <c r="B45" s="220"/>
      <c r="C45" s="220"/>
      <c r="D45" s="220"/>
      <c r="E45" s="797">
        <v>40</v>
      </c>
      <c r="F45" s="922" cm="1" t="str">
        <f t="array" ref="F45:F45">OFFSET(G45,-1,-1)</f>
        <v>1</v>
      </c>
      <c r="G45" s="220"/>
      <c r="H45" s="220"/>
      <c r="I45" s="220"/>
      <c r="J45" s="220"/>
      <c r="K45" s="220"/>
      <c r="L45" s="220"/>
      <c r="M45" s="220"/>
      <c r="N45" s="220"/>
      <c r="O45" s="220"/>
      <c r="P45" s="220"/>
      <c r="Q45" s="220"/>
      <c r="R45" s="220"/>
      <c r="S45" s="220"/>
      <c r="T45" s="808" cm="1" t="str">
        <f t="array" ref="T45:T45">T44</f>
        <v>true</v>
      </c>
      <c r="U45" s="220"/>
      <c r="V45" s="220"/>
      <c r="W45" s="220"/>
      <c r="X45" s="220"/>
      <c r="Y45" s="220"/>
      <c r="Z45" s="220"/>
      <c r="AA45" s="220"/>
      <c r="AB45" s="610" t="s">
        <v>1933</v>
      </c>
      <c r="AC45" s="289" t="s">
        <v>1934</v>
      </c>
      <c r="AD45" s="154" t="s">
        <v>1935</v>
      </c>
      <c r="AE45" s="1665">
        <f>_xlfn.IFERROR(AE43/AE44,0)</f>
        <v>0</v>
      </c>
      <c r="AF45" s="1665">
        <f>_xlfn.IFERROR(AF43/AF44,0)</f>
        <v>0</v>
      </c>
      <c r="AG45" s="2000"/>
      <c r="AH45" s="2000"/>
      <c r="AI45" s="1671"/>
      <c r="AJ45" s="220"/>
      <c r="AK45" s="220"/>
      <c r="AL45" s="1184" t="s">
        <v>1936</v>
      </c>
    </row>
    <row s="2003" customFormat="1" customHeight="1" ht="16.5">
      <c r="A46" s="220"/>
      <c r="B46" s="220"/>
      <c r="C46" s="220"/>
      <c r="D46" s="220"/>
      <c r="E46" s="797">
        <v>17.1</v>
      </c>
      <c r="F46" s="922" cm="1" t="str">
        <f t="array" ref="F46:F46">OFFSET(G46,-1,-1)</f>
        <v>1</v>
      </c>
      <c r="G46" s="220"/>
      <c r="H46" s="220"/>
      <c r="I46" s="220"/>
      <c r="J46" s="220"/>
      <c r="K46" s="220"/>
      <c r="L46" s="220"/>
      <c r="M46" s="220"/>
      <c r="N46" s="220"/>
      <c r="O46" s="220"/>
      <c r="P46" s="220"/>
      <c r="Q46" s="220"/>
      <c r="R46" s="220"/>
      <c r="S46" s="220"/>
      <c r="T46" s="808" cm="1" t="str">
        <f t="array" ref="T46:T46">T45</f>
        <v>true</v>
      </c>
      <c r="U46" s="220"/>
      <c r="V46" s="220"/>
      <c r="W46" s="220"/>
      <c r="X46" s="220"/>
      <c r="Y46" s="220"/>
      <c r="Z46" s="220"/>
      <c r="AA46" s="220"/>
      <c r="AB46" s="610" t="s">
        <v>1937</v>
      </c>
      <c r="AC46" s="289" t="s">
        <v>1938</v>
      </c>
      <c r="AD46" s="154" t="s">
        <v>498</v>
      </c>
      <c r="AE46" s="2004"/>
      <c r="AF46" s="2004"/>
      <c r="AG46" s="2000"/>
      <c r="AH46" s="2000"/>
      <c r="AI46" s="1671"/>
      <c r="AJ46" s="220"/>
      <c r="AK46" s="220"/>
      <c r="AL46" s="1184" t="s">
        <v>1939</v>
      </c>
    </row>
    <row s="2005" customFormat="1" customHeight="1" ht="39">
      <c r="A47" s="220"/>
      <c r="B47" s="220"/>
      <c r="C47" s="220"/>
      <c r="D47" s="220"/>
      <c r="E47" s="797">
        <v>40</v>
      </c>
      <c r="F47" s="922" cm="1" t="str">
        <f t="array" ref="F47:F47">OFFSET(G47,-1,-1)</f>
        <v>1</v>
      </c>
      <c r="G47" s="220"/>
      <c r="H47" s="220"/>
      <c r="I47" s="220"/>
      <c r="J47" s="220"/>
      <c r="K47" s="220"/>
      <c r="L47" s="220"/>
      <c r="M47" s="220"/>
      <c r="N47" s="220"/>
      <c r="O47" s="220"/>
      <c r="P47" s="220"/>
      <c r="Q47" s="220"/>
      <c r="R47" s="220"/>
      <c r="S47" s="220"/>
      <c r="T47" s="808" cm="1" t="str">
        <f t="array" ref="T47:T47">T46</f>
        <v>true</v>
      </c>
      <c r="U47" s="220"/>
      <c r="V47" s="220"/>
      <c r="W47" s="220"/>
      <c r="X47" s="220"/>
      <c r="Y47" s="220"/>
      <c r="Z47" s="220"/>
      <c r="AA47" s="220"/>
      <c r="AB47" s="1031" t="s">
        <v>1940</v>
      </c>
      <c r="AC47" s="1029" t="s">
        <v>1941</v>
      </c>
      <c r="AD47" s="1030" t="s">
        <v>1935</v>
      </c>
      <c r="AE47" s="1680"/>
      <c r="AF47" s="1680"/>
      <c r="AG47" s="2006"/>
      <c r="AH47" s="2006"/>
      <c r="AI47" s="2007"/>
      <c r="AJ47" s="220"/>
      <c r="AK47" s="220"/>
      <c r="AL47" s="1184" t="s">
        <v>1942</v>
      </c>
    </row>
    <row s="2008" customFormat="1" customHeight="1" ht="16.5">
      <c r="A48" s="220"/>
      <c r="B48" s="220"/>
      <c r="C48" s="220"/>
      <c r="D48" s="220"/>
      <c r="E48" s="797">
        <v>17.1</v>
      </c>
      <c r="F48" s="922" cm="1" t="str">
        <f t="array" ref="F48:F48">OFFSET(G48,-1,-1)</f>
        <v>1</v>
      </c>
      <c r="G48" s="220"/>
      <c r="H48" s="220"/>
      <c r="I48" s="220"/>
      <c r="J48" s="220"/>
      <c r="K48" s="220"/>
      <c r="L48" s="220"/>
      <c r="M48" s="220"/>
      <c r="N48" s="220"/>
      <c r="O48" s="220"/>
      <c r="P48" s="220"/>
      <c r="Q48" s="220"/>
      <c r="R48" s="220"/>
      <c r="S48" s="220"/>
      <c r="T48" s="808" cm="1" t="str">
        <f t="array" ref="T48:T48">T47</f>
        <v>true</v>
      </c>
      <c r="U48" s="220"/>
      <c r="V48" s="220"/>
      <c r="W48" s="220"/>
      <c r="X48" s="220"/>
      <c r="Y48" s="220"/>
      <c r="Z48" s="220"/>
      <c r="AA48" s="220"/>
      <c r="AB48" s="154">
        <v>2</v>
      </c>
      <c r="AC48" s="1027" t="s">
        <v>1943</v>
      </c>
      <c r="AD48" s="1028"/>
      <c r="AE48" s="1049"/>
      <c r="AF48" s="1049"/>
      <c r="AG48" s="1028"/>
      <c r="AH48" s="1028"/>
      <c r="AI48" s="1028"/>
      <c r="AJ48" s="220"/>
      <c r="AK48" s="220"/>
      <c r="AL48" s="1184"/>
    </row>
    <row s="2009" customFormat="1" customHeight="1" ht="43.5">
      <c r="A49" s="220"/>
      <c r="B49" s="220"/>
      <c r="C49" s="220"/>
      <c r="D49" s="220"/>
      <c r="E49" s="797">
        <v>45</v>
      </c>
      <c r="F49" s="922" cm="1" t="str">
        <f t="array" ref="F49:F49">OFFSET(G49,-1,-1)</f>
        <v>1</v>
      </c>
      <c r="G49" s="220"/>
      <c r="H49" s="220"/>
      <c r="I49" s="220"/>
      <c r="J49" s="220"/>
      <c r="K49" s="220"/>
      <c r="L49" s="220"/>
      <c r="M49" s="220"/>
      <c r="N49" s="220"/>
      <c r="O49" s="220"/>
      <c r="P49" s="220"/>
      <c r="Q49" s="220"/>
      <c r="R49" s="220"/>
      <c r="S49" s="220"/>
      <c r="T49" s="808" cm="1" t="str">
        <f t="array" ref="T49:T49">T48</f>
        <v>true</v>
      </c>
      <c r="U49" s="220"/>
      <c r="V49" s="220"/>
      <c r="W49" s="220"/>
      <c r="X49" s="220"/>
      <c r="Y49" s="220"/>
      <c r="Z49" s="220"/>
      <c r="AA49" s="220"/>
      <c r="AB49" s="154" t="s">
        <v>1944</v>
      </c>
      <c r="AC49" s="289" t="s">
        <v>1945</v>
      </c>
      <c r="AD49" s="154" t="s">
        <v>1402</v>
      </c>
      <c r="AE49" s="1680"/>
      <c r="AF49" s="1680"/>
      <c r="AG49" s="2006"/>
      <c r="AH49" s="2006"/>
      <c r="AI49" s="2007"/>
      <c r="AJ49" s="220"/>
      <c r="AK49" s="220"/>
      <c r="AL49" s="1184" t="s">
        <v>1946</v>
      </c>
    </row>
    <row s="2010" customFormat="1" customHeight="1" ht="39">
      <c r="A50" s="220"/>
      <c r="B50" s="220"/>
      <c r="C50" s="220"/>
      <c r="D50" s="220"/>
      <c r="E50" s="797">
        <v>40</v>
      </c>
      <c r="F50" s="922" cm="1" t="str">
        <f t="array" ref="F50:F50">OFFSET(G50,-1,-1)</f>
        <v>1</v>
      </c>
      <c r="G50" s="220"/>
      <c r="H50" s="220"/>
      <c r="I50" s="220"/>
      <c r="J50" s="220"/>
      <c r="K50" s="220"/>
      <c r="L50" s="220"/>
      <c r="M50" s="220"/>
      <c r="N50" s="220"/>
      <c r="O50" s="220"/>
      <c r="P50" s="220"/>
      <c r="Q50" s="220"/>
      <c r="R50" s="220"/>
      <c r="S50" s="220"/>
      <c r="T50" s="808" cm="1" t="str">
        <f t="array" ref="T50:T50">T49</f>
        <v>true</v>
      </c>
      <c r="U50" s="220"/>
      <c r="V50" s="220"/>
      <c r="W50" s="220"/>
      <c r="X50" s="220"/>
      <c r="Y50" s="220"/>
      <c r="Z50" s="220"/>
      <c r="AA50" s="220"/>
      <c r="AB50" s="154" t="s">
        <v>1947</v>
      </c>
      <c r="AC50" s="289" t="s">
        <v>1948</v>
      </c>
      <c r="AD50" s="154" t="s">
        <v>1949</v>
      </c>
      <c r="AE50" s="1680"/>
      <c r="AF50" s="1680"/>
      <c r="AG50" s="2006"/>
      <c r="AH50" s="2006"/>
      <c r="AI50" s="2007"/>
      <c r="AJ50" s="220"/>
      <c r="AK50" s="220"/>
      <c r="AL50" s="1184" t="s">
        <v>1950</v>
      </c>
    </row>
    <row s="2011" customFormat="1" customHeight="1" ht="39">
      <c r="A51" s="220"/>
      <c r="B51" s="220"/>
      <c r="C51" s="220"/>
      <c r="D51" s="220"/>
      <c r="E51" s="797">
        <v>40</v>
      </c>
      <c r="F51" s="922" cm="1" t="str">
        <f t="array" ref="F51:F51">OFFSET(G51,-1,-1)</f>
        <v>1</v>
      </c>
      <c r="G51" s="220"/>
      <c r="H51" s="220"/>
      <c r="I51" s="220"/>
      <c r="J51" s="220"/>
      <c r="K51" s="220"/>
      <c r="L51" s="220"/>
      <c r="M51" s="220"/>
      <c r="N51" s="220"/>
      <c r="O51" s="220"/>
      <c r="P51" s="220"/>
      <c r="Q51" s="220"/>
      <c r="R51" s="220"/>
      <c r="S51" s="220"/>
      <c r="T51" s="808" cm="1" t="str">
        <f t="array" ref="T51:T51">T50</f>
        <v>true</v>
      </c>
      <c r="U51" s="220"/>
      <c r="V51" s="220"/>
      <c r="W51" s="220"/>
      <c r="X51" s="220"/>
      <c r="Y51" s="220"/>
      <c r="Z51" s="220"/>
      <c r="AA51" s="220"/>
      <c r="AB51" s="154" t="s">
        <v>1951</v>
      </c>
      <c r="AC51" s="289" t="s">
        <v>1952</v>
      </c>
      <c r="AD51" s="154" t="s">
        <v>900</v>
      </c>
      <c r="AE51" s="1665">
        <f>_xlfn.IFERROR(AE49/AE50,0)</f>
        <v>0</v>
      </c>
      <c r="AF51" s="1665">
        <f>_xlfn.IFERROR(AF49/AF50,0)</f>
        <v>0</v>
      </c>
      <c r="AG51" s="2006"/>
      <c r="AH51" s="2006"/>
      <c r="AI51" s="2007"/>
      <c r="AJ51" s="220"/>
      <c r="AK51" s="220"/>
      <c r="AL51" s="1184" t="s">
        <v>1936</v>
      </c>
    </row>
    <row s="2012" customFormat="1" customHeight="1" ht="16.5">
      <c r="A52" s="220"/>
      <c r="B52" s="220"/>
      <c r="C52" s="220"/>
      <c r="D52" s="220"/>
      <c r="E52" s="797">
        <v>17.1</v>
      </c>
      <c r="F52" s="922" cm="1" t="str">
        <f t="array" ref="F52:F52">OFFSET(G52,-1,-1)</f>
        <v>1</v>
      </c>
      <c r="G52" s="220"/>
      <c r="H52" s="220"/>
      <c r="I52" s="220"/>
      <c r="J52" s="220"/>
      <c r="K52" s="220"/>
      <c r="L52" s="220"/>
      <c r="M52" s="220"/>
      <c r="N52" s="220"/>
      <c r="O52" s="220"/>
      <c r="P52" s="220"/>
      <c r="Q52" s="220"/>
      <c r="R52" s="220"/>
      <c r="S52" s="220"/>
      <c r="T52" s="808" cm="1" t="str">
        <f t="array" ref="T52:T52">T51</f>
        <v>true</v>
      </c>
      <c r="U52" s="220"/>
      <c r="V52" s="220"/>
      <c r="W52" s="220"/>
      <c r="X52" s="220"/>
      <c r="Y52" s="220"/>
      <c r="Z52" s="220"/>
      <c r="AA52" s="220"/>
      <c r="AB52" s="154" t="s">
        <v>1953</v>
      </c>
      <c r="AC52" s="289" t="s">
        <v>1938</v>
      </c>
      <c r="AD52" s="154" t="s">
        <v>498</v>
      </c>
      <c r="AE52" s="1680"/>
      <c r="AF52" s="1680"/>
      <c r="AG52" s="2006"/>
      <c r="AH52" s="2006"/>
      <c r="AI52" s="2007"/>
      <c r="AJ52" s="220"/>
      <c r="AK52" s="220"/>
      <c r="AL52" s="1184" t="s">
        <v>1954</v>
      </c>
    </row>
    <row s="2013" customFormat="1" customHeight="1" ht="39">
      <c r="A53" s="220"/>
      <c r="B53" s="220"/>
      <c r="C53" s="220"/>
      <c r="D53" s="220"/>
      <c r="E53" s="797">
        <v>40</v>
      </c>
      <c r="F53" s="922" cm="1" t="str">
        <f t="array" ref="F53:F53">OFFSET(G53,-1,-1)</f>
        <v>1</v>
      </c>
      <c r="G53" s="220"/>
      <c r="H53" s="220"/>
      <c r="I53" s="220"/>
      <c r="J53" s="220"/>
      <c r="K53" s="220"/>
      <c r="L53" s="220"/>
      <c r="M53" s="220"/>
      <c r="N53" s="220"/>
      <c r="O53" s="220"/>
      <c r="P53" s="220"/>
      <c r="Q53" s="220"/>
      <c r="R53" s="220"/>
      <c r="S53" s="220"/>
      <c r="T53" s="808" cm="1" t="str">
        <f t="array" ref="T53:T53">T52</f>
        <v>true</v>
      </c>
      <c r="U53" s="220"/>
      <c r="V53" s="220"/>
      <c r="W53" s="220"/>
      <c r="X53" s="220"/>
      <c r="Y53" s="220"/>
      <c r="Z53" s="220"/>
      <c r="AA53" s="220"/>
      <c r="AB53" s="154" t="s">
        <v>1955</v>
      </c>
      <c r="AC53" s="289" t="s">
        <v>1956</v>
      </c>
      <c r="AD53" s="610" t="s">
        <v>900</v>
      </c>
      <c r="AE53" s="1665"/>
      <c r="AF53" s="1665"/>
      <c r="AG53" s="2000"/>
      <c r="AH53" s="2000"/>
      <c r="AI53" s="1671"/>
      <c r="AJ53" s="220"/>
      <c r="AK53" s="220"/>
      <c r="AL53" s="1184" t="s">
        <v>1942</v>
      </c>
    </row>
    <row s="1632" customFormat="1" customHeight="1" ht="17.25" hidden="1">
      <c r="A54" s="1186"/>
      <c r="B54" s="927"/>
      <c r="C54" s="228"/>
      <c r="D54" s="228"/>
      <c r="E54" s="797">
        <v>0</v>
      </c>
      <c r="F54" s="922" cm="1" t="str">
        <f t="array" ref="F54:F54">OFFSET(G54,-1,-1)</f>
        <v>1</v>
      </c>
      <c r="G54" s="230"/>
      <c r="H54" s="230"/>
      <c r="I54" s="230"/>
      <c r="J54" s="230"/>
      <c r="K54" s="230"/>
      <c r="L54" s="230"/>
      <c r="M54" s="230"/>
      <c r="N54" s="230"/>
      <c r="O54" s="230"/>
      <c r="P54" s="230"/>
      <c r="Q54" s="193"/>
      <c r="R54" s="193"/>
      <c r="S54" s="230"/>
      <c r="T54" s="808" cm="1" t="str">
        <f t="array" ref="T54:T54">T53</f>
        <v>true</v>
      </c>
      <c r="U54" s="1582"/>
      <c r="V54" s="1582"/>
      <c r="W54" s="1582"/>
      <c r="X54" s="1582"/>
      <c r="Y54" s="1582"/>
      <c r="Z54" s="1582"/>
      <c r="AA54" s="230"/>
      <c r="AB54" s="228"/>
      <c r="AC54" s="229"/>
      <c r="AD54" s="228"/>
      <c r="AE54" s="230"/>
      <c r="AF54" s="230"/>
      <c r="AG54" s="230"/>
      <c r="AH54" s="230"/>
      <c r="AI54" s="230"/>
      <c r="AJ54" s="230"/>
      <c r="AK54" s="230"/>
      <c r="AL54" s="1235"/>
    </row>
    <row customHeight="1" ht="9.945">
      <c r="E55" s="797">
        <v>10.2</v>
      </c>
      <c r="U55" s="179" t="s">
        <v>236</v>
      </c>
      <c r="V55" s="171" t="s">
        <v>1957</v>
      </c>
    </row>
    <row customHeight="1" ht="11.25" hidden="1">
      <c r="E56" s="797">
        <v>0</v>
      </c>
    </row>
    <row customHeight="1" ht="14.625">
      <c r="E57" s="797">
        <v>15</v>
      </c>
      <c r="AB57" s="1561" t="s">
        <v>705</v>
      </c>
      <c r="AC57" s="1562"/>
      <c r="AD57" s="1562"/>
      <c r="AE57" s="1562"/>
      <c r="AF57" s="1562"/>
      <c r="AG57" s="1562"/>
      <c r="AH57" s="1562"/>
      <c r="AI57" s="1563"/>
    </row>
    <row customHeight="1" ht="14.625">
      <c r="E58" s="797">
        <v>15</v>
      </c>
      <c r="AA58" s="921"/>
      <c r="AB58" s="1564"/>
      <c r="AC58" s="1565"/>
      <c r="AD58" s="1565"/>
      <c r="AE58" s="1565"/>
      <c r="AF58" s="1565"/>
      <c r="AG58" s="1565"/>
      <c r="AH58" s="1565"/>
      <c r="AI58" s="1566"/>
    </row>
    <row customHeight="1" ht="14.625" hidden="1">
      <c r="A59" s="1186"/>
      <c r="B59" s="927"/>
      <c r="C59" s="228"/>
      <c r="D59" s="228"/>
      <c r="E59" s="797">
        <v>15</v>
      </c>
      <c r="F59" s="228"/>
      <c r="G59" s="230"/>
      <c r="H59" s="230"/>
      <c r="I59" s="230"/>
      <c r="J59" s="230"/>
      <c r="K59" s="230"/>
      <c r="L59" s="230"/>
      <c r="M59" s="230"/>
      <c r="N59" s="230"/>
      <c r="O59" s="230"/>
      <c r="P59" s="230"/>
      <c r="Q59" s="193"/>
      <c r="R59" s="193"/>
      <c r="S59" s="230"/>
      <c r="T59" s="808">
        <f>ROW(W59)&gt;ROW(W$59)</f>
        <v>0</v>
      </c>
      <c r="U59" s="1582"/>
      <c r="V59" s="1582"/>
      <c r="W59" s="175" t="s">
        <v>234</v>
      </c>
      <c r="X59" s="1582"/>
      <c r="Y59" s="1582"/>
      <c r="Z59" s="1582"/>
      <c r="AA59" s="917" t="s">
        <v>218</v>
      </c>
      <c r="AB59" s="2014"/>
      <c r="AC59" s="2015"/>
      <c r="AD59" s="2015"/>
      <c r="AE59" s="2015"/>
      <c r="AF59" s="2015"/>
      <c r="AG59" s="2015"/>
      <c r="AH59" s="2015"/>
      <c r="AI59" s="2016"/>
      <c r="AJ59" s="230"/>
      <c r="AK59" s="230"/>
      <c r="AL59" s="1235"/>
    </row>
    <row customHeight="1" ht="14.625">
      <c r="E60" s="797">
        <v>15</v>
      </c>
      <c r="W60" s="171" t="s">
        <v>1958</v>
      </c>
      <c r="AA60" s="213"/>
      <c r="AB60" s="1478" t="s">
        <v>706</v>
      </c>
      <c r="AC60" s="1479"/>
      <c r="AD60" s="987"/>
      <c r="AE60" s="383"/>
      <c r="AF60" s="383"/>
      <c r="AG60" s="383"/>
      <c r="AH60" s="383"/>
      <c r="AI60" s="350"/>
    </row>
    <row customHeight="1" ht="11.25">
      <c r="AJ61" s="230"/>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B1C496-2E98-0162-E3E8-2AFD457B9EBE}" mc:Ignorable="x14ac xr xr2 xr3">
  <sheetPr>
    <tabColor theme="3" tint="0.6"/>
  </sheetPr>
  <dimension ref="A1:C2"/>
  <sheetViews>
    <sheetView topLeftCell="A1" workbookViewId="0">
      <selection activeCell="A1" sqref="A1"/>
    </sheetView>
  </sheetViews>
  <sheetFormatPr customHeight="1" defaultRowHeight="11.25"/>
  <cols>
    <col min="1" max="1" style="1594" width="37.140625" customWidth="1"/>
    <col min="2" max="2" style="1594" width="25.7109375" customWidth="1"/>
    <col min="3" max="3" style="1594" width="64.57421875" customWidth="1"/>
  </cols>
  <sheetData>
    <row customHeight="1" ht="11.25">
      <c r="A1" s="1592" t="s">
        <v>80</v>
      </c>
      <c r="B1" s="1146" t="s">
        <v>81</v>
      </c>
      <c r="C1" s="1146" t="s">
        <v>82</v>
      </c>
    </row>
    <row customHeight="1" ht="11.25">
      <c r="A2" s="1593"/>
      <c r="B2" s="1593"/>
      <c r="C2" s="159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875C58-A4BE-71C2-42A6-8E519CE7F5F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228" width="3.57421875" hidden="1" customWidth="1"/>
    <col min="5" max="5" style="925" width="8.421875" hidden="1" customWidth="1"/>
    <col min="6" max="6" style="228" width="6.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40" style="1235" width="9.140625" hidden="1"/>
    <col min="41" max="42" style="1236" width="9.140625" hidden="1"/>
  </cols>
  <sheetData>
    <row s="228" customFormat="1" customHeight="1" ht="12" hidden="1">
      <c r="A1" s="1186"/>
      <c r="B1" s="788"/>
      <c r="E1" s="788"/>
      <c r="F1" s="819" t="s">
        <v>83</v>
      </c>
      <c r="G1" s="230"/>
      <c r="H1" s="230"/>
      <c r="I1" s="230"/>
      <c r="J1" s="230"/>
      <c r="K1" s="230"/>
      <c r="L1" s="230"/>
      <c r="M1" s="230"/>
      <c r="N1" s="230"/>
      <c r="O1" s="230"/>
      <c r="P1" s="230"/>
      <c r="Q1" s="193"/>
      <c r="R1" s="193"/>
      <c r="S1" s="230"/>
      <c r="T1" s="808" t="s">
        <v>86</v>
      </c>
      <c r="U1" s="808" t="s">
        <v>91</v>
      </c>
      <c r="V1" s="808" t="s">
        <v>87</v>
      </c>
      <c r="W1" s="808" t="s">
        <v>88</v>
      </c>
      <c r="X1" s="808" t="s">
        <v>89</v>
      </c>
      <c r="Y1" s="819" t="s">
        <v>372</v>
      </c>
      <c r="Z1" s="808" t="s">
        <v>93</v>
      </c>
      <c r="AA1" s="819" t="s">
        <v>90</v>
      </c>
      <c r="AB1" s="819" t="s">
        <v>92</v>
      </c>
      <c r="AC1" s="819" t="s">
        <v>92</v>
      </c>
      <c r="AL1" s="1235" t="s">
        <v>373</v>
      </c>
      <c r="AM1" s="1235" t="s">
        <v>374</v>
      </c>
      <c r="AN1" s="1235" t="s">
        <v>375</v>
      </c>
      <c r="AO1" s="1236" t="s">
        <v>378</v>
      </c>
      <c r="AP1" s="1236" t="s">
        <v>379</v>
      </c>
    </row>
    <row s="927" customFormat="1" customHeight="1" ht="12" hidden="1">
      <c r="A2" s="1194"/>
      <c r="B2" s="910" t="s">
        <v>15</v>
      </c>
      <c r="G2" s="930"/>
      <c r="H2" s="930"/>
      <c r="I2" s="930"/>
      <c r="J2" s="930"/>
      <c r="K2" s="930"/>
      <c r="L2" s="930"/>
      <c r="M2" s="930"/>
      <c r="N2" s="930"/>
      <c r="O2" s="930"/>
      <c r="P2" s="930"/>
      <c r="Q2" s="930"/>
      <c r="R2" s="930"/>
      <c r="S2" s="930"/>
      <c r="AC2" s="792"/>
      <c r="AL2" s="1176"/>
      <c r="AM2" s="1176"/>
      <c r="AN2" s="1176"/>
      <c r="AO2" s="1188"/>
      <c r="AP2" s="1188"/>
    </row>
    <row s="228" customFormat="1" customHeight="1" ht="12" hidden="1">
      <c r="A3" s="1186"/>
      <c r="B3" s="788"/>
      <c r="E3" s="788"/>
      <c r="G3" s="230"/>
      <c r="H3" s="230"/>
      <c r="I3" s="230"/>
      <c r="J3" s="230"/>
      <c r="K3" s="230"/>
      <c r="L3" s="230"/>
      <c r="M3" s="230"/>
      <c r="N3" s="230"/>
      <c r="O3" s="230"/>
      <c r="P3" s="230"/>
      <c r="Q3" s="193"/>
      <c r="R3" s="193"/>
      <c r="S3" s="230"/>
      <c r="T3" s="175"/>
      <c r="U3" s="175"/>
      <c r="V3" s="175"/>
      <c r="W3" s="175"/>
      <c r="X3" s="175"/>
      <c r="Y3" s="175"/>
      <c r="Z3" s="175"/>
      <c r="AC3" s="232"/>
      <c r="AL3" s="1235"/>
      <c r="AM3" s="1235"/>
      <c r="AN3" s="1235"/>
      <c r="AO3" s="1236"/>
      <c r="AP3" s="1236"/>
    </row>
    <row s="228" customFormat="1" customHeight="1" ht="12" hidden="1">
      <c r="A4" s="1186"/>
      <c r="B4" s="788"/>
      <c r="E4" s="788"/>
      <c r="G4" s="230"/>
      <c r="H4" s="230"/>
      <c r="I4" s="230"/>
      <c r="J4" s="230"/>
      <c r="K4" s="230"/>
      <c r="L4" s="230"/>
      <c r="M4" s="230"/>
      <c r="N4" s="230"/>
      <c r="O4" s="230"/>
      <c r="P4" s="230"/>
      <c r="Q4" s="193"/>
      <c r="R4" s="193"/>
      <c r="S4" s="230"/>
      <c r="T4" s="175"/>
      <c r="U4" s="175"/>
      <c r="V4" s="175"/>
      <c r="W4" s="175"/>
      <c r="X4" s="175"/>
      <c r="Y4" s="175"/>
      <c r="Z4" s="175"/>
      <c r="AC4" s="232"/>
      <c r="AL4" s="1235"/>
      <c r="AM4" s="1235"/>
      <c r="AN4" s="1235"/>
      <c r="AO4" s="1236"/>
      <c r="AP4" s="1236"/>
    </row>
    <row s="925" customFormat="1" customHeight="1" ht="12" hidden="1">
      <c r="A5" s="1194"/>
      <c r="B5" s="788"/>
      <c r="C5" s="788"/>
      <c r="D5" s="788"/>
      <c r="E5" s="797" t="s">
        <v>16</v>
      </c>
      <c r="G5" s="931"/>
      <c r="H5" s="931"/>
      <c r="I5" s="931"/>
      <c r="J5" s="931"/>
      <c r="K5" s="931"/>
      <c r="L5" s="931"/>
      <c r="M5" s="931"/>
      <c r="N5" s="931"/>
      <c r="O5" s="931"/>
      <c r="P5" s="931"/>
      <c r="Q5" s="931"/>
      <c r="R5" s="931"/>
      <c r="S5" s="931"/>
      <c r="AA5" s="797">
        <v>3</v>
      </c>
      <c r="AB5" s="797">
        <v>8.13</v>
      </c>
      <c r="AC5" s="803">
        <v>70.13</v>
      </c>
      <c r="AD5" s="797">
        <v>14.38</v>
      </c>
      <c r="AE5" s="797">
        <v>15</v>
      </c>
      <c r="AF5" s="797">
        <v>15</v>
      </c>
      <c r="AG5" s="797">
        <v>19</v>
      </c>
      <c r="AH5" s="797">
        <v>17.25</v>
      </c>
      <c r="AI5" s="797">
        <v>31.25</v>
      </c>
      <c r="AJ5" s="797">
        <v>3</v>
      </c>
      <c r="AL5" s="1176"/>
      <c r="AM5" s="1176"/>
      <c r="AN5" s="1176"/>
      <c r="AO5" s="1188"/>
      <c r="AP5" s="1188"/>
    </row>
    <row s="228" customFormat="1" customHeight="1" ht="12" hidden="1">
      <c r="A6" s="1186"/>
      <c r="B6" s="788"/>
      <c r="E6" s="797"/>
      <c r="G6" s="230"/>
      <c r="H6" s="230"/>
      <c r="I6" s="230"/>
      <c r="J6" s="230"/>
      <c r="K6" s="230"/>
      <c r="L6" s="230"/>
      <c r="M6" s="230"/>
      <c r="N6" s="230"/>
      <c r="O6" s="230"/>
      <c r="P6" s="230"/>
      <c r="Q6" s="193"/>
      <c r="R6" s="193"/>
      <c r="S6" s="230"/>
      <c r="T6" s="175"/>
      <c r="U6" s="175"/>
      <c r="V6" s="175"/>
      <c r="W6" s="175"/>
      <c r="X6" s="175"/>
      <c r="Y6" s="175"/>
      <c r="Z6" s="175"/>
      <c r="AC6" s="232"/>
      <c r="AE6" s="228">
        <f>god-2</f>
        <v>2024</v>
      </c>
      <c r="AF6" s="228" cm="1" t="str">
        <f t="array" ref="AF6:AF6">god</f>
        <v>2026</v>
      </c>
      <c r="AL6" s="1235"/>
      <c r="AM6" s="1235"/>
      <c r="AN6" s="1235"/>
      <c r="AO6" s="1236"/>
      <c r="AP6" s="1236"/>
    </row>
    <row customHeight="1" ht="12" hidden="1">
      <c r="F7" s="230"/>
      <c r="T7" s="213"/>
      <c r="U7" s="213"/>
      <c r="V7" s="213"/>
      <c r="W7" s="213"/>
      <c r="X7" s="213"/>
      <c r="Y7" s="213"/>
      <c r="Z7" s="213"/>
      <c r="AB7" s="230"/>
      <c r="AD7" s="230"/>
      <c r="AE7" s="213" cm="1" t="str">
        <f t="array" ref="AE7:AE7">AE25</f>
        <v>Предложение организации</v>
      </c>
      <c r="AF7" s="213" cm="1" t="str">
        <f t="array" ref="AF7:AF7">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234" customFormat="1" customHeight="1" ht="12" hidden="1">
      <c r="A9" s="1161" t="s">
        <v>437</v>
      </c>
      <c r="B9" s="1154"/>
      <c r="E9" s="1154"/>
      <c r="Q9" s="1212"/>
      <c r="R9" s="1212"/>
      <c r="T9" s="1162"/>
      <c r="U9" s="1162"/>
      <c r="V9" s="1162"/>
      <c r="W9" s="1162"/>
      <c r="X9" s="1162"/>
      <c r="Y9" s="1162"/>
      <c r="Z9" s="1162"/>
      <c r="AE9" s="1234">
        <f>god-2</f>
        <v>2024</v>
      </c>
      <c r="AF9" s="1234" cm="1" t="str">
        <f t="array" ref="AF9:AF9">god</f>
        <v>2026</v>
      </c>
      <c r="AL9" s="1235"/>
      <c r="AM9" s="1235"/>
      <c r="AN9" s="1235"/>
      <c r="AO9" s="1236"/>
      <c r="AP9" s="1236"/>
    </row>
    <row s="1234" customFormat="1" customHeight="1" ht="12" hidden="1">
      <c r="A10" s="1161" t="s">
        <v>438</v>
      </c>
      <c r="B10" s="1154"/>
      <c r="E10" s="1154"/>
      <c r="Q10" s="1212"/>
      <c r="R10" s="1212"/>
      <c r="T10" s="1162"/>
      <c r="U10" s="1162"/>
      <c r="V10" s="1162"/>
      <c r="W10" s="1162"/>
      <c r="X10" s="1162"/>
      <c r="Y10" s="1162"/>
      <c r="Z10" s="1162"/>
      <c r="AE10" s="1234" cm="1" t="str">
        <f t="array" ref="AE10:AE10">AE25</f>
        <v>Предложение организации</v>
      </c>
      <c r="AF10" s="1234" cm="1" t="str">
        <f t="array" ref="AF10:AF10">AF25</f>
        <v>Версия органа регулирования</v>
      </c>
      <c r="AL10" s="1235"/>
      <c r="AM10" s="1235"/>
      <c r="AN10" s="1235"/>
      <c r="AO10" s="1236"/>
      <c r="AP10" s="1236"/>
    </row>
    <row s="1234" customFormat="1" customHeight="1" ht="12" hidden="1">
      <c r="A11" s="1161" t="s">
        <v>439</v>
      </c>
      <c r="B11" s="1154"/>
      <c r="E11" s="1154"/>
      <c r="G11" s="1237"/>
      <c r="H11" s="1237"/>
      <c r="I11" s="1237"/>
      <c r="J11" s="1237"/>
      <c r="K11" s="1237"/>
      <c r="L11" s="1237"/>
      <c r="M11" s="1237"/>
      <c r="N11" s="1237"/>
      <c r="O11" s="1237"/>
      <c r="P11" s="1237"/>
      <c r="Q11" s="1214"/>
      <c r="R11" s="1214"/>
      <c r="S11" s="1237"/>
      <c r="T11" s="1162"/>
      <c r="U11" s="1162"/>
      <c r="V11" s="1162"/>
      <c r="W11" s="1162"/>
      <c r="X11" s="1162"/>
      <c r="Y11" s="1162"/>
      <c r="Z11" s="1162"/>
      <c r="AC11" s="1238"/>
      <c r="AG11" s="1234" cm="1" t="str">
        <f t="array" ref="AG11:AG11">AG24</f>
        <v>Указание на подтверждающие документы / URL-ссылка на копии подтверждающих документов</v>
      </c>
      <c r="AH11" s="1234" cm="1" t="str">
        <f t="array" ref="AH11:AH11">AH24</f>
        <v>Ссылка на правовую норму (основание для принятия показателя в расчет тарифа)</v>
      </c>
      <c r="AI11" s="1234"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5"/>
      <c r="AM11" s="1235"/>
      <c r="AN11" s="1235"/>
      <c r="AO11" s="1236"/>
      <c r="AP11" s="1236"/>
    </row>
    <row s="1234" customFormat="1" customHeight="1" ht="12" hidden="1">
      <c r="A12" s="1161" t="s">
        <v>1959</v>
      </c>
      <c r="B12" s="1154"/>
      <c r="E12" s="1154"/>
      <c r="G12" s="1237"/>
      <c r="H12" s="1237"/>
      <c r="I12" s="1237"/>
      <c r="J12" s="1237"/>
      <c r="K12" s="1237"/>
      <c r="L12" s="1237"/>
      <c r="M12" s="1237"/>
      <c r="N12" s="1237"/>
      <c r="O12" s="1237"/>
      <c r="P12" s="1237"/>
      <c r="Q12" s="1214"/>
      <c r="R12" s="1214"/>
      <c r="S12" s="1237"/>
      <c r="T12" s="1162"/>
      <c r="U12" s="1162"/>
      <c r="V12" s="1162"/>
      <c r="W12" s="1162"/>
      <c r="X12" s="1162"/>
      <c r="Y12" s="1162"/>
      <c r="Z12" s="1162"/>
      <c r="AC12" s="1238" t="s">
        <v>375</v>
      </c>
      <c r="AL12" s="1235"/>
      <c r="AM12" s="1235"/>
      <c r="AN12" s="1235"/>
      <c r="AO12" s="1236"/>
      <c r="AP12" s="1236"/>
    </row>
    <row s="228" customFormat="1" customHeight="1" ht="12" hidden="1">
      <c r="A13" s="1186"/>
      <c r="B13" s="788"/>
      <c r="E13" s="797"/>
      <c r="G13" s="230"/>
      <c r="H13" s="230"/>
      <c r="I13" s="230"/>
      <c r="J13" s="230"/>
      <c r="K13" s="230"/>
      <c r="L13" s="230"/>
      <c r="M13" s="230"/>
      <c r="N13" s="230"/>
      <c r="O13" s="230"/>
      <c r="P13" s="230"/>
      <c r="Q13" s="193"/>
      <c r="R13" s="193"/>
      <c r="S13" s="230"/>
      <c r="T13" s="175"/>
      <c r="U13" s="175"/>
      <c r="V13" s="175"/>
      <c r="W13" s="175"/>
      <c r="X13" s="175"/>
      <c r="Y13" s="175"/>
      <c r="Z13" s="175"/>
      <c r="AC13" s="232"/>
      <c r="AL13" s="1235"/>
      <c r="AM13" s="1235"/>
      <c r="AN13" s="1235"/>
      <c r="AO13" s="1236"/>
      <c r="AP13" s="1236"/>
    </row>
    <row s="228" customFormat="1" customHeight="1" ht="12" hidden="1">
      <c r="A14" s="1186"/>
      <c r="B14" s="788"/>
      <c r="E14" s="797"/>
      <c r="G14" s="230"/>
      <c r="H14" s="230"/>
      <c r="I14" s="230"/>
      <c r="J14" s="230"/>
      <c r="K14" s="230"/>
      <c r="L14" s="230"/>
      <c r="M14" s="230"/>
      <c r="N14" s="230"/>
      <c r="O14" s="230"/>
      <c r="P14" s="230"/>
      <c r="Q14" s="193"/>
      <c r="R14" s="193"/>
      <c r="S14" s="230"/>
      <c r="T14" s="175"/>
      <c r="U14" s="175"/>
      <c r="V14" s="175"/>
      <c r="W14" s="175"/>
      <c r="X14" s="175"/>
      <c r="Y14" s="175"/>
      <c r="Z14" s="175"/>
      <c r="AC14" s="232"/>
      <c r="AL14" s="1235"/>
      <c r="AM14" s="1235"/>
      <c r="AN14" s="1235"/>
      <c r="AO14" s="1236"/>
      <c r="AP14" s="1236"/>
    </row>
    <row s="228" customFormat="1" customHeight="1" ht="12" hidden="1">
      <c r="A15" s="1186"/>
      <c r="B15" s="788"/>
      <c r="E15" s="797"/>
      <c r="G15" s="230"/>
      <c r="H15" s="230"/>
      <c r="I15" s="230"/>
      <c r="J15" s="230"/>
      <c r="K15" s="230"/>
      <c r="L15" s="230"/>
      <c r="M15" s="230"/>
      <c r="N15" s="230"/>
      <c r="O15" s="230"/>
      <c r="P15" s="230"/>
      <c r="Q15" s="193"/>
      <c r="R15" s="193"/>
      <c r="S15" s="230"/>
      <c r="T15" s="175"/>
      <c r="U15" s="175"/>
      <c r="V15" s="175"/>
      <c r="W15" s="175"/>
      <c r="X15" s="175"/>
      <c r="Y15" s="175"/>
      <c r="Z15" s="175"/>
      <c r="AC15" s="232"/>
      <c r="AL15" s="1235"/>
      <c r="AM15" s="1235"/>
      <c r="AN15" s="1235"/>
      <c r="AO15" s="1236"/>
      <c r="AP15" s="1236"/>
    </row>
    <row s="228" customFormat="1" customHeight="1" ht="12" hidden="1">
      <c r="A16" s="1186"/>
      <c r="B16" s="788"/>
      <c r="E16" s="797"/>
      <c r="G16" s="230"/>
      <c r="H16" s="230"/>
      <c r="I16" s="230"/>
      <c r="J16" s="230"/>
      <c r="K16" s="230"/>
      <c r="L16" s="230"/>
      <c r="M16" s="230"/>
      <c r="N16" s="230"/>
      <c r="O16" s="230"/>
      <c r="P16" s="230"/>
      <c r="Q16" s="193"/>
      <c r="R16" s="193"/>
      <c r="S16" s="230"/>
      <c r="T16" s="175"/>
      <c r="U16" s="175"/>
      <c r="V16" s="175"/>
      <c r="W16" s="175"/>
      <c r="X16" s="175"/>
      <c r="Y16" s="175"/>
      <c r="Z16" s="175"/>
      <c r="AC16" s="232"/>
      <c r="AL16" s="1235"/>
      <c r="AM16" s="1235"/>
      <c r="AN16" s="1235"/>
      <c r="AO16" s="1236"/>
      <c r="AP16" s="1236"/>
    </row>
    <row s="228" customFormat="1" customHeight="1" ht="12" hidden="1">
      <c r="A17" s="1186"/>
      <c r="B17" s="788"/>
      <c r="E17" s="797"/>
      <c r="G17" s="230"/>
      <c r="H17" s="230"/>
      <c r="I17" s="230"/>
      <c r="J17" s="230"/>
      <c r="K17" s="230"/>
      <c r="L17" s="230"/>
      <c r="M17" s="230"/>
      <c r="N17" s="230"/>
      <c r="O17" s="230"/>
      <c r="P17" s="230"/>
      <c r="Q17" s="193"/>
      <c r="R17" s="193"/>
      <c r="S17" s="230"/>
      <c r="T17" s="175"/>
      <c r="U17" s="175"/>
      <c r="V17" s="175"/>
      <c r="W17" s="175"/>
      <c r="X17" s="175"/>
      <c r="Y17" s="175"/>
      <c r="Z17" s="175"/>
      <c r="AC17" s="232"/>
      <c r="AL17" s="1235"/>
      <c r="AM17" s="1235"/>
      <c r="AN17" s="1235"/>
      <c r="AO17" s="1236"/>
      <c r="AP17" s="1236"/>
    </row>
    <row s="228" customFormat="1" customHeight="1" ht="12" hidden="1">
      <c r="A18" s="1186"/>
      <c r="B18" s="788"/>
      <c r="E18" s="797"/>
      <c r="G18" s="230"/>
      <c r="H18" s="230"/>
      <c r="I18" s="230"/>
      <c r="J18" s="230"/>
      <c r="K18" s="230"/>
      <c r="L18" s="230"/>
      <c r="M18" s="230"/>
      <c r="N18" s="230"/>
      <c r="O18" s="230"/>
      <c r="P18" s="230"/>
      <c r="Q18" s="193"/>
      <c r="R18" s="193"/>
      <c r="S18" s="230"/>
      <c r="T18" s="175"/>
      <c r="U18" s="175"/>
      <c r="V18" s="175"/>
      <c r="W18" s="175"/>
      <c r="X18" s="175"/>
      <c r="Y18" s="175"/>
      <c r="Z18" s="175"/>
      <c r="AC18" s="232"/>
      <c r="AL18" s="1235"/>
      <c r="AM18" s="1235"/>
      <c r="AN18" s="1235"/>
      <c r="AO18" s="1236"/>
      <c r="AP18" s="1236"/>
    </row>
    <row s="228" customFormat="1" customHeight="1" ht="12" hidden="1">
      <c r="A19" s="1186"/>
      <c r="B19" s="788"/>
      <c r="E19" s="797"/>
      <c r="G19" s="230"/>
      <c r="H19" s="230"/>
      <c r="I19" s="230"/>
      <c r="J19" s="230"/>
      <c r="K19" s="230"/>
      <c r="L19" s="230"/>
      <c r="M19" s="230"/>
      <c r="N19" s="230"/>
      <c r="O19" s="230"/>
      <c r="P19" s="230"/>
      <c r="Q19" s="193"/>
      <c r="R19" s="193"/>
      <c r="S19" s="230"/>
      <c r="T19" s="175"/>
      <c r="U19" s="175"/>
      <c r="V19" s="175"/>
      <c r="W19" s="175"/>
      <c r="X19" s="175"/>
      <c r="Y19" s="175"/>
      <c r="Z19" s="175"/>
      <c r="AC19" s="232"/>
      <c r="AL19" s="1235"/>
      <c r="AM19" s="1235"/>
      <c r="AN19" s="1235"/>
      <c r="AO19" s="1236"/>
      <c r="AP19" s="1236"/>
    </row>
    <row s="228" customFormat="1" customHeight="1" ht="12" hidden="1">
      <c r="A20" s="1186"/>
      <c r="B20" s="788"/>
      <c r="E20" s="797"/>
      <c r="G20" s="230"/>
      <c r="H20" s="230"/>
      <c r="I20" s="230"/>
      <c r="J20" s="230"/>
      <c r="K20" s="230"/>
      <c r="L20" s="230"/>
      <c r="M20" s="230"/>
      <c r="N20" s="230"/>
      <c r="O20" s="230"/>
      <c r="P20" s="230"/>
      <c r="Q20" s="193"/>
      <c r="R20" s="193"/>
      <c r="S20" s="230"/>
      <c r="T20" s="175"/>
      <c r="U20" s="175"/>
      <c r="V20" s="175"/>
      <c r="W20" s="175"/>
      <c r="X20" s="175"/>
      <c r="Y20" s="175"/>
      <c r="Z20" s="175"/>
      <c r="AC20" s="232"/>
      <c r="AL20" s="1235"/>
      <c r="AM20" s="1235"/>
      <c r="AN20" s="1235"/>
      <c r="AO20" s="1236"/>
      <c r="AP20" s="1236"/>
    </row>
    <row customHeight="1" ht="14.625">
      <c r="E21" s="797">
        <v>15</v>
      </c>
      <c r="AA21" s="820"/>
      <c r="AB21" s="230"/>
      <c r="AC21" s="403" cm="1" t="str">
        <f t="array" ref="AC21:AC21">tpl_title</f>
        <v>Кемеровская область / 2026 / ООО "ВЕЛЕС" (ИНН:4212036655, КПП:421201001) / ДПР: 2016-2025</v>
      </c>
      <c r="AD21" s="230"/>
    </row>
    <row s="1535" customFormat="1" customHeight="1" ht="33.15">
      <c r="A22" s="988"/>
      <c r="B22" s="788"/>
      <c r="C22" s="183"/>
      <c r="D22" s="183"/>
      <c r="E22" s="797">
        <v>34</v>
      </c>
      <c r="F22" s="183"/>
      <c r="Q22" s="193"/>
      <c r="R22" s="193"/>
      <c r="T22" s="179"/>
      <c r="U22" s="179"/>
      <c r="V22" s="179"/>
      <c r="W22" s="179"/>
      <c r="X22" s="179"/>
      <c r="Y22" s="179"/>
      <c r="Z22" s="179"/>
      <c r="AB22" s="1558" t="s">
        <v>71</v>
      </c>
      <c r="AC22" s="1558"/>
      <c r="AD22" s="1558"/>
      <c r="AE22" s="1558"/>
      <c r="AF22" s="1558"/>
      <c r="AG22" s="1558"/>
      <c r="AH22" s="1558"/>
      <c r="AI22" s="1558"/>
      <c r="AL22" s="1192"/>
      <c r="AM22" s="1192"/>
      <c r="AN22" s="1192"/>
      <c r="AO22" s="1193"/>
      <c r="AP22" s="1193"/>
    </row>
    <row s="1535" customFormat="1" customHeight="1" ht="9.945">
      <c r="A23" s="988"/>
      <c r="B23" s="788"/>
      <c r="C23" s="183"/>
      <c r="D23" s="183"/>
      <c r="E23" s="797">
        <v>10.2</v>
      </c>
      <c r="F23" s="183"/>
      <c r="Q23" s="193"/>
      <c r="R23" s="193"/>
      <c r="T23" s="179"/>
      <c r="U23" s="179"/>
      <c r="V23" s="179"/>
      <c r="W23" s="179"/>
      <c r="X23" s="179"/>
      <c r="Y23" s="179"/>
      <c r="Z23" s="179"/>
      <c r="AB23" s="231"/>
      <c r="AC23" s="231"/>
      <c r="AD23" s="231"/>
      <c r="AE23" s="231"/>
      <c r="AF23" s="231"/>
      <c r="AG23" s="231"/>
      <c r="AH23" s="231"/>
      <c r="AI23" s="231"/>
      <c r="AL23" s="1192"/>
      <c r="AM23" s="1192"/>
      <c r="AN23" s="1192"/>
      <c r="AO23" s="1193"/>
      <c r="AP23" s="1193"/>
    </row>
    <row s="229" customFormat="1" customHeight="1" ht="24.180000000000003">
      <c r="A24" s="332"/>
      <c r="B24" s="792"/>
      <c r="C24" s="232"/>
      <c r="D24" s="232"/>
      <c r="E24" s="803">
        <v>24.8</v>
      </c>
      <c r="F24" s="232"/>
      <c r="Q24" s="932"/>
      <c r="R24" s="932"/>
      <c r="T24" s="171"/>
      <c r="U24" s="171"/>
      <c r="V24" s="171"/>
      <c r="W24" s="171"/>
      <c r="X24" s="171"/>
      <c r="Y24" s="171"/>
      <c r="Z24" s="171"/>
      <c r="AB24" s="1559" t="s">
        <v>386</v>
      </c>
      <c r="AC24" s="1547" t="s">
        <v>440</v>
      </c>
      <c r="AD24" s="1547" t="s">
        <v>441</v>
      </c>
      <c r="AE24" s="1364" t="str">
        <f>god&amp;" год"</f>
        <v>2026 год</v>
      </c>
      <c r="AF24" s="157" t="str">
        <f>god&amp;" год"</f>
        <v>2026 год</v>
      </c>
      <c r="AG24" s="1546" t="s">
        <v>1290</v>
      </c>
      <c r="AH24" s="1546" t="s">
        <v>595</v>
      </c>
      <c r="AI24" s="1546" t="s">
        <v>1291</v>
      </c>
      <c r="AL24" s="1235"/>
      <c r="AM24" s="1239"/>
      <c r="AN24" s="1239"/>
      <c r="AO24" s="1240"/>
      <c r="AP24" s="1240"/>
    </row>
    <row s="229" customFormat="1" customHeight="1" ht="44.655">
      <c r="A25" s="332"/>
      <c r="B25" s="792"/>
      <c r="C25" s="232"/>
      <c r="D25" s="232"/>
      <c r="E25" s="803">
        <v>45.8</v>
      </c>
      <c r="F25" s="232"/>
      <c r="Q25" s="932"/>
      <c r="R25" s="932"/>
      <c r="T25" s="171"/>
      <c r="U25" s="171"/>
      <c r="V25" s="171"/>
      <c r="W25" s="171"/>
      <c r="X25" s="171"/>
      <c r="Y25" s="171"/>
      <c r="Z25" s="171"/>
      <c r="AB25" s="1560"/>
      <c r="AC25" s="1547"/>
      <c r="AD25" s="1547"/>
      <c r="AE25" s="1366" t="s">
        <v>403</v>
      </c>
      <c r="AF25" s="157" t="s">
        <v>1554</v>
      </c>
      <c r="AG25" s="1546"/>
      <c r="AH25" s="1546"/>
      <c r="AI25" s="1546"/>
      <c r="AL25" s="1235"/>
      <c r="AM25" s="1239"/>
      <c r="AN25" s="1239"/>
      <c r="AO25" s="1240"/>
      <c r="AP25" s="1240"/>
    </row>
    <row s="229" customFormat="1" customHeight="1" ht="14.25" hidden="1">
      <c r="A26" s="332"/>
      <c r="B26" s="792"/>
      <c r="C26" s="232"/>
      <c r="D26" s="232"/>
      <c r="E26" s="803">
        <v>0</v>
      </c>
      <c r="F26" s="232"/>
      <c r="Q26" s="932"/>
      <c r="R26" s="932"/>
      <c r="T26" s="171"/>
      <c r="U26" s="171"/>
      <c r="V26" s="171"/>
      <c r="W26" s="171"/>
      <c r="X26" s="171"/>
      <c r="Y26" s="171"/>
      <c r="Z26" s="171"/>
      <c r="AB26" s="712"/>
      <c r="AC26" s="712"/>
      <c r="AD26" s="712"/>
      <c r="AE26" s="171"/>
      <c r="AF26" s="171"/>
      <c r="AG26" s="232"/>
      <c r="AH26" s="232"/>
      <c r="AI26" s="232"/>
      <c r="AL26" s="1235"/>
      <c r="AM26" s="1239"/>
      <c r="AN26" s="1239"/>
      <c r="AO26" s="1240"/>
      <c r="AP26" s="1240"/>
    </row>
    <row s="220" customFormat="1" customHeight="1" ht="16.672500000000003" hidden="1">
      <c r="E27" s="797">
        <v>17.1</v>
      </c>
      <c r="F27" s="922"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T27" s="808">
        <f>AND(F27&gt;0,OR(ISBLANK(Y27),Y27&gt;0))</f>
        <v>0</v>
      </c>
      <c r="V27" s="175" t="s">
        <v>310</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L27" s="1184"/>
      <c r="AM27" s="1184"/>
      <c r="AN27" s="1184"/>
      <c r="AO27" s="1187"/>
      <c r="AP27" s="1187"/>
    </row>
    <row s="220" customFormat="1" customHeight="1" ht="16.672500000000003" hidden="1">
      <c r="E28" s="797">
        <v>17.1</v>
      </c>
      <c r="F28" s="922" cm="1" t="str">
        <f t="array" ref="F28:F28">OFFSET(G28,-1,-1)</f>
        <v>0</v>
      </c>
      <c r="T28" s="808">
        <f>AND(F28&gt;0,OR(ISBLANK(Y28),Y28&gt;0))</f>
        <v>0</v>
      </c>
      <c r="AB28" s="578">
        <v>1</v>
      </c>
      <c r="AC28" s="1027" t="s">
        <v>1960</v>
      </c>
      <c r="AD28" s="1028"/>
      <c r="AE28" s="1028"/>
      <c r="AF28" s="1028"/>
      <c r="AG28" s="1028"/>
      <c r="AH28" s="1028"/>
      <c r="AI28" s="1028"/>
      <c r="AL28" s="1184"/>
      <c r="AM28" s="1184"/>
      <c r="AN28" s="1184"/>
      <c r="AO28" s="1187"/>
      <c r="AP28" s="1187"/>
    </row>
    <row s="220" customFormat="1" customHeight="1" ht="39" hidden="1">
      <c r="E29" s="797">
        <v>40</v>
      </c>
      <c r="F29" s="922" cm="1" t="str">
        <f t="array" ref="F29:F29">OFFSET(G29,-1,-1)</f>
        <v>0</v>
      </c>
      <c r="T29" s="808">
        <f>AND(F29&gt;0,OR(ISBLANK(Y29),Y29&gt;0))</f>
        <v>0</v>
      </c>
      <c r="AB29" s="578" t="s">
        <v>449</v>
      </c>
      <c r="AC29" s="289" t="s">
        <v>1961</v>
      </c>
      <c r="AD29" s="154" t="s">
        <v>1402</v>
      </c>
      <c r="AE29" s="61"/>
      <c r="AF29" s="61"/>
      <c r="AG29" s="140"/>
      <c r="AH29" s="140"/>
      <c r="AI29" s="59"/>
      <c r="AL29" s="1184" t="s">
        <v>1962</v>
      </c>
      <c r="AM29" s="1184"/>
      <c r="AN29" s="1184"/>
      <c r="AO29" s="1187"/>
      <c r="AP29" s="1187"/>
    </row>
    <row s="220" customFormat="1" customHeight="1" ht="39" hidden="1">
      <c r="E30" s="797">
        <v>40</v>
      </c>
      <c r="F30" s="922" cm="1" t="str">
        <f t="array" ref="F30:F30">OFFSET(G30,-1,-1)</f>
        <v>0</v>
      </c>
      <c r="T30" s="808">
        <f>AND(F30&gt;0,OR(ISBLANK(Y30),Y30&gt;0))</f>
        <v>0</v>
      </c>
      <c r="AB30" s="578" t="s">
        <v>935</v>
      </c>
      <c r="AC30" s="289" t="s">
        <v>1963</v>
      </c>
      <c r="AD30" s="154" t="s">
        <v>466</v>
      </c>
      <c r="AE30" s="61"/>
      <c r="AF30" s="61"/>
      <c r="AG30" s="140"/>
      <c r="AH30" s="140"/>
      <c r="AI30" s="59"/>
      <c r="AL30" s="1184" t="s">
        <v>1964</v>
      </c>
      <c r="AM30" s="1184"/>
      <c r="AN30" s="1184"/>
      <c r="AO30" s="1187"/>
      <c r="AP30" s="1187"/>
    </row>
    <row s="220" customFormat="1" customHeight="1" ht="34.125" hidden="1">
      <c r="E31" s="797">
        <v>35</v>
      </c>
      <c r="F31" s="922" cm="1" t="str">
        <f t="array" ref="F31:F31">OFFSET(G31,-1,-1)</f>
        <v>0</v>
      </c>
      <c r="T31" s="808">
        <f>AND(F31&gt;0,OR(ISBLANK(Y31),Y31&gt;0))</f>
        <v>0</v>
      </c>
      <c r="AB31" s="578" t="s">
        <v>937</v>
      </c>
      <c r="AC31" s="289" t="s">
        <v>1965</v>
      </c>
      <c r="AD31" s="154" t="s">
        <v>1935</v>
      </c>
      <c r="AE31" s="61">
        <f>_xlfn.IFERROR(AE29/AE30,0)</f>
        <v>0</v>
      </c>
      <c r="AF31" s="61">
        <f>_xlfn.IFERROR(AF29/AF30,0)</f>
        <v>0</v>
      </c>
      <c r="AG31" s="140"/>
      <c r="AH31" s="140"/>
      <c r="AI31" s="59"/>
      <c r="AL31" s="1184" t="s">
        <v>1966</v>
      </c>
      <c r="AM31" s="1184"/>
      <c r="AN31" s="1184"/>
      <c r="AO31" s="1187"/>
      <c r="AP31" s="1187"/>
    </row>
    <row s="220" customFormat="1" customHeight="1" ht="34.125" hidden="1">
      <c r="E32" s="797">
        <v>35</v>
      </c>
      <c r="F32" s="922" cm="1" t="str">
        <f t="array" ref="F32:F32">OFFSET(G32,-1,-1)</f>
        <v>0</v>
      </c>
      <c r="T32" s="808">
        <f>AND(F32&gt;0,OR(ISBLANK(Y32),Y32&gt;0))</f>
        <v>0</v>
      </c>
      <c r="AB32" s="578" t="s">
        <v>941</v>
      </c>
      <c r="AC32" s="289" t="s">
        <v>1967</v>
      </c>
      <c r="AD32" s="154"/>
      <c r="AE32" s="141"/>
      <c r="AF32" s="141"/>
      <c r="AG32" s="140"/>
      <c r="AH32" s="140"/>
      <c r="AI32" s="59"/>
      <c r="AL32" s="1184" t="s">
        <v>1968</v>
      </c>
      <c r="AM32" s="1184"/>
      <c r="AN32" s="1184"/>
      <c r="AO32" s="1187"/>
      <c r="AP32" s="1187"/>
    </row>
    <row s="220" customFormat="1" customHeight="1" ht="34.125" hidden="1">
      <c r="E33" s="797">
        <v>35</v>
      </c>
      <c r="F33" s="922" cm="1" t="str">
        <f t="array" ref="F33:F33">OFFSET(G33,-1,-1)</f>
        <v>0</v>
      </c>
      <c r="T33" s="808">
        <f>AND(F33&gt;0,OR(ISBLANK(Y33),Y33&gt;0))</f>
        <v>0</v>
      </c>
      <c r="AB33" s="578" t="s">
        <v>1046</v>
      </c>
      <c r="AC33" s="1029" t="s">
        <v>1969</v>
      </c>
      <c r="AD33" s="1030" t="s">
        <v>1935</v>
      </c>
      <c r="AE33" s="62">
        <f>AE31*AE32</f>
        <v>0</v>
      </c>
      <c r="AF33" s="62">
        <f>AF31*AF32</f>
        <v>0</v>
      </c>
      <c r="AG33" s="142"/>
      <c r="AH33" s="142"/>
      <c r="AI33" s="143"/>
      <c r="AL33" s="1184" t="s">
        <v>1970</v>
      </c>
      <c r="AM33" s="1184"/>
      <c r="AN33" s="1184"/>
      <c r="AO33" s="1187"/>
      <c r="AP33" s="1187"/>
    </row>
    <row s="220" customFormat="1" customHeight="1" ht="16.672500000000003" hidden="1">
      <c r="E34" s="797">
        <v>17.1</v>
      </c>
      <c r="F34" s="922" cm="1" t="str">
        <f t="array" ref="F34:F34">OFFSET(G34,-1,-1)</f>
        <v>0</v>
      </c>
      <c r="T34" s="808">
        <f>AND(F34&gt;0,OR(ISBLANK(Y34),Y34&gt;0))</f>
        <v>0</v>
      </c>
      <c r="AB34" s="578" t="s">
        <v>1049</v>
      </c>
      <c r="AC34" s="1029" t="s">
        <v>1971</v>
      </c>
      <c r="AD34" s="1030" t="s">
        <v>498</v>
      </c>
      <c r="AE34" s="62"/>
      <c r="AF34" s="62"/>
      <c r="AG34" s="142"/>
      <c r="AH34" s="142"/>
      <c r="AI34" s="143"/>
      <c r="AL34" s="1184" t="s">
        <v>1972</v>
      </c>
      <c r="AM34" s="1184"/>
      <c r="AN34" s="1184"/>
      <c r="AO34" s="1187"/>
      <c r="AP34" s="1187"/>
    </row>
    <row s="220" customFormat="1" customHeight="1" ht="39" hidden="1">
      <c r="E35" s="797">
        <v>40</v>
      </c>
      <c r="F35" s="922" cm="1" t="str">
        <f t="array" ref="F35:F35">OFFSET(G35,-1,-1)</f>
        <v>0</v>
      </c>
      <c r="T35" s="808">
        <f>AND(F35&gt;0,OR(ISBLANK(Y35),Y35&gt;0))</f>
        <v>0</v>
      </c>
      <c r="AB35" s="578" t="s">
        <v>1052</v>
      </c>
      <c r="AC35" s="1029" t="s">
        <v>1973</v>
      </c>
      <c r="AD35" s="1030" t="s">
        <v>466</v>
      </c>
      <c r="AE35" s="62"/>
      <c r="AF35" s="62"/>
      <c r="AG35" s="142"/>
      <c r="AH35" s="142"/>
      <c r="AI35" s="143"/>
      <c r="AL35" s="1184" t="s">
        <v>1974</v>
      </c>
      <c r="AM35" s="1184"/>
      <c r="AN35" s="1184"/>
      <c r="AO35" s="1187"/>
      <c r="AP35" s="1187"/>
    </row>
    <row s="220" customFormat="1" customHeight="1" ht="16.672500000000003" hidden="1">
      <c r="E36" s="797">
        <v>17.1</v>
      </c>
      <c r="F36" s="922" cm="1" t="str">
        <f t="array" ref="F36:F36">OFFSET(G36,-1,-1)</f>
        <v>0</v>
      </c>
      <c r="T36" s="808">
        <f>AND(F36&gt;0,OR(ISBLANK(Y36),Y36&gt;0))</f>
        <v>0</v>
      </c>
      <c r="AB36" s="578" t="s">
        <v>1055</v>
      </c>
      <c r="AC36" s="1029" t="s">
        <v>1975</v>
      </c>
      <c r="AD36" s="1030" t="s">
        <v>1402</v>
      </c>
      <c r="AE36" s="62">
        <f>AE33*AE35*(1+AE34)</f>
        <v>0</v>
      </c>
      <c r="AF36" s="62">
        <f>AF33*AF35*(1+AF34)</f>
        <v>0</v>
      </c>
      <c r="AG36" s="142"/>
      <c r="AH36" s="142"/>
      <c r="AI36" s="143"/>
      <c r="AL36" s="1184" t="s">
        <v>1409</v>
      </c>
      <c r="AM36" s="1184"/>
      <c r="AN36" s="1184"/>
      <c r="AO36" s="1187"/>
      <c r="AP36" s="1187"/>
    </row>
    <row s="220" customFormat="1" customHeight="1" ht="16.672500000000003" hidden="1">
      <c r="E37" s="797">
        <v>17.1</v>
      </c>
      <c r="F37" s="922" cm="1" t="str">
        <f t="array" ref="F37:F37">OFFSET(G37,-1,-1)</f>
        <v>0</v>
      </c>
      <c r="T37" s="808">
        <f>AND(F37&gt;0,OR(ISBLANK(Y37),Y37&gt;0))</f>
        <v>0</v>
      </c>
      <c r="AB37" s="1122">
        <v>2</v>
      </c>
      <c r="AC37" s="1027" t="s">
        <v>1976</v>
      </c>
      <c r="AD37" s="1028"/>
      <c r="AE37" s="1050"/>
      <c r="AF37" s="1050"/>
      <c r="AG37" s="1027"/>
      <c r="AH37" s="1027"/>
      <c r="AI37" s="1027"/>
      <c r="AL37" s="1184"/>
      <c r="AM37" s="1184"/>
      <c r="AN37" s="1184"/>
      <c r="AO37" s="1187"/>
      <c r="AP37" s="1187"/>
    </row>
    <row s="220" customFormat="1" customHeight="1" ht="39" hidden="1">
      <c r="E38" s="797">
        <v>40</v>
      </c>
      <c r="F38" s="922" cm="1" t="str">
        <f t="array" ref="F38:F38">OFFSET(G38,-1,-1)</f>
        <v>0</v>
      </c>
      <c r="T38" s="808">
        <f>AND(F38&gt;0,OR(ISBLANK(Y38),Y38&gt;0))</f>
        <v>0</v>
      </c>
      <c r="AB38" s="288" t="s">
        <v>456</v>
      </c>
      <c r="AC38" s="1036" t="s">
        <v>1977</v>
      </c>
      <c r="AD38" s="154" t="s">
        <v>1402</v>
      </c>
      <c r="AE38" s="98">
        <f>SUM(AE39:AE40)</f>
        <v>0</v>
      </c>
      <c r="AF38" s="98">
        <f>SUM(AF39:AF40)</f>
        <v>0</v>
      </c>
      <c r="AG38" s="142"/>
      <c r="AH38" s="142"/>
      <c r="AI38" s="143"/>
      <c r="AL38" s="1184" t="s">
        <v>1978</v>
      </c>
      <c r="AM38" s="1184"/>
      <c r="AN38" s="1184"/>
      <c r="AO38" s="1187"/>
      <c r="AP38" s="1187"/>
    </row>
    <row s="220" customFormat="1" customHeight="1" ht="16.575" hidden="1">
      <c r="E39" s="797">
        <v>17</v>
      </c>
      <c r="F39" s="922" cm="1" t="str">
        <f t="array" ref="F39:F39">OFFSET(G39,-1,-1)</f>
        <v>0</v>
      </c>
      <c r="T39" s="808">
        <f>AND(F39&gt;0,OR(ISBLANK(Y39),Y39&gt;0))</f>
        <v>0</v>
      </c>
      <c r="W39" s="175" t="s">
        <v>234</v>
      </c>
      <c r="Y39" s="175">
        <v>0</v>
      </c>
      <c r="AA39" s="917" t="s">
        <v>218</v>
      </c>
      <c r="AB39" s="288" t="str">
        <f>"2.1."&amp;Y39</f>
        <v>2.1.0</v>
      </c>
      <c r="AC39" s="144"/>
      <c r="AD39" s="154" t="s">
        <v>1402</v>
      </c>
      <c r="AE39" s="98"/>
      <c r="AF39" s="98"/>
      <c r="AG39" s="142"/>
      <c r="AH39" s="142"/>
      <c r="AI39" s="143"/>
      <c r="AL39" s="1184" t="s">
        <v>1978</v>
      </c>
      <c r="AM39" s="1184" t="s">
        <v>1979</v>
      </c>
      <c r="AN39" s="1184" cm="1" t="str">
        <f t="array" ref="AN39:AN39">AC39</f>
        <v>0</v>
      </c>
      <c r="AO39" s="1187"/>
      <c r="AP39" s="1187" t="b">
        <v>1</v>
      </c>
    </row>
    <row s="220" customFormat="1" customHeight="1" ht="16.575" hidden="1">
      <c r="E40" s="797">
        <v>17</v>
      </c>
      <c r="F40" s="922" cm="1" t="str">
        <f t="array" ref="F40:F40">OFFSET(G40,-1,-1)</f>
        <v>0</v>
      </c>
      <c r="T40" s="808">
        <f>AND(F40&gt;0,OR(ISBLANK(Y40),Y40&gt;0))</f>
        <v>0</v>
      </c>
      <c r="W40" s="1019" t="s">
        <v>951</v>
      </c>
      <c r="AB40" s="302"/>
      <c r="AC40" s="735" t="s">
        <v>236</v>
      </c>
      <c r="AD40" s="303"/>
      <c r="AE40" s="303"/>
      <c r="AF40" s="303"/>
      <c r="AG40" s="303"/>
      <c r="AH40" s="303"/>
      <c r="AI40" s="303"/>
      <c r="AL40" s="1184" t="str">
        <f>IF(AND(ISNUMBER(VALUE(TRIM(SUBSTITUTE(AB40,".","")))),TRIM(SUBSTITUTE(AB40,".",""))&lt;&gt;""),"P"&amp;SUBSTITUTE(AB40,".",""),"")</f>
        <v/>
      </c>
      <c r="AM40" s="1184"/>
      <c r="AN40" s="1184"/>
      <c r="AO40" s="1187" t="s">
        <v>1979</v>
      </c>
      <c r="AP40" s="1187"/>
    </row>
    <row s="220" customFormat="1" customHeight="1" ht="39" hidden="1">
      <c r="E41" s="797">
        <v>40</v>
      </c>
      <c r="F41" s="922" cm="1" t="str">
        <f t="array" ref="F41:F41">OFFSET(G41,-1,-1)</f>
        <v>0</v>
      </c>
      <c r="T41" s="808">
        <f>AND(F41&gt;0,OR(ISBLANK(Y41),Y41&gt;0))</f>
        <v>0</v>
      </c>
      <c r="AB41" s="288" t="s">
        <v>483</v>
      </c>
      <c r="AC41" s="1036" t="s">
        <v>1980</v>
      </c>
      <c r="AD41" s="154" t="s">
        <v>1949</v>
      </c>
      <c r="AE41" s="98">
        <f>SUM(AE42:AE43)</f>
        <v>0</v>
      </c>
      <c r="AF41" s="98">
        <f>SUM(AF42:AF43)</f>
        <v>0</v>
      </c>
      <c r="AG41" s="142"/>
      <c r="AH41" s="142"/>
      <c r="AI41" s="143"/>
      <c r="AL41" s="1184" t="s">
        <v>1950</v>
      </c>
      <c r="AM41" s="1184"/>
      <c r="AN41" s="1184"/>
      <c r="AO41" s="1187"/>
      <c r="AP41" s="1187"/>
    </row>
    <row s="220" customFormat="1" customHeight="1" ht="16.672500000000003" hidden="1">
      <c r="E42" s="797">
        <v>17.1</v>
      </c>
      <c r="F42" s="922" cm="1" t="str">
        <f t="array" ref="F42:F42">OFFSET(G42,-1,-1)</f>
        <v>0</v>
      </c>
      <c r="T42" s="808">
        <f>AND(F42&gt;0,OR(ISBLANK(Y42),Y42&gt;0))</f>
        <v>0</v>
      </c>
      <c r="W42" s="175" t="s">
        <v>234</v>
      </c>
      <c r="Y42" s="175">
        <v>0</v>
      </c>
      <c r="AA42" s="917" t="s">
        <v>218</v>
      </c>
      <c r="AB42" s="288" t="str">
        <f>"2.2."&amp;Y42</f>
        <v>2.2.0</v>
      </c>
      <c r="AC42" s="144"/>
      <c r="AD42" s="154" t="s">
        <v>1949</v>
      </c>
      <c r="AE42" s="98"/>
      <c r="AF42" s="98"/>
      <c r="AG42" s="142"/>
      <c r="AH42" s="142"/>
      <c r="AI42" s="143"/>
      <c r="AL42" s="1184" t="s">
        <v>1950</v>
      </c>
      <c r="AM42" s="1184" t="s">
        <v>1981</v>
      </c>
      <c r="AN42" s="1184" cm="1" t="str">
        <f t="array" ref="AN42:AN42">AC42</f>
        <v>0</v>
      </c>
      <c r="AO42" s="1187"/>
      <c r="AP42" s="1187" t="b">
        <v>1</v>
      </c>
    </row>
    <row s="220" customFormat="1" customHeight="1" ht="16.575" hidden="1">
      <c r="E43" s="797">
        <v>17</v>
      </c>
      <c r="F43" s="922" cm="1" t="str">
        <f t="array" ref="F43:F43">OFFSET(G43,-1,-1)</f>
        <v>0</v>
      </c>
      <c r="T43" s="808">
        <f>AND(F43&gt;0,OR(ISBLANK(Y43),Y43&gt;0))</f>
        <v>0</v>
      </c>
      <c r="W43" s="1019" t="s">
        <v>962</v>
      </c>
      <c r="AB43" s="302"/>
      <c r="AC43" s="735" t="s">
        <v>236</v>
      </c>
      <c r="AD43" s="303"/>
      <c r="AE43" s="303"/>
      <c r="AF43" s="303"/>
      <c r="AG43" s="303"/>
      <c r="AH43" s="303"/>
      <c r="AI43" s="303"/>
      <c r="AL43" s="1184" t="str">
        <f>IF(AND(ISNUMBER(VALUE(TRIM(SUBSTITUTE(AB43,".","")))),TRIM(SUBSTITUTE(AB43,".",""))&lt;&gt;""),"P"&amp;SUBSTITUTE(AB43,".",""),"")</f>
        <v/>
      </c>
      <c r="AM43" s="1184"/>
      <c r="AN43" s="1184"/>
      <c r="AO43" s="1187" t="s">
        <v>1981</v>
      </c>
      <c r="AP43" s="1187"/>
    </row>
    <row s="220" customFormat="1" customHeight="1" ht="34.125" hidden="1">
      <c r="E44" s="797">
        <v>35</v>
      </c>
      <c r="F44" s="922" cm="1" t="str">
        <f t="array" ref="F44:F44">OFFSET(G44,-1,-1)</f>
        <v>0</v>
      </c>
      <c r="T44" s="808">
        <f>AND(F44&gt;0,OR(ISBLANK(Y44),Y44&gt;0))</f>
        <v>0</v>
      </c>
      <c r="AB44" s="1122" t="s">
        <v>487</v>
      </c>
      <c r="AC44" s="1037" t="s">
        <v>1982</v>
      </c>
      <c r="AD44" s="1031" t="s">
        <v>1402</v>
      </c>
      <c r="AE44" s="61"/>
      <c r="AF44" s="61"/>
      <c r="AG44" s="140"/>
      <c r="AH44" s="140"/>
      <c r="AI44" s="59"/>
      <c r="AL44" s="1184" t="s">
        <v>1983</v>
      </c>
      <c r="AM44" s="1184"/>
      <c r="AN44" s="1184"/>
      <c r="AO44" s="1187"/>
      <c r="AP44" s="1187"/>
    </row>
    <row s="220" customFormat="1" customHeight="1" ht="39" hidden="1">
      <c r="E45" s="797">
        <v>40</v>
      </c>
      <c r="F45" s="922" cm="1" t="str">
        <f t="array" ref="F45:F45">OFFSET(G45,-1,-1)</f>
        <v>0</v>
      </c>
      <c r="T45" s="808">
        <f>AND(F45&gt;0,OR(ISBLANK(Y45),Y45&gt;0))</f>
        <v>0</v>
      </c>
      <c r="AB45" s="288" t="s">
        <v>491</v>
      </c>
      <c r="AC45" s="289" t="s">
        <v>1984</v>
      </c>
      <c r="AD45" s="154"/>
      <c r="AE45" s="63"/>
      <c r="AF45" s="61"/>
      <c r="AG45" s="140"/>
      <c r="AH45" s="140"/>
      <c r="AI45" s="59"/>
      <c r="AL45" s="1184" t="s">
        <v>1985</v>
      </c>
      <c r="AM45" s="1184"/>
      <c r="AN45" s="1184"/>
      <c r="AO45" s="1187"/>
      <c r="AP45" s="1187"/>
    </row>
    <row s="220" customFormat="1" customHeight="1" ht="34.125" hidden="1">
      <c r="E46" s="797">
        <v>35</v>
      </c>
      <c r="F46" s="922" cm="1" t="str">
        <f t="array" ref="F46:F46">OFFSET(G46,-1,-1)</f>
        <v>0</v>
      </c>
      <c r="T46" s="808">
        <f>AND(F46&gt;0,OR(ISBLANK(Y46),Y46&gt;0))</f>
        <v>0</v>
      </c>
      <c r="AB46" s="288" t="s">
        <v>1561</v>
      </c>
      <c r="AC46" s="289" t="s">
        <v>1986</v>
      </c>
      <c r="AD46" s="154" t="s">
        <v>900</v>
      </c>
      <c r="AE46" s="63">
        <f>_xlfn.IFERROR(AE38/AE41*AE45,0)</f>
        <v>0</v>
      </c>
      <c r="AF46" s="63">
        <f>_xlfn.IFERROR(AF38/AF41*AF45,0)</f>
        <v>0</v>
      </c>
      <c r="AG46" s="140"/>
      <c r="AH46" s="140"/>
      <c r="AI46" s="59"/>
      <c r="AL46" s="1184" t="s">
        <v>1987</v>
      </c>
      <c r="AM46" s="1184"/>
      <c r="AN46" s="1184"/>
      <c r="AO46" s="1187"/>
      <c r="AP46" s="1187"/>
    </row>
    <row s="220" customFormat="1" customHeight="1" ht="16.575" hidden="1">
      <c r="E47" s="797">
        <v>17</v>
      </c>
      <c r="F47" s="922" cm="1" t="str">
        <f t="array" ref="F47:F47">OFFSET(G47,-1,-1)</f>
        <v>0</v>
      </c>
      <c r="T47" s="808">
        <f>AND(F47&gt;0,OR(ISBLANK(Y47),Y47&gt;0))</f>
        <v>0</v>
      </c>
      <c r="AB47" s="288" t="s">
        <v>1988</v>
      </c>
      <c r="AC47" s="289" t="s">
        <v>1971</v>
      </c>
      <c r="AD47" s="154" t="s">
        <v>498</v>
      </c>
      <c r="AE47" s="63"/>
      <c r="AF47" s="61"/>
      <c r="AG47" s="140"/>
      <c r="AH47" s="140"/>
      <c r="AI47" s="59"/>
      <c r="AL47" s="1184" t="s">
        <v>1989</v>
      </c>
      <c r="AM47" s="1184"/>
      <c r="AN47" s="1184"/>
      <c r="AO47" s="1187"/>
      <c r="AP47" s="1187"/>
    </row>
    <row s="220" customFormat="1" customHeight="1" ht="34.125" hidden="1">
      <c r="E48" s="797">
        <v>35</v>
      </c>
      <c r="F48" s="922" cm="1" t="str">
        <f t="array" ref="F48:F48">OFFSET(G48,-1,-1)</f>
        <v>0</v>
      </c>
      <c r="T48" s="808">
        <f>AND(F48&gt;0,OR(ISBLANK(Y48),Y48&gt;0))</f>
        <v>0</v>
      </c>
      <c r="AB48" s="288" t="s">
        <v>1990</v>
      </c>
      <c r="AC48" s="289" t="s">
        <v>1991</v>
      </c>
      <c r="AD48" s="154" t="s">
        <v>1949</v>
      </c>
      <c r="AE48" s="145"/>
      <c r="AF48" s="62"/>
      <c r="AG48" s="140"/>
      <c r="AH48" s="140"/>
      <c r="AI48" s="59"/>
      <c r="AL48" s="1184" t="s">
        <v>1992</v>
      </c>
      <c r="AM48" s="1184"/>
      <c r="AN48" s="1184"/>
      <c r="AO48" s="1187"/>
      <c r="AP48" s="1187"/>
    </row>
    <row s="220" customFormat="1" customHeight="1" ht="16.575" hidden="1">
      <c r="E49" s="797">
        <v>17</v>
      </c>
      <c r="F49" s="922" cm="1" t="str">
        <f t="array" ref="F49:F49">OFFSET(G49,-1,-1)</f>
        <v>0</v>
      </c>
      <c r="T49" s="808">
        <f>AND(F49&gt;0,OR(ISBLANK(Y49),Y49&gt;0))</f>
        <v>0</v>
      </c>
      <c r="AB49" s="288" t="s">
        <v>1993</v>
      </c>
      <c r="AC49" s="289" t="s">
        <v>1994</v>
      </c>
      <c r="AD49" s="154" t="s">
        <v>1402</v>
      </c>
      <c r="AE49" s="61">
        <f>AE46*AE48*(1+AE47)</f>
        <v>0</v>
      </c>
      <c r="AF49" s="61">
        <f>AF46*AF48*(1+AF47)</f>
        <v>0</v>
      </c>
      <c r="AG49" s="140"/>
      <c r="AH49" s="140"/>
      <c r="AI49" s="59"/>
      <c r="AL49" s="1184" t="s">
        <v>1995</v>
      </c>
      <c r="AM49" s="1184"/>
      <c r="AN49" s="1184"/>
      <c r="AO49" s="1187"/>
      <c r="AP49" s="1187"/>
    </row>
    <row customHeight="1" ht="17.25" hidden="1">
      <c r="E50" s="797">
        <v>0</v>
      </c>
      <c r="F50" s="922" cm="1" t="str">
        <f t="array" ref="F50:F50">OFFSET(G50,-1,-1)</f>
        <v>0</v>
      </c>
      <c r="T50" s="808">
        <f>AND(F50&gt;0,OR(ISBLANK(Y50),Y50&gt;0))</f>
        <v>0</v>
      </c>
    </row>
    <row s="2017" customFormat="1" customHeight="1" ht="16.5">
      <c r="A51" s="220"/>
      <c r="B51" s="220"/>
      <c r="C51" s="220"/>
      <c r="D51" s="220"/>
      <c r="E51" s="797">
        <v>17.1</v>
      </c>
      <c r="F51" s="922" cm="1" t="str">
        <f t="array" ref="F51:F51">X51</f>
        <v>1</v>
      </c>
      <c r="G51" s="739" cm="1" t="str">
        <f t="array" ref="G51:G51">INDEX('Общие сведения'!$AK$169:$AK$202,MATCH($F51,'Общие сведения'!$Z$169:$Z$202,0))</f>
        <v>одноставочный</v>
      </c>
      <c r="H51" s="220"/>
      <c r="I51" s="213" cm="1" t="str">
        <f t="array" ref="I51:I51">INDEX('Общие сведения'!$AE$169:$AE$202,MATCH($F51,'Общие сведения'!$Z$169:$Z$202,0))</f>
        <v>Теплоснабжение</v>
      </c>
      <c r="J51" s="220"/>
      <c r="K51" s="213"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0"/>
      <c r="M51" s="220"/>
      <c r="N51" s="220"/>
      <c r="O51" s="220"/>
      <c r="P51" s="220"/>
      <c r="Q51" s="220"/>
      <c r="R51" s="220"/>
      <c r="S51" s="220"/>
      <c r="T51" s="808">
        <f>AND(F51&gt;0,OR(ISBLANK(Y51),Y51&gt;0))</f>
        <v>1</v>
      </c>
      <c r="U51" s="220"/>
      <c r="V51" s="175" cm="1" t="str">
        <f t="array" ref="V51:V51">'Удельные расходы (МСА)'!$AB$41</f>
        <v>Тариф 1 (Теплоснабжение) - Тариф на тепловую энергию (мощность), поставляемую потребителям (Не определено)</v>
      </c>
      <c r="W51" s="220"/>
      <c r="X51" s="1557" t="s">
        <v>336</v>
      </c>
      <c r="Y51" s="220"/>
      <c r="Z51" s="220"/>
      <c r="AA51" s="220"/>
      <c r="AB51" s="330"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1"/>
      <c r="AD51" s="331"/>
      <c r="AE51" s="331"/>
      <c r="AF51" s="331"/>
      <c r="AG51" s="331"/>
      <c r="AH51" s="331"/>
      <c r="AI51" s="331"/>
      <c r="AJ51" s="220"/>
      <c r="AK51" s="220"/>
      <c r="AL51" s="1184"/>
      <c r="AM51" s="1184"/>
      <c r="AN51" s="1184"/>
      <c r="AO51" s="1187"/>
      <c r="AP51" s="1187"/>
    </row>
    <row s="2018" customFormat="1" customHeight="1" ht="16.5">
      <c r="A52" s="220"/>
      <c r="B52" s="220"/>
      <c r="C52" s="220"/>
      <c r="D52" s="220"/>
      <c r="E52" s="797">
        <v>17.1</v>
      </c>
      <c r="F52" s="922" cm="1" t="str">
        <f t="array" ref="F52:F52">OFFSET(G52,-1,-1)</f>
        <v>1</v>
      </c>
      <c r="G52" s="220"/>
      <c r="H52" s="220"/>
      <c r="I52" s="220"/>
      <c r="J52" s="220"/>
      <c r="K52" s="220"/>
      <c r="L52" s="220"/>
      <c r="M52" s="220"/>
      <c r="N52" s="220"/>
      <c r="O52" s="220"/>
      <c r="P52" s="220"/>
      <c r="Q52" s="220"/>
      <c r="R52" s="220"/>
      <c r="S52" s="220"/>
      <c r="T52" s="808">
        <f>AND(F52&gt;0,OR(ISBLANK(Y52),Y52&gt;0))</f>
        <v>1</v>
      </c>
      <c r="U52" s="220"/>
      <c r="V52" s="220"/>
      <c r="W52" s="220"/>
      <c r="X52" s="220"/>
      <c r="Y52" s="220"/>
      <c r="Z52" s="220"/>
      <c r="AA52" s="220"/>
      <c r="AB52" s="578">
        <v>1</v>
      </c>
      <c r="AC52" s="1027" t="s">
        <v>1960</v>
      </c>
      <c r="AD52" s="1028"/>
      <c r="AE52" s="1028"/>
      <c r="AF52" s="1028"/>
      <c r="AG52" s="1028"/>
      <c r="AH52" s="1028"/>
      <c r="AI52" s="1028"/>
      <c r="AJ52" s="220"/>
      <c r="AK52" s="220"/>
      <c r="AL52" s="1184"/>
      <c r="AM52" s="1184"/>
      <c r="AN52" s="1184"/>
      <c r="AO52" s="1187"/>
      <c r="AP52" s="1187"/>
    </row>
    <row s="2019" customFormat="1" customHeight="1" ht="39">
      <c r="A53" s="220"/>
      <c r="B53" s="220"/>
      <c r="C53" s="220"/>
      <c r="D53" s="220"/>
      <c r="E53" s="797">
        <v>40</v>
      </c>
      <c r="F53" s="922" cm="1" t="str">
        <f t="array" ref="F53:F53">OFFSET(G53,-1,-1)</f>
        <v>1</v>
      </c>
      <c r="G53" s="220"/>
      <c r="H53" s="220"/>
      <c r="I53" s="220"/>
      <c r="J53" s="220"/>
      <c r="K53" s="220"/>
      <c r="L53" s="220"/>
      <c r="M53" s="220"/>
      <c r="N53" s="220"/>
      <c r="O53" s="220"/>
      <c r="P53" s="220"/>
      <c r="Q53" s="220"/>
      <c r="R53" s="220"/>
      <c r="S53" s="220"/>
      <c r="T53" s="808">
        <f>AND(F53&gt;0,OR(ISBLANK(Y53),Y53&gt;0))</f>
        <v>1</v>
      </c>
      <c r="U53" s="220"/>
      <c r="V53" s="220"/>
      <c r="W53" s="220"/>
      <c r="X53" s="220"/>
      <c r="Y53" s="220"/>
      <c r="Z53" s="220"/>
      <c r="AA53" s="220"/>
      <c r="AB53" s="578" t="s">
        <v>449</v>
      </c>
      <c r="AC53" s="289" t="s">
        <v>1961</v>
      </c>
      <c r="AD53" s="154" t="s">
        <v>1402</v>
      </c>
      <c r="AE53" s="1665"/>
      <c r="AF53" s="1665"/>
      <c r="AG53" s="2000"/>
      <c r="AH53" s="2000"/>
      <c r="AI53" s="1671"/>
      <c r="AJ53" s="220"/>
      <c r="AK53" s="220"/>
      <c r="AL53" s="1184" t="s">
        <v>1962</v>
      </c>
      <c r="AM53" s="1184"/>
      <c r="AN53" s="1184"/>
      <c r="AO53" s="1187"/>
      <c r="AP53" s="1187"/>
    </row>
    <row s="2020" customFormat="1" customHeight="1" ht="39">
      <c r="A54" s="220"/>
      <c r="B54" s="220"/>
      <c r="C54" s="220"/>
      <c r="D54" s="220"/>
      <c r="E54" s="797">
        <v>40</v>
      </c>
      <c r="F54" s="922" cm="1" t="str">
        <f t="array" ref="F54:F54">OFFSET(G54,-1,-1)</f>
        <v>1</v>
      </c>
      <c r="G54" s="220"/>
      <c r="H54" s="220"/>
      <c r="I54" s="220"/>
      <c r="J54" s="220"/>
      <c r="K54" s="220"/>
      <c r="L54" s="220"/>
      <c r="M54" s="220"/>
      <c r="N54" s="220"/>
      <c r="O54" s="220"/>
      <c r="P54" s="220"/>
      <c r="Q54" s="220"/>
      <c r="R54" s="220"/>
      <c r="S54" s="220"/>
      <c r="T54" s="808">
        <f>AND(F54&gt;0,OR(ISBLANK(Y54),Y54&gt;0))</f>
        <v>1</v>
      </c>
      <c r="U54" s="220"/>
      <c r="V54" s="220"/>
      <c r="W54" s="220"/>
      <c r="X54" s="220"/>
      <c r="Y54" s="220"/>
      <c r="Z54" s="220"/>
      <c r="AA54" s="220"/>
      <c r="AB54" s="578" t="s">
        <v>935</v>
      </c>
      <c r="AC54" s="289" t="s">
        <v>1963</v>
      </c>
      <c r="AD54" s="154" t="s">
        <v>466</v>
      </c>
      <c r="AE54" s="1665"/>
      <c r="AF54" s="1665"/>
      <c r="AG54" s="2000"/>
      <c r="AH54" s="2000"/>
      <c r="AI54" s="1671"/>
      <c r="AJ54" s="220"/>
      <c r="AK54" s="220"/>
      <c r="AL54" s="1184" t="s">
        <v>1964</v>
      </c>
      <c r="AM54" s="1184"/>
      <c r="AN54" s="1184"/>
      <c r="AO54" s="1187"/>
      <c r="AP54" s="1187"/>
    </row>
    <row s="2021" customFormat="1" customHeight="1" ht="33.75">
      <c r="A55" s="220"/>
      <c r="B55" s="220"/>
      <c r="C55" s="220"/>
      <c r="D55" s="220"/>
      <c r="E55" s="797">
        <v>35</v>
      </c>
      <c r="F55" s="922" cm="1" t="str">
        <f t="array" ref="F55:F55">OFFSET(G55,-1,-1)</f>
        <v>1</v>
      </c>
      <c r="G55" s="220"/>
      <c r="H55" s="220"/>
      <c r="I55" s="220"/>
      <c r="J55" s="220"/>
      <c r="K55" s="220"/>
      <c r="L55" s="220"/>
      <c r="M55" s="220"/>
      <c r="N55" s="220"/>
      <c r="O55" s="220"/>
      <c r="P55" s="220"/>
      <c r="Q55" s="220"/>
      <c r="R55" s="220"/>
      <c r="S55" s="220"/>
      <c r="T55" s="808">
        <f>AND(F55&gt;0,OR(ISBLANK(Y55),Y55&gt;0))</f>
        <v>1</v>
      </c>
      <c r="U55" s="220"/>
      <c r="V55" s="220"/>
      <c r="W55" s="220"/>
      <c r="X55" s="220"/>
      <c r="Y55" s="220"/>
      <c r="Z55" s="220"/>
      <c r="AA55" s="220"/>
      <c r="AB55" s="578" t="s">
        <v>937</v>
      </c>
      <c r="AC55" s="289" t="s">
        <v>1965</v>
      </c>
      <c r="AD55" s="154" t="s">
        <v>1935</v>
      </c>
      <c r="AE55" s="1665">
        <f>_xlfn.IFERROR(AE53/AE54,0)</f>
        <v>0</v>
      </c>
      <c r="AF55" s="1665">
        <f>_xlfn.IFERROR(AF53/AF54,0)</f>
        <v>0</v>
      </c>
      <c r="AG55" s="2000"/>
      <c r="AH55" s="2000"/>
      <c r="AI55" s="1671"/>
      <c r="AJ55" s="220"/>
      <c r="AK55" s="220"/>
      <c r="AL55" s="1184" t="s">
        <v>1966</v>
      </c>
      <c r="AM55" s="1184"/>
      <c r="AN55" s="1184"/>
      <c r="AO55" s="1187"/>
      <c r="AP55" s="1187"/>
    </row>
    <row s="2022" customFormat="1" customHeight="1" ht="33.75">
      <c r="A56" s="220"/>
      <c r="B56" s="220"/>
      <c r="C56" s="220"/>
      <c r="D56" s="220"/>
      <c r="E56" s="797">
        <v>35</v>
      </c>
      <c r="F56" s="922" cm="1" t="str">
        <f t="array" ref="F56:F56">OFFSET(G56,-1,-1)</f>
        <v>1</v>
      </c>
      <c r="G56" s="220"/>
      <c r="H56" s="220"/>
      <c r="I56" s="220"/>
      <c r="J56" s="220"/>
      <c r="K56" s="220"/>
      <c r="L56" s="220"/>
      <c r="M56" s="220"/>
      <c r="N56" s="220"/>
      <c r="O56" s="220"/>
      <c r="P56" s="220"/>
      <c r="Q56" s="220"/>
      <c r="R56" s="220"/>
      <c r="S56" s="220"/>
      <c r="T56" s="808">
        <f>AND(F56&gt;0,OR(ISBLANK(Y56),Y56&gt;0))</f>
        <v>1</v>
      </c>
      <c r="U56" s="220"/>
      <c r="V56" s="220"/>
      <c r="W56" s="220"/>
      <c r="X56" s="220"/>
      <c r="Y56" s="220"/>
      <c r="Z56" s="220"/>
      <c r="AA56" s="220"/>
      <c r="AB56" s="578" t="s">
        <v>941</v>
      </c>
      <c r="AC56" s="289" t="s">
        <v>1967</v>
      </c>
      <c r="AD56" s="154"/>
      <c r="AE56" s="2004"/>
      <c r="AF56" s="2004"/>
      <c r="AG56" s="2000"/>
      <c r="AH56" s="2000"/>
      <c r="AI56" s="1671"/>
      <c r="AJ56" s="220"/>
      <c r="AK56" s="220"/>
      <c r="AL56" s="1184" t="s">
        <v>1968</v>
      </c>
      <c r="AM56" s="1184"/>
      <c r="AN56" s="1184"/>
      <c r="AO56" s="1187"/>
      <c r="AP56" s="1187"/>
    </row>
    <row s="2023" customFormat="1" customHeight="1" ht="33.75">
      <c r="A57" s="220"/>
      <c r="B57" s="220"/>
      <c r="C57" s="220"/>
      <c r="D57" s="220"/>
      <c r="E57" s="797">
        <v>35</v>
      </c>
      <c r="F57" s="922" cm="1" t="str">
        <f t="array" ref="F57:F57">OFFSET(G57,-1,-1)</f>
        <v>1</v>
      </c>
      <c r="G57" s="220"/>
      <c r="H57" s="220"/>
      <c r="I57" s="220"/>
      <c r="J57" s="220"/>
      <c r="K57" s="220"/>
      <c r="L57" s="220"/>
      <c r="M57" s="220"/>
      <c r="N57" s="220"/>
      <c r="O57" s="220"/>
      <c r="P57" s="220"/>
      <c r="Q57" s="220"/>
      <c r="R57" s="220"/>
      <c r="S57" s="220"/>
      <c r="T57" s="808">
        <f>AND(F57&gt;0,OR(ISBLANK(Y57),Y57&gt;0))</f>
        <v>1</v>
      </c>
      <c r="U57" s="220"/>
      <c r="V57" s="220"/>
      <c r="W57" s="220"/>
      <c r="X57" s="220"/>
      <c r="Y57" s="220"/>
      <c r="Z57" s="220"/>
      <c r="AA57" s="220"/>
      <c r="AB57" s="578" t="s">
        <v>1046</v>
      </c>
      <c r="AC57" s="1029" t="s">
        <v>1969</v>
      </c>
      <c r="AD57" s="1030" t="s">
        <v>1935</v>
      </c>
      <c r="AE57" s="1680">
        <f>AE55*AE56</f>
        <v>0</v>
      </c>
      <c r="AF57" s="1680">
        <f>AF55*AF56</f>
        <v>0</v>
      </c>
      <c r="AG57" s="2006"/>
      <c r="AH57" s="2006"/>
      <c r="AI57" s="2007"/>
      <c r="AJ57" s="220"/>
      <c r="AK57" s="220"/>
      <c r="AL57" s="1184" t="s">
        <v>1970</v>
      </c>
      <c r="AM57" s="1184"/>
      <c r="AN57" s="1184"/>
      <c r="AO57" s="1187"/>
      <c r="AP57" s="1187"/>
    </row>
    <row s="2024" customFormat="1" customHeight="1" ht="16.5">
      <c r="A58" s="220"/>
      <c r="B58" s="220"/>
      <c r="C58" s="220"/>
      <c r="D58" s="220"/>
      <c r="E58" s="797">
        <v>17.1</v>
      </c>
      <c r="F58" s="922" cm="1" t="str">
        <f t="array" ref="F58:F58">OFFSET(G58,-1,-1)</f>
        <v>1</v>
      </c>
      <c r="G58" s="220"/>
      <c r="H58" s="220"/>
      <c r="I58" s="220"/>
      <c r="J58" s="220"/>
      <c r="K58" s="220"/>
      <c r="L58" s="220"/>
      <c r="M58" s="220"/>
      <c r="N58" s="220"/>
      <c r="O58" s="220"/>
      <c r="P58" s="220"/>
      <c r="Q58" s="220"/>
      <c r="R58" s="220"/>
      <c r="S58" s="220"/>
      <c r="T58" s="808">
        <f>AND(F58&gt;0,OR(ISBLANK(Y58),Y58&gt;0))</f>
        <v>1</v>
      </c>
      <c r="U58" s="220"/>
      <c r="V58" s="220"/>
      <c r="W58" s="220"/>
      <c r="X58" s="220"/>
      <c r="Y58" s="220"/>
      <c r="Z58" s="220"/>
      <c r="AA58" s="220"/>
      <c r="AB58" s="578" t="s">
        <v>1049</v>
      </c>
      <c r="AC58" s="1029" t="s">
        <v>1971</v>
      </c>
      <c r="AD58" s="1030" t="s">
        <v>498</v>
      </c>
      <c r="AE58" s="1680"/>
      <c r="AF58" s="1680"/>
      <c r="AG58" s="2006"/>
      <c r="AH58" s="2006"/>
      <c r="AI58" s="2007"/>
      <c r="AJ58" s="220"/>
      <c r="AK58" s="220"/>
      <c r="AL58" s="1184" t="s">
        <v>1972</v>
      </c>
      <c r="AM58" s="1184"/>
      <c r="AN58" s="1184"/>
      <c r="AO58" s="1187"/>
      <c r="AP58" s="1187"/>
    </row>
    <row s="2025" customFormat="1" customHeight="1" ht="39">
      <c r="A59" s="220"/>
      <c r="B59" s="220"/>
      <c r="C59" s="220"/>
      <c r="D59" s="220"/>
      <c r="E59" s="797">
        <v>40</v>
      </c>
      <c r="F59" s="922" cm="1" t="str">
        <f t="array" ref="F59:F59">OFFSET(G59,-1,-1)</f>
        <v>1</v>
      </c>
      <c r="G59" s="220"/>
      <c r="H59" s="220"/>
      <c r="I59" s="220"/>
      <c r="J59" s="220"/>
      <c r="K59" s="220"/>
      <c r="L59" s="220"/>
      <c r="M59" s="220"/>
      <c r="N59" s="220"/>
      <c r="O59" s="220"/>
      <c r="P59" s="220"/>
      <c r="Q59" s="220"/>
      <c r="R59" s="220"/>
      <c r="S59" s="220"/>
      <c r="T59" s="808">
        <f>AND(F59&gt;0,OR(ISBLANK(Y59),Y59&gt;0))</f>
        <v>1</v>
      </c>
      <c r="U59" s="220"/>
      <c r="V59" s="220"/>
      <c r="W59" s="220"/>
      <c r="X59" s="220"/>
      <c r="Y59" s="220"/>
      <c r="Z59" s="220"/>
      <c r="AA59" s="220"/>
      <c r="AB59" s="578" t="s">
        <v>1052</v>
      </c>
      <c r="AC59" s="1029" t="s">
        <v>1973</v>
      </c>
      <c r="AD59" s="1030" t="s">
        <v>466</v>
      </c>
      <c r="AE59" s="1680"/>
      <c r="AF59" s="1680"/>
      <c r="AG59" s="2006"/>
      <c r="AH59" s="2006"/>
      <c r="AI59" s="2007"/>
      <c r="AJ59" s="220"/>
      <c r="AK59" s="220"/>
      <c r="AL59" s="1184" t="s">
        <v>1974</v>
      </c>
      <c r="AM59" s="1184"/>
      <c r="AN59" s="1184"/>
      <c r="AO59" s="1187"/>
      <c r="AP59" s="1187"/>
    </row>
    <row s="2026" customFormat="1" customHeight="1" ht="16.5">
      <c r="A60" s="220"/>
      <c r="B60" s="220"/>
      <c r="C60" s="220"/>
      <c r="D60" s="220"/>
      <c r="E60" s="797">
        <v>17.1</v>
      </c>
      <c r="F60" s="922" cm="1" t="str">
        <f t="array" ref="F60:F60">OFFSET(G60,-1,-1)</f>
        <v>1</v>
      </c>
      <c r="G60" s="220"/>
      <c r="H60" s="220"/>
      <c r="I60" s="220"/>
      <c r="J60" s="220"/>
      <c r="K60" s="220"/>
      <c r="L60" s="220"/>
      <c r="M60" s="220"/>
      <c r="N60" s="220"/>
      <c r="O60" s="220"/>
      <c r="P60" s="220"/>
      <c r="Q60" s="220"/>
      <c r="R60" s="220"/>
      <c r="S60" s="220"/>
      <c r="T60" s="808">
        <f>AND(F60&gt;0,OR(ISBLANK(Y60),Y60&gt;0))</f>
        <v>1</v>
      </c>
      <c r="U60" s="220"/>
      <c r="V60" s="220"/>
      <c r="W60" s="220"/>
      <c r="X60" s="220"/>
      <c r="Y60" s="220"/>
      <c r="Z60" s="220"/>
      <c r="AA60" s="220"/>
      <c r="AB60" s="578" t="s">
        <v>1055</v>
      </c>
      <c r="AC60" s="1029" t="s">
        <v>1975</v>
      </c>
      <c r="AD60" s="1030" t="s">
        <v>1402</v>
      </c>
      <c r="AE60" s="1680">
        <f>AE57*AE59*(1+AE58)</f>
        <v>0</v>
      </c>
      <c r="AF60" s="1680">
        <f>AF57*AF59*(1+AF58)</f>
        <v>0</v>
      </c>
      <c r="AG60" s="2006"/>
      <c r="AH60" s="2006"/>
      <c r="AI60" s="2007"/>
      <c r="AJ60" s="220"/>
      <c r="AK60" s="220"/>
      <c r="AL60" s="1184" t="s">
        <v>1409</v>
      </c>
      <c r="AM60" s="1184"/>
      <c r="AN60" s="1184"/>
      <c r="AO60" s="1187"/>
      <c r="AP60" s="1187"/>
    </row>
    <row s="2027" customFormat="1" customHeight="1" ht="16.5">
      <c r="A61" s="220"/>
      <c r="B61" s="220"/>
      <c r="C61" s="220"/>
      <c r="D61" s="220"/>
      <c r="E61" s="797">
        <v>17.1</v>
      </c>
      <c r="F61" s="922" cm="1" t="str">
        <f t="array" ref="F61:F61">OFFSET(G61,-1,-1)</f>
        <v>1</v>
      </c>
      <c r="G61" s="220"/>
      <c r="H61" s="220"/>
      <c r="I61" s="220"/>
      <c r="J61" s="220"/>
      <c r="K61" s="220"/>
      <c r="L61" s="220"/>
      <c r="M61" s="220"/>
      <c r="N61" s="220"/>
      <c r="O61" s="220"/>
      <c r="P61" s="220"/>
      <c r="Q61" s="220"/>
      <c r="R61" s="220"/>
      <c r="S61" s="220"/>
      <c r="T61" s="808">
        <f>AND(F61&gt;0,OR(ISBLANK(Y61),Y61&gt;0))</f>
        <v>1</v>
      </c>
      <c r="U61" s="220"/>
      <c r="V61" s="220"/>
      <c r="W61" s="220"/>
      <c r="X61" s="220"/>
      <c r="Y61" s="220"/>
      <c r="Z61" s="220"/>
      <c r="AA61" s="220"/>
      <c r="AB61" s="1122">
        <v>2</v>
      </c>
      <c r="AC61" s="1027" t="s">
        <v>1976</v>
      </c>
      <c r="AD61" s="1028"/>
      <c r="AE61" s="1050"/>
      <c r="AF61" s="1050"/>
      <c r="AG61" s="1027"/>
      <c r="AH61" s="1027"/>
      <c r="AI61" s="1027"/>
      <c r="AJ61" s="220"/>
      <c r="AK61" s="220"/>
      <c r="AL61" s="1184"/>
      <c r="AM61" s="1184"/>
      <c r="AN61" s="1184"/>
      <c r="AO61" s="1187"/>
      <c r="AP61" s="1187"/>
    </row>
    <row s="2028" customFormat="1" customHeight="1" ht="39">
      <c r="A62" s="220"/>
      <c r="B62" s="220"/>
      <c r="C62" s="220"/>
      <c r="D62" s="220"/>
      <c r="E62" s="797">
        <v>40</v>
      </c>
      <c r="F62" s="922" cm="1" t="str">
        <f t="array" ref="F62:F62">OFFSET(G62,-1,-1)</f>
        <v>1</v>
      </c>
      <c r="G62" s="220"/>
      <c r="H62" s="220"/>
      <c r="I62" s="220"/>
      <c r="J62" s="220"/>
      <c r="K62" s="220"/>
      <c r="L62" s="220"/>
      <c r="M62" s="220"/>
      <c r="N62" s="220"/>
      <c r="O62" s="220"/>
      <c r="P62" s="220"/>
      <c r="Q62" s="220"/>
      <c r="R62" s="220"/>
      <c r="S62" s="220"/>
      <c r="T62" s="808">
        <f>AND(F62&gt;0,OR(ISBLANK(Y62),Y62&gt;0))</f>
        <v>1</v>
      </c>
      <c r="U62" s="220"/>
      <c r="V62" s="220"/>
      <c r="W62" s="220"/>
      <c r="X62" s="220"/>
      <c r="Y62" s="220"/>
      <c r="Z62" s="220"/>
      <c r="AA62" s="220"/>
      <c r="AB62" s="288" t="s">
        <v>456</v>
      </c>
      <c r="AC62" s="1036" t="s">
        <v>1977</v>
      </c>
      <c r="AD62" s="154" t="s">
        <v>1402</v>
      </c>
      <c r="AE62" s="1868">
        <f>SUM(AE63:AE64)</f>
        <v>0</v>
      </c>
      <c r="AF62" s="1868">
        <f>SUM(AF63:AF64)</f>
        <v>0</v>
      </c>
      <c r="AG62" s="2006"/>
      <c r="AH62" s="2006"/>
      <c r="AI62" s="2007"/>
      <c r="AJ62" s="220"/>
      <c r="AK62" s="220"/>
      <c r="AL62" s="1184" t="s">
        <v>1978</v>
      </c>
      <c r="AM62" s="1184"/>
      <c r="AN62" s="1184"/>
      <c r="AO62" s="1187"/>
      <c r="AP62" s="1187"/>
    </row>
    <row s="2029" customFormat="1" customHeight="1" ht="16.5" hidden="1">
      <c r="A63" s="220"/>
      <c r="B63" s="220"/>
      <c r="C63" s="220"/>
      <c r="D63" s="220"/>
      <c r="E63" s="797">
        <v>17</v>
      </c>
      <c r="F63" s="922" cm="1" t="str">
        <f t="array" ref="F63:F63">OFFSET(G63,-1,-1)</f>
        <v>1</v>
      </c>
      <c r="G63" s="220"/>
      <c r="H63" s="220"/>
      <c r="I63" s="220"/>
      <c r="J63" s="220"/>
      <c r="K63" s="220"/>
      <c r="L63" s="220"/>
      <c r="M63" s="220"/>
      <c r="N63" s="220"/>
      <c r="O63" s="220"/>
      <c r="P63" s="220"/>
      <c r="Q63" s="220"/>
      <c r="R63" s="220"/>
      <c r="S63" s="220"/>
      <c r="T63" s="808">
        <f>AND(F63&gt;0,OR(ISBLANK(Y63),Y63&gt;0))</f>
        <v>0</v>
      </c>
      <c r="U63" s="220"/>
      <c r="V63" s="220"/>
      <c r="W63" s="175" t="s">
        <v>234</v>
      </c>
      <c r="X63" s="220"/>
      <c r="Y63" s="175">
        <v>0</v>
      </c>
      <c r="Z63" s="220"/>
      <c r="AA63" s="917" t="s">
        <v>218</v>
      </c>
      <c r="AB63" s="288" t="str">
        <f>"2.1."&amp;Y63</f>
        <v>2.1.0</v>
      </c>
      <c r="AC63" s="144"/>
      <c r="AD63" s="154" t="s">
        <v>1402</v>
      </c>
      <c r="AE63" s="98"/>
      <c r="AF63" s="98"/>
      <c r="AG63" s="142"/>
      <c r="AH63" s="142"/>
      <c r="AI63" s="143"/>
      <c r="AJ63" s="220"/>
      <c r="AK63" s="220"/>
      <c r="AL63" s="1184" t="s">
        <v>1978</v>
      </c>
      <c r="AM63" s="1184" t="s">
        <v>1979</v>
      </c>
      <c r="AN63" s="1184" cm="1" t="str">
        <f t="array" ref="AN63:AN63">AC63</f>
        <v>0</v>
      </c>
      <c r="AO63" s="1187"/>
      <c r="AP63" s="1187" t="b">
        <v>1</v>
      </c>
    </row>
    <row s="2030" customFormat="1" customHeight="1" ht="16.5">
      <c r="A64" s="220"/>
      <c r="B64" s="220"/>
      <c r="C64" s="220"/>
      <c r="D64" s="220"/>
      <c r="E64" s="797">
        <v>17</v>
      </c>
      <c r="F64" s="922" cm="1" t="str">
        <f t="array" ref="F64:F64">OFFSET(G64,-1,-1)</f>
        <v>1</v>
      </c>
      <c r="G64" s="220"/>
      <c r="H64" s="220"/>
      <c r="I64" s="220"/>
      <c r="J64" s="220"/>
      <c r="K64" s="220"/>
      <c r="L64" s="220"/>
      <c r="M64" s="220"/>
      <c r="N64" s="220"/>
      <c r="O64" s="220"/>
      <c r="P64" s="220"/>
      <c r="Q64" s="220"/>
      <c r="R64" s="220"/>
      <c r="S64" s="220"/>
      <c r="T64" s="808">
        <f>AND(F64&gt;0,OR(ISBLANK(Y64),Y64&gt;0))</f>
        <v>1</v>
      </c>
      <c r="U64" s="220"/>
      <c r="V64" s="220"/>
      <c r="W64" s="1019" t="s">
        <v>951</v>
      </c>
      <c r="X64" s="220"/>
      <c r="Y64" s="220"/>
      <c r="Z64" s="220"/>
      <c r="AA64" s="220"/>
      <c r="AB64" s="302"/>
      <c r="AC64" s="735" t="s">
        <v>236</v>
      </c>
      <c r="AD64" s="303"/>
      <c r="AE64" s="303"/>
      <c r="AF64" s="303"/>
      <c r="AG64" s="303"/>
      <c r="AH64" s="303"/>
      <c r="AI64" s="303"/>
      <c r="AJ64" s="220"/>
      <c r="AK64" s="220"/>
      <c r="AL64" s="1184" t="str">
        <f>IF(AND(ISNUMBER(VALUE(TRIM(SUBSTITUTE(AB64,".","")))),TRIM(SUBSTITUTE(AB64,".",""))&lt;&gt;""),"P"&amp;SUBSTITUTE(AB64,".",""),"")</f>
        <v/>
      </c>
      <c r="AM64" s="1184"/>
      <c r="AN64" s="1184"/>
      <c r="AO64" s="1187" t="s">
        <v>1979</v>
      </c>
      <c r="AP64" s="1187"/>
    </row>
    <row s="2031" customFormat="1" customHeight="1" ht="39">
      <c r="A65" s="220"/>
      <c r="B65" s="220"/>
      <c r="C65" s="220"/>
      <c r="D65" s="220"/>
      <c r="E65" s="797">
        <v>40</v>
      </c>
      <c r="F65" s="922" cm="1" t="str">
        <f t="array" ref="F65:F65">OFFSET(G65,-1,-1)</f>
        <v>1</v>
      </c>
      <c r="G65" s="220"/>
      <c r="H65" s="220"/>
      <c r="I65" s="220"/>
      <c r="J65" s="220"/>
      <c r="K65" s="220"/>
      <c r="L65" s="220"/>
      <c r="M65" s="220"/>
      <c r="N65" s="220"/>
      <c r="O65" s="220"/>
      <c r="P65" s="220"/>
      <c r="Q65" s="220"/>
      <c r="R65" s="220"/>
      <c r="S65" s="220"/>
      <c r="T65" s="808">
        <f>AND(F65&gt;0,OR(ISBLANK(Y65),Y65&gt;0))</f>
        <v>1</v>
      </c>
      <c r="U65" s="220"/>
      <c r="V65" s="220"/>
      <c r="W65" s="220"/>
      <c r="X65" s="220"/>
      <c r="Y65" s="220"/>
      <c r="Z65" s="220"/>
      <c r="AA65" s="220"/>
      <c r="AB65" s="288" t="s">
        <v>483</v>
      </c>
      <c r="AC65" s="1036" t="s">
        <v>1980</v>
      </c>
      <c r="AD65" s="154" t="s">
        <v>1949</v>
      </c>
      <c r="AE65" s="1868">
        <f>SUM(AE66:AE67)</f>
        <v>0</v>
      </c>
      <c r="AF65" s="1868">
        <f>SUM(AF66:AF67)</f>
        <v>0</v>
      </c>
      <c r="AG65" s="2006"/>
      <c r="AH65" s="2006"/>
      <c r="AI65" s="2007"/>
      <c r="AJ65" s="220"/>
      <c r="AK65" s="220"/>
      <c r="AL65" s="1184" t="s">
        <v>1950</v>
      </c>
      <c r="AM65" s="1184"/>
      <c r="AN65" s="1184"/>
      <c r="AO65" s="1187"/>
      <c r="AP65" s="1187"/>
    </row>
    <row s="2032" customFormat="1" customHeight="1" ht="16.5" hidden="1">
      <c r="A66" s="220"/>
      <c r="B66" s="220"/>
      <c r="C66" s="220"/>
      <c r="D66" s="220"/>
      <c r="E66" s="797">
        <v>17.1</v>
      </c>
      <c r="F66" s="922" cm="1" t="str">
        <f t="array" ref="F66:F66">OFFSET(G66,-1,-1)</f>
        <v>1</v>
      </c>
      <c r="G66" s="220"/>
      <c r="H66" s="220"/>
      <c r="I66" s="220"/>
      <c r="J66" s="220"/>
      <c r="K66" s="220"/>
      <c r="L66" s="220"/>
      <c r="M66" s="220"/>
      <c r="N66" s="220"/>
      <c r="O66" s="220"/>
      <c r="P66" s="220"/>
      <c r="Q66" s="220"/>
      <c r="R66" s="220"/>
      <c r="S66" s="220"/>
      <c r="T66" s="808">
        <f>AND(F66&gt;0,OR(ISBLANK(Y66),Y66&gt;0))</f>
        <v>0</v>
      </c>
      <c r="U66" s="220"/>
      <c r="V66" s="220"/>
      <c r="W66" s="175" t="s">
        <v>234</v>
      </c>
      <c r="X66" s="220"/>
      <c r="Y66" s="175">
        <v>0</v>
      </c>
      <c r="Z66" s="220"/>
      <c r="AA66" s="917" t="s">
        <v>218</v>
      </c>
      <c r="AB66" s="288" t="str">
        <f>"2.2."&amp;Y66</f>
        <v>2.2.0</v>
      </c>
      <c r="AC66" s="144"/>
      <c r="AD66" s="154" t="s">
        <v>1949</v>
      </c>
      <c r="AE66" s="98"/>
      <c r="AF66" s="98"/>
      <c r="AG66" s="142"/>
      <c r="AH66" s="142"/>
      <c r="AI66" s="143"/>
      <c r="AJ66" s="220"/>
      <c r="AK66" s="220"/>
      <c r="AL66" s="1184" t="s">
        <v>1950</v>
      </c>
      <c r="AM66" s="1184" t="s">
        <v>1981</v>
      </c>
      <c r="AN66" s="1184" cm="1" t="str">
        <f t="array" ref="AN66:AN66">AC66</f>
        <v>0</v>
      </c>
      <c r="AO66" s="1187"/>
      <c r="AP66" s="1187" t="b">
        <v>1</v>
      </c>
    </row>
    <row s="2033" customFormat="1" customHeight="1" ht="16.5">
      <c r="A67" s="220"/>
      <c r="B67" s="220"/>
      <c r="C67" s="220"/>
      <c r="D67" s="220"/>
      <c r="E67" s="797">
        <v>17</v>
      </c>
      <c r="F67" s="922" cm="1" t="str">
        <f t="array" ref="F67:F67">OFFSET(G67,-1,-1)</f>
        <v>1</v>
      </c>
      <c r="G67" s="220"/>
      <c r="H67" s="220"/>
      <c r="I67" s="220"/>
      <c r="J67" s="220"/>
      <c r="K67" s="220"/>
      <c r="L67" s="220"/>
      <c r="M67" s="220"/>
      <c r="N67" s="220"/>
      <c r="O67" s="220"/>
      <c r="P67" s="220"/>
      <c r="Q67" s="220"/>
      <c r="R67" s="220"/>
      <c r="S67" s="220"/>
      <c r="T67" s="808">
        <f>AND(F67&gt;0,OR(ISBLANK(Y67),Y67&gt;0))</f>
        <v>1</v>
      </c>
      <c r="U67" s="220"/>
      <c r="V67" s="220"/>
      <c r="W67" s="1019" t="s">
        <v>962</v>
      </c>
      <c r="X67" s="220"/>
      <c r="Y67" s="220"/>
      <c r="Z67" s="220"/>
      <c r="AA67" s="220"/>
      <c r="AB67" s="302"/>
      <c r="AC67" s="735" t="s">
        <v>236</v>
      </c>
      <c r="AD67" s="303"/>
      <c r="AE67" s="303"/>
      <c r="AF67" s="303"/>
      <c r="AG67" s="303"/>
      <c r="AH67" s="303"/>
      <c r="AI67" s="303"/>
      <c r="AJ67" s="220"/>
      <c r="AK67" s="220"/>
      <c r="AL67" s="1184" t="str">
        <f>IF(AND(ISNUMBER(VALUE(TRIM(SUBSTITUTE(AB67,".","")))),TRIM(SUBSTITUTE(AB67,".",""))&lt;&gt;""),"P"&amp;SUBSTITUTE(AB67,".",""),"")</f>
        <v/>
      </c>
      <c r="AM67" s="1184"/>
      <c r="AN67" s="1184"/>
      <c r="AO67" s="1187" t="s">
        <v>1981</v>
      </c>
      <c r="AP67" s="1187"/>
    </row>
    <row s="2034" customFormat="1" customHeight="1" ht="33.75">
      <c r="A68" s="220"/>
      <c r="B68" s="220"/>
      <c r="C68" s="220"/>
      <c r="D68" s="220"/>
      <c r="E68" s="797">
        <v>35</v>
      </c>
      <c r="F68" s="922" cm="1" t="str">
        <f t="array" ref="F68:F68">OFFSET(G68,-1,-1)</f>
        <v>1</v>
      </c>
      <c r="G68" s="220"/>
      <c r="H68" s="220"/>
      <c r="I68" s="220"/>
      <c r="J68" s="220"/>
      <c r="K68" s="220"/>
      <c r="L68" s="220"/>
      <c r="M68" s="220"/>
      <c r="N68" s="220"/>
      <c r="O68" s="220"/>
      <c r="P68" s="220"/>
      <c r="Q68" s="220"/>
      <c r="R68" s="220"/>
      <c r="S68" s="220"/>
      <c r="T68" s="808">
        <f>AND(F68&gt;0,OR(ISBLANK(Y68),Y68&gt;0))</f>
        <v>1</v>
      </c>
      <c r="U68" s="220"/>
      <c r="V68" s="220"/>
      <c r="W68" s="220"/>
      <c r="X68" s="220"/>
      <c r="Y68" s="220"/>
      <c r="Z68" s="220"/>
      <c r="AA68" s="220"/>
      <c r="AB68" s="1122" t="s">
        <v>487</v>
      </c>
      <c r="AC68" s="1037" t="s">
        <v>1982</v>
      </c>
      <c r="AD68" s="1031" t="s">
        <v>1402</v>
      </c>
      <c r="AE68" s="1665"/>
      <c r="AF68" s="1665"/>
      <c r="AG68" s="2000"/>
      <c r="AH68" s="2000"/>
      <c r="AI68" s="1671"/>
      <c r="AJ68" s="220"/>
      <c r="AK68" s="220"/>
      <c r="AL68" s="1184" t="s">
        <v>1983</v>
      </c>
      <c r="AM68" s="1184"/>
      <c r="AN68" s="1184"/>
      <c r="AO68" s="1187"/>
      <c r="AP68" s="1187"/>
    </row>
    <row s="2035" customFormat="1" customHeight="1" ht="39">
      <c r="A69" s="220"/>
      <c r="B69" s="220"/>
      <c r="C69" s="220"/>
      <c r="D69" s="220"/>
      <c r="E69" s="797">
        <v>40</v>
      </c>
      <c r="F69" s="922" cm="1" t="str">
        <f t="array" ref="F69:F69">OFFSET(G69,-1,-1)</f>
        <v>1</v>
      </c>
      <c r="G69" s="220"/>
      <c r="H69" s="220"/>
      <c r="I69" s="220"/>
      <c r="J69" s="220"/>
      <c r="K69" s="220"/>
      <c r="L69" s="220"/>
      <c r="M69" s="220"/>
      <c r="N69" s="220"/>
      <c r="O69" s="220"/>
      <c r="P69" s="220"/>
      <c r="Q69" s="220"/>
      <c r="R69" s="220"/>
      <c r="S69" s="220"/>
      <c r="T69" s="808">
        <f>AND(F69&gt;0,OR(ISBLANK(Y69),Y69&gt;0))</f>
        <v>1</v>
      </c>
      <c r="U69" s="220"/>
      <c r="V69" s="220"/>
      <c r="W69" s="220"/>
      <c r="X69" s="220"/>
      <c r="Y69" s="220"/>
      <c r="Z69" s="220"/>
      <c r="AA69" s="220"/>
      <c r="AB69" s="288" t="s">
        <v>491</v>
      </c>
      <c r="AC69" s="289" t="s">
        <v>1984</v>
      </c>
      <c r="AD69" s="154"/>
      <c r="AE69" s="1666"/>
      <c r="AF69" s="1665"/>
      <c r="AG69" s="2000"/>
      <c r="AH69" s="2000"/>
      <c r="AI69" s="1671"/>
      <c r="AJ69" s="220"/>
      <c r="AK69" s="220"/>
      <c r="AL69" s="1184" t="s">
        <v>1985</v>
      </c>
      <c r="AM69" s="1184"/>
      <c r="AN69" s="1184"/>
      <c r="AO69" s="1187"/>
      <c r="AP69" s="1187"/>
    </row>
    <row s="2036" customFormat="1" customHeight="1" ht="33.75">
      <c r="A70" s="220"/>
      <c r="B70" s="220"/>
      <c r="C70" s="220"/>
      <c r="D70" s="220"/>
      <c r="E70" s="797">
        <v>35</v>
      </c>
      <c r="F70" s="922" cm="1" t="str">
        <f t="array" ref="F70:F70">OFFSET(G70,-1,-1)</f>
        <v>1</v>
      </c>
      <c r="G70" s="220"/>
      <c r="H70" s="220"/>
      <c r="I70" s="220"/>
      <c r="J70" s="220"/>
      <c r="K70" s="220"/>
      <c r="L70" s="220"/>
      <c r="M70" s="220"/>
      <c r="N70" s="220"/>
      <c r="O70" s="220"/>
      <c r="P70" s="220"/>
      <c r="Q70" s="220"/>
      <c r="R70" s="220"/>
      <c r="S70" s="220"/>
      <c r="T70" s="808">
        <f>AND(F70&gt;0,OR(ISBLANK(Y70),Y70&gt;0))</f>
        <v>1</v>
      </c>
      <c r="U70" s="220"/>
      <c r="V70" s="220"/>
      <c r="W70" s="220"/>
      <c r="X70" s="220"/>
      <c r="Y70" s="220"/>
      <c r="Z70" s="220"/>
      <c r="AA70" s="220"/>
      <c r="AB70" s="288" t="s">
        <v>1561</v>
      </c>
      <c r="AC70" s="289" t="s">
        <v>1986</v>
      </c>
      <c r="AD70" s="154" t="s">
        <v>900</v>
      </c>
      <c r="AE70" s="1666">
        <f>_xlfn.IFERROR(AE62/AE65*AE69,0)</f>
        <v>0</v>
      </c>
      <c r="AF70" s="1666">
        <f>_xlfn.IFERROR(AF62/AF65*AF69,0)</f>
        <v>0</v>
      </c>
      <c r="AG70" s="2000"/>
      <c r="AH70" s="2000"/>
      <c r="AI70" s="1671"/>
      <c r="AJ70" s="220"/>
      <c r="AK70" s="220"/>
      <c r="AL70" s="1184" t="s">
        <v>1987</v>
      </c>
      <c r="AM70" s="1184"/>
      <c r="AN70" s="1184"/>
      <c r="AO70" s="1187"/>
      <c r="AP70" s="1187"/>
    </row>
    <row s="2037" customFormat="1" customHeight="1" ht="16.5">
      <c r="A71" s="220"/>
      <c r="B71" s="220"/>
      <c r="C71" s="220"/>
      <c r="D71" s="220"/>
      <c r="E71" s="797">
        <v>17</v>
      </c>
      <c r="F71" s="922" cm="1" t="str">
        <f t="array" ref="F71:F71">OFFSET(G71,-1,-1)</f>
        <v>1</v>
      </c>
      <c r="G71" s="220"/>
      <c r="H71" s="220"/>
      <c r="I71" s="220"/>
      <c r="J71" s="220"/>
      <c r="K71" s="220"/>
      <c r="L71" s="220"/>
      <c r="M71" s="220"/>
      <c r="N71" s="220"/>
      <c r="O71" s="220"/>
      <c r="P71" s="220"/>
      <c r="Q71" s="220"/>
      <c r="R71" s="220"/>
      <c r="S71" s="220"/>
      <c r="T71" s="808">
        <f>AND(F71&gt;0,OR(ISBLANK(Y71),Y71&gt;0))</f>
        <v>1</v>
      </c>
      <c r="U71" s="220"/>
      <c r="V71" s="220"/>
      <c r="W71" s="220"/>
      <c r="X71" s="220"/>
      <c r="Y71" s="220"/>
      <c r="Z71" s="220"/>
      <c r="AA71" s="220"/>
      <c r="AB71" s="288" t="s">
        <v>1988</v>
      </c>
      <c r="AC71" s="289" t="s">
        <v>1971</v>
      </c>
      <c r="AD71" s="154" t="s">
        <v>498</v>
      </c>
      <c r="AE71" s="1666"/>
      <c r="AF71" s="1665"/>
      <c r="AG71" s="2000"/>
      <c r="AH71" s="2000"/>
      <c r="AI71" s="1671"/>
      <c r="AJ71" s="220"/>
      <c r="AK71" s="220"/>
      <c r="AL71" s="1184" t="s">
        <v>1989</v>
      </c>
      <c r="AM71" s="1184"/>
      <c r="AN71" s="1184"/>
      <c r="AO71" s="1187"/>
      <c r="AP71" s="1187"/>
    </row>
    <row s="2038" customFormat="1" customHeight="1" ht="33.75">
      <c r="A72" s="220"/>
      <c r="B72" s="220"/>
      <c r="C72" s="220"/>
      <c r="D72" s="220"/>
      <c r="E72" s="797">
        <v>35</v>
      </c>
      <c r="F72" s="922" cm="1" t="str">
        <f t="array" ref="F72:F72">OFFSET(G72,-1,-1)</f>
        <v>1</v>
      </c>
      <c r="G72" s="220"/>
      <c r="H72" s="220"/>
      <c r="I72" s="220"/>
      <c r="J72" s="220"/>
      <c r="K72" s="220"/>
      <c r="L72" s="220"/>
      <c r="M72" s="220"/>
      <c r="N72" s="220"/>
      <c r="O72" s="220"/>
      <c r="P72" s="220"/>
      <c r="Q72" s="220"/>
      <c r="R72" s="220"/>
      <c r="S72" s="220"/>
      <c r="T72" s="808">
        <f>AND(F72&gt;0,OR(ISBLANK(Y72),Y72&gt;0))</f>
        <v>1</v>
      </c>
      <c r="U72" s="220"/>
      <c r="V72" s="220"/>
      <c r="W72" s="220"/>
      <c r="X72" s="220"/>
      <c r="Y72" s="220"/>
      <c r="Z72" s="220"/>
      <c r="AA72" s="220"/>
      <c r="AB72" s="288" t="s">
        <v>1990</v>
      </c>
      <c r="AC72" s="289" t="s">
        <v>1991</v>
      </c>
      <c r="AD72" s="154" t="s">
        <v>1949</v>
      </c>
      <c r="AE72" s="2039"/>
      <c r="AF72" s="1680"/>
      <c r="AG72" s="2000"/>
      <c r="AH72" s="2000"/>
      <c r="AI72" s="1671"/>
      <c r="AJ72" s="220"/>
      <c r="AK72" s="220"/>
      <c r="AL72" s="1184" t="s">
        <v>1992</v>
      </c>
      <c r="AM72" s="1184"/>
      <c r="AN72" s="1184"/>
      <c r="AO72" s="1187"/>
      <c r="AP72" s="1187"/>
    </row>
    <row s="2040" customFormat="1" customHeight="1" ht="16.5">
      <c r="A73" s="220"/>
      <c r="B73" s="220"/>
      <c r="C73" s="220"/>
      <c r="D73" s="220"/>
      <c r="E73" s="797">
        <v>17</v>
      </c>
      <c r="F73" s="922" cm="1" t="str">
        <f t="array" ref="F73:F73">OFFSET(G73,-1,-1)</f>
        <v>1</v>
      </c>
      <c r="G73" s="220"/>
      <c r="H73" s="220"/>
      <c r="I73" s="220"/>
      <c r="J73" s="220"/>
      <c r="K73" s="220"/>
      <c r="L73" s="220"/>
      <c r="M73" s="220"/>
      <c r="N73" s="220"/>
      <c r="O73" s="220"/>
      <c r="P73" s="220"/>
      <c r="Q73" s="220"/>
      <c r="R73" s="220"/>
      <c r="S73" s="220"/>
      <c r="T73" s="808">
        <f>AND(F73&gt;0,OR(ISBLANK(Y73),Y73&gt;0))</f>
        <v>1</v>
      </c>
      <c r="U73" s="220"/>
      <c r="V73" s="220"/>
      <c r="W73" s="220"/>
      <c r="X73" s="220"/>
      <c r="Y73" s="220"/>
      <c r="Z73" s="220"/>
      <c r="AA73" s="220"/>
      <c r="AB73" s="288" t="s">
        <v>1993</v>
      </c>
      <c r="AC73" s="289" t="s">
        <v>1994</v>
      </c>
      <c r="AD73" s="154" t="s">
        <v>1402</v>
      </c>
      <c r="AE73" s="1665">
        <f>AE70*AE72*(1+AE71)</f>
        <v>0</v>
      </c>
      <c r="AF73" s="1665">
        <f>AF70*AF72*(1+AF71)</f>
        <v>0</v>
      </c>
      <c r="AG73" s="2000"/>
      <c r="AH73" s="2000"/>
      <c r="AI73" s="1671"/>
      <c r="AJ73" s="220"/>
      <c r="AK73" s="220"/>
      <c r="AL73" s="1184" t="s">
        <v>1995</v>
      </c>
      <c r="AM73" s="1184"/>
      <c r="AN73" s="1184"/>
      <c r="AO73" s="1187"/>
      <c r="AP73" s="1187"/>
    </row>
    <row s="1632" customFormat="1" customHeight="1" ht="17.25" hidden="1">
      <c r="A74" s="1186"/>
      <c r="B74" s="927"/>
      <c r="C74" s="228"/>
      <c r="D74" s="228"/>
      <c r="E74" s="797">
        <v>0</v>
      </c>
      <c r="F74" s="922" cm="1" t="str">
        <f t="array" ref="F74:F74">OFFSET(G74,-1,-1)</f>
        <v>1</v>
      </c>
      <c r="G74" s="230"/>
      <c r="H74" s="230"/>
      <c r="I74" s="230"/>
      <c r="J74" s="230"/>
      <c r="K74" s="230"/>
      <c r="L74" s="230"/>
      <c r="M74" s="230"/>
      <c r="N74" s="230"/>
      <c r="O74" s="230"/>
      <c r="P74" s="230"/>
      <c r="Q74" s="193"/>
      <c r="R74" s="193"/>
      <c r="S74" s="230"/>
      <c r="T74" s="808">
        <f>AND(F74&gt;0,OR(ISBLANK(Y74),Y74&gt;0))</f>
        <v>1</v>
      </c>
      <c r="U74" s="1582"/>
      <c r="V74" s="1582"/>
      <c r="W74" s="1582"/>
      <c r="X74" s="1582"/>
      <c r="Y74" s="1582"/>
      <c r="Z74" s="1582"/>
      <c r="AA74" s="230"/>
      <c r="AB74" s="228"/>
      <c r="AC74" s="229"/>
      <c r="AD74" s="228"/>
      <c r="AE74" s="230"/>
      <c r="AF74" s="230"/>
      <c r="AG74" s="230"/>
      <c r="AH74" s="230"/>
      <c r="AI74" s="230"/>
      <c r="AJ74" s="230"/>
      <c r="AK74" s="230"/>
      <c r="AL74" s="1235"/>
      <c r="AM74" s="1235"/>
      <c r="AN74" s="1235"/>
      <c r="AO74" s="1236"/>
      <c r="AP74" s="1236"/>
    </row>
    <row customHeight="1" ht="9.945">
      <c r="E75" s="797">
        <v>10.2</v>
      </c>
      <c r="U75" s="179" t="s">
        <v>236</v>
      </c>
      <c r="V75" s="171" t="s">
        <v>1996</v>
      </c>
    </row>
    <row customHeight="1" ht="11.25" hidden="1">
      <c r="E76" s="797">
        <v>0</v>
      </c>
    </row>
    <row customHeight="1" ht="14.625">
      <c r="E77" s="797">
        <v>15</v>
      </c>
      <c r="AB77" s="1561" t="s">
        <v>705</v>
      </c>
      <c r="AC77" s="1562"/>
      <c r="AD77" s="1562"/>
      <c r="AE77" s="1562"/>
      <c r="AF77" s="1562"/>
      <c r="AG77" s="1562"/>
      <c r="AH77" s="1562"/>
      <c r="AI77" s="1563"/>
    </row>
    <row customHeight="1" ht="14.625">
      <c r="E78" s="797">
        <v>15</v>
      </c>
      <c r="AA78" s="921"/>
      <c r="AB78" s="1564"/>
      <c r="AC78" s="1565"/>
      <c r="AD78" s="1565"/>
      <c r="AE78" s="1565"/>
      <c r="AF78" s="1565"/>
      <c r="AG78" s="1565"/>
      <c r="AH78" s="1565"/>
      <c r="AI78" s="1566"/>
    </row>
    <row customHeight="1" ht="14.625" hidden="1">
      <c r="A79" s="1186"/>
      <c r="B79" s="927"/>
      <c r="C79" s="228"/>
      <c r="D79" s="228"/>
      <c r="E79" s="797">
        <v>15</v>
      </c>
      <c r="F79" s="228"/>
      <c r="G79" s="230"/>
      <c r="H79" s="230"/>
      <c r="I79" s="230"/>
      <c r="J79" s="230"/>
      <c r="K79" s="230"/>
      <c r="L79" s="230"/>
      <c r="M79" s="230"/>
      <c r="N79" s="230"/>
      <c r="O79" s="230"/>
      <c r="P79" s="230"/>
      <c r="Q79" s="193"/>
      <c r="R79" s="193"/>
      <c r="S79" s="230"/>
      <c r="T79" s="808">
        <f>ROW(W79)&gt;ROW(W$79)</f>
        <v>0</v>
      </c>
      <c r="U79" s="1582"/>
      <c r="V79" s="1582"/>
      <c r="W79" s="175" t="s">
        <v>234</v>
      </c>
      <c r="X79" s="1582"/>
      <c r="Y79" s="1582"/>
      <c r="Z79" s="1582"/>
      <c r="AA79" s="917" t="s">
        <v>218</v>
      </c>
      <c r="AB79" s="2014"/>
      <c r="AC79" s="2015"/>
      <c r="AD79" s="2015"/>
      <c r="AE79" s="2015"/>
      <c r="AF79" s="2015"/>
      <c r="AG79" s="2015"/>
      <c r="AH79" s="2015"/>
      <c r="AI79" s="2016"/>
      <c r="AJ79" s="230"/>
      <c r="AK79" s="230"/>
      <c r="AL79" s="1235"/>
      <c r="AM79" s="1235"/>
      <c r="AN79" s="1235"/>
      <c r="AO79" s="1236"/>
      <c r="AP79" s="1236"/>
    </row>
    <row customHeight="1" ht="14.625">
      <c r="E80" s="797">
        <v>15</v>
      </c>
      <c r="W80" s="171" t="s">
        <v>1018</v>
      </c>
      <c r="AA80" s="213"/>
      <c r="AB80" s="1478" t="s">
        <v>706</v>
      </c>
      <c r="AC80" s="1479"/>
      <c r="AD80" s="987"/>
      <c r="AE80" s="383"/>
      <c r="AF80" s="383"/>
      <c r="AG80" s="383"/>
      <c r="AH80" s="383"/>
      <c r="AI80" s="350"/>
    </row>
    <row customHeight="1" ht="11.25">
      <c r="AJ81" s="230"/>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1DD19-5F3C-C8FE-DF38-A49E5CD4030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3" style="1306" width="9.00390625" hidden="1" customWidth="1"/>
    <col min="4" max="4" style="1292" width="9.00390625" hidden="1" customWidth="1"/>
    <col min="5" max="5" style="925" width="8.421875" hidden="1" customWidth="1"/>
    <col min="6" max="6" style="230" width="6.421875" hidden="1" customWidth="1"/>
    <col min="7" max="11" style="230" width="3.57421875" hidden="1" customWidth="1"/>
    <col min="12" max="16" style="1333" width="8.421875" hidden="1" customWidth="1"/>
    <col min="17" max="18" style="1331" width="8.421875" hidden="1" customWidth="1"/>
    <col min="19" max="19" style="1333" width="8.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30" width="3.00390625" customWidth="1"/>
    <col min="28" max="28" style="228" width="8.1328125" customWidth="1"/>
    <col min="29" max="29" style="229" width="70.1328125" customWidth="1"/>
    <col min="30" max="30" style="228" width="14.3828125" customWidth="1"/>
    <col min="31" max="50" style="230" width="12.6328125" customWidth="1"/>
    <col min="51" max="51" style="230" width="19.00390625" customWidth="1"/>
    <col min="52" max="52" style="230" width="17.25390625" customWidth="1"/>
    <col min="53" max="53" style="230" width="31.25390625" customWidth="1"/>
    <col min="54" max="54" style="230" width="3.00390625" customWidth="1"/>
    <col min="55" max="55" style="230" width="9.140625" hidden="1"/>
    <col min="56" max="58" style="1235" width="9.140625" hidden="1"/>
    <col min="59" max="60" style="1236" width="9.140625" hidden="1"/>
    <col min="61" max="61" style="1333" width="9.140625" hidden="1"/>
  </cols>
  <sheetData>
    <row s="228" customFormat="1" customHeight="1" ht="12" hidden="1">
      <c r="A1" s="175"/>
      <c r="B1" s="788"/>
      <c r="C1" s="1292" t="s">
        <v>84</v>
      </c>
      <c r="D1" s="1292" t="s">
        <v>85</v>
      </c>
      <c r="E1" s="788"/>
      <c r="F1" s="819" t="s">
        <v>83</v>
      </c>
      <c r="L1" s="1308" t="s">
        <v>94</v>
      </c>
      <c r="M1" s="1308" t="s">
        <v>1568</v>
      </c>
      <c r="N1" s="1308" t="s">
        <v>1796</v>
      </c>
      <c r="O1" s="1308" t="s">
        <v>1570</v>
      </c>
      <c r="P1" s="1308" t="s">
        <v>1997</v>
      </c>
      <c r="Q1" s="1309" t="s">
        <v>1998</v>
      </c>
      <c r="R1" s="1309" t="s">
        <v>98</v>
      </c>
      <c r="S1" s="1308" t="s">
        <v>1569</v>
      </c>
      <c r="T1" s="808" t="s">
        <v>86</v>
      </c>
      <c r="U1" s="808" t="s">
        <v>91</v>
      </c>
      <c r="V1" s="808" t="s">
        <v>87</v>
      </c>
      <c r="W1" s="808" t="s">
        <v>88</v>
      </c>
      <c r="X1" s="808" t="s">
        <v>89</v>
      </c>
      <c r="Y1" s="819" t="s">
        <v>372</v>
      </c>
      <c r="Z1" s="808" t="s">
        <v>93</v>
      </c>
      <c r="AA1" s="819" t="s">
        <v>90</v>
      </c>
      <c r="AB1" s="819" t="s">
        <v>92</v>
      </c>
      <c r="AC1" s="819" t="s">
        <v>92</v>
      </c>
      <c r="AE1" s="228"/>
      <c r="AF1" s="228"/>
      <c r="AG1" s="228"/>
      <c r="AH1" s="228"/>
      <c r="AI1" s="228"/>
      <c r="AJ1" s="228"/>
      <c r="AK1" s="228"/>
      <c r="AL1" s="228"/>
      <c r="AM1" s="228"/>
      <c r="AN1" s="228"/>
      <c r="AO1" s="228"/>
      <c r="AP1" s="228"/>
      <c r="AQ1" s="228"/>
      <c r="AR1" s="228"/>
      <c r="AS1" s="228"/>
      <c r="AT1" s="228"/>
      <c r="AU1" s="228"/>
      <c r="AV1" s="228"/>
      <c r="AW1" s="228"/>
      <c r="AX1" s="228"/>
      <c r="BD1" s="1345" t="s">
        <v>373</v>
      </c>
      <c r="BE1" s="1345" t="s">
        <v>374</v>
      </c>
      <c r="BF1" s="1345" t="s">
        <v>375</v>
      </c>
      <c r="BG1" s="1346" t="s">
        <v>378</v>
      </c>
      <c r="BH1" s="1346" t="s">
        <v>379</v>
      </c>
      <c r="BI1" s="1264" t="s">
        <v>1572</v>
      </c>
    </row>
    <row s="927" customFormat="1" customHeight="1" ht="12" hidden="1">
      <c r="A2" s="1194"/>
      <c r="B2" s="910" t="s">
        <v>15</v>
      </c>
      <c r="C2" s="1303"/>
      <c r="D2" s="1318"/>
      <c r="F2" s="930"/>
      <c r="G2" s="930"/>
      <c r="H2" s="930"/>
      <c r="I2" s="930"/>
      <c r="J2" s="930"/>
      <c r="K2" s="930"/>
      <c r="L2" s="1298"/>
      <c r="M2" s="1298"/>
      <c r="N2" s="1298"/>
      <c r="O2" s="1298"/>
      <c r="P2" s="1298"/>
      <c r="Q2" s="1295"/>
      <c r="R2" s="1295"/>
      <c r="S2" s="1298"/>
      <c r="AC2" s="792"/>
      <c r="AE2" s="809">
        <f>AE6&lt;=last_year_vis</f>
        <v>1</v>
      </c>
      <c r="AF2" s="809">
        <f>AF6&lt;=last_year_vis</f>
        <v>1</v>
      </c>
      <c r="AG2" s="809">
        <f>AG6&lt;=last_year_vis</f>
        <v>1</v>
      </c>
      <c r="AH2" s="809">
        <f>AH6&lt;=last_year_vis</f>
        <v>1</v>
      </c>
      <c r="AI2" s="809">
        <f>AI6&lt;=last_year_vis</f>
        <v>1</v>
      </c>
      <c r="AJ2" s="809">
        <f>AJ6&lt;=last_year_vis</f>
        <v>1</v>
      </c>
      <c r="AK2" s="809">
        <f>AK6&lt;=last_year_vis</f>
        <v>1</v>
      </c>
      <c r="AL2" s="809">
        <f>AL6&lt;=last_year_vis</f>
        <v>1</v>
      </c>
      <c r="AM2" s="809">
        <f>AM6&lt;=last_year_vis</f>
        <v>1</v>
      </c>
      <c r="AN2" s="809">
        <f>AN6&lt;=last_year_vis</f>
        <v>1</v>
      </c>
      <c r="AO2" s="809">
        <f>AO6&lt;=last_year_vis</f>
        <v>1</v>
      </c>
      <c r="AP2" s="809">
        <f>AP6&lt;=last_year_vis</f>
        <v>1</v>
      </c>
      <c r="AQ2" s="809">
        <f>AQ6&lt;=last_year_vis</f>
        <v>1</v>
      </c>
      <c r="AR2" s="809">
        <f>AR6&lt;=last_year_vis</f>
        <v>1</v>
      </c>
      <c r="AS2" s="809">
        <f>AS6&lt;=last_year_vis</f>
        <v>1</v>
      </c>
      <c r="AT2" s="809">
        <f>AT6&lt;=last_year_vis</f>
        <v>1</v>
      </c>
      <c r="AU2" s="809">
        <f>AU6&lt;=last_year_vis</f>
        <v>1</v>
      </c>
      <c r="AV2" s="809">
        <f>AV6&lt;=last_year_vis</f>
        <v>1</v>
      </c>
      <c r="AW2" s="809">
        <f>AW6&lt;=last_year_vis</f>
        <v>1</v>
      </c>
      <c r="AX2" s="809">
        <f>AX6&lt;=last_year_vis</f>
        <v>1</v>
      </c>
      <c r="BD2" s="1176"/>
      <c r="BE2" s="1176"/>
      <c r="BF2" s="1176"/>
      <c r="BG2" s="1188"/>
      <c r="BH2" s="1188"/>
      <c r="BI2" s="1258"/>
    </row>
    <row s="228" customFormat="1" customHeight="1" ht="12" hidden="1">
      <c r="A3" s="1186"/>
      <c r="B3" s="788"/>
      <c r="C3" s="1300"/>
      <c r="D3" s="1292"/>
      <c r="E3" s="788"/>
      <c r="F3" s="230"/>
      <c r="G3" s="230"/>
      <c r="H3" s="230"/>
      <c r="I3" s="230"/>
      <c r="J3" s="230"/>
      <c r="K3" s="230"/>
      <c r="L3" s="1271"/>
      <c r="M3" s="1271"/>
      <c r="N3" s="1271"/>
      <c r="O3" s="1271"/>
      <c r="P3" s="1271"/>
      <c r="Q3" s="1279"/>
      <c r="R3" s="1279"/>
      <c r="S3" s="1271"/>
      <c r="T3" s="175"/>
      <c r="U3" s="175"/>
      <c r="V3" s="175"/>
      <c r="W3" s="175"/>
      <c r="X3" s="175"/>
      <c r="Y3" s="175"/>
      <c r="Z3" s="175"/>
      <c r="AC3" s="232"/>
      <c r="AE3" s="228"/>
      <c r="AF3" s="228"/>
      <c r="AG3" s="228"/>
      <c r="AH3" s="228"/>
      <c r="AI3" s="228"/>
      <c r="AJ3" s="228"/>
      <c r="AK3" s="228"/>
      <c r="AL3" s="228"/>
      <c r="AM3" s="228"/>
      <c r="AN3" s="228"/>
      <c r="AO3" s="228"/>
      <c r="AP3" s="228"/>
      <c r="AQ3" s="228"/>
      <c r="AR3" s="228"/>
      <c r="AS3" s="228"/>
      <c r="AT3" s="228"/>
      <c r="AU3" s="228"/>
      <c r="AV3" s="228"/>
      <c r="AW3" s="228"/>
      <c r="AX3" s="228"/>
      <c r="BD3" s="1235"/>
      <c r="BE3" s="1235"/>
      <c r="BF3" s="1235"/>
      <c r="BG3" s="1236"/>
      <c r="BH3" s="1236"/>
      <c r="BI3" s="1269"/>
    </row>
    <row s="228" customFormat="1" customHeight="1" ht="12" hidden="1">
      <c r="A4" s="1186"/>
      <c r="B4" s="788"/>
      <c r="C4" s="1300"/>
      <c r="D4" s="1292"/>
      <c r="E4" s="788"/>
      <c r="F4" s="230"/>
      <c r="G4" s="230"/>
      <c r="H4" s="230"/>
      <c r="I4" s="230"/>
      <c r="J4" s="230"/>
      <c r="K4" s="230"/>
      <c r="L4" s="1271"/>
      <c r="M4" s="1271"/>
      <c r="N4" s="1271"/>
      <c r="O4" s="1271"/>
      <c r="P4" s="1271"/>
      <c r="Q4" s="1279"/>
      <c r="R4" s="1279"/>
      <c r="S4" s="1271"/>
      <c r="T4" s="175"/>
      <c r="U4" s="175"/>
      <c r="V4" s="175"/>
      <c r="W4" s="175"/>
      <c r="X4" s="175"/>
      <c r="Y4" s="175"/>
      <c r="Z4" s="175"/>
      <c r="AC4" s="232"/>
      <c r="AE4" s="228"/>
      <c r="AF4" s="228"/>
      <c r="AG4" s="228"/>
      <c r="AH4" s="228"/>
      <c r="AI4" s="228"/>
      <c r="AJ4" s="228"/>
      <c r="AK4" s="228"/>
      <c r="AL4" s="228"/>
      <c r="AM4" s="228"/>
      <c r="AN4" s="228"/>
      <c r="AO4" s="228"/>
      <c r="AP4" s="228"/>
      <c r="AQ4" s="228"/>
      <c r="AR4" s="228"/>
      <c r="AS4" s="228"/>
      <c r="AT4" s="228"/>
      <c r="AU4" s="228"/>
      <c r="AV4" s="228"/>
      <c r="AW4" s="228"/>
      <c r="AX4" s="228"/>
      <c r="BD4" s="1235"/>
      <c r="BE4" s="1235"/>
      <c r="BF4" s="1235"/>
      <c r="BG4" s="1236"/>
      <c r="BH4" s="1236"/>
      <c r="BI4" s="1269"/>
    </row>
    <row s="925" customFormat="1" customHeight="1" ht="12" hidden="1">
      <c r="A5" s="1194"/>
      <c r="B5" s="788"/>
      <c r="C5" s="1303"/>
      <c r="D5" s="1318"/>
      <c r="E5" s="797" t="s">
        <v>16</v>
      </c>
      <c r="F5" s="931"/>
      <c r="G5" s="931"/>
      <c r="H5" s="931"/>
      <c r="I5" s="931"/>
      <c r="J5" s="931"/>
      <c r="K5" s="931"/>
      <c r="L5" s="1298"/>
      <c r="M5" s="1298"/>
      <c r="N5" s="1298"/>
      <c r="O5" s="1298"/>
      <c r="P5" s="1298"/>
      <c r="Q5" s="1295"/>
      <c r="R5" s="1295"/>
      <c r="S5" s="1298"/>
      <c r="AA5" s="797">
        <v>3</v>
      </c>
      <c r="AB5" s="797">
        <v>8.13</v>
      </c>
      <c r="AC5" s="803">
        <v>70.13</v>
      </c>
      <c r="AD5" s="797">
        <v>14.38</v>
      </c>
      <c r="AE5" s="797">
        <v>12.63</v>
      </c>
      <c r="AF5" s="797">
        <v>12.63</v>
      </c>
      <c r="AG5" s="797">
        <v>12.63</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19</v>
      </c>
      <c r="AZ5" s="797">
        <v>17.25</v>
      </c>
      <c r="BA5" s="797">
        <v>31.25</v>
      </c>
      <c r="BB5" s="797">
        <v>3</v>
      </c>
      <c r="BD5" s="1176"/>
      <c r="BE5" s="1176"/>
      <c r="BF5" s="1176"/>
      <c r="BG5" s="1188"/>
      <c r="BH5" s="1188"/>
      <c r="BI5" s="1258"/>
    </row>
    <row s="228" customFormat="1" customHeight="1" ht="12" hidden="1">
      <c r="A6" s="1186"/>
      <c r="B6" s="788"/>
      <c r="C6" s="1300"/>
      <c r="D6" s="1292"/>
      <c r="E6" s="797"/>
      <c r="F6" s="230"/>
      <c r="G6" s="230"/>
      <c r="H6" s="230"/>
      <c r="I6" s="230"/>
      <c r="J6" s="230"/>
      <c r="K6" s="230"/>
      <c r="L6" s="1271"/>
      <c r="M6" s="1271"/>
      <c r="N6" s="1271"/>
      <c r="O6" s="1271"/>
      <c r="P6" s="1271"/>
      <c r="Q6" s="1279"/>
      <c r="R6" s="1279"/>
      <c r="S6" s="1271"/>
      <c r="T6" s="175"/>
      <c r="U6" s="175"/>
      <c r="V6" s="175"/>
      <c r="W6" s="175"/>
      <c r="X6" s="175"/>
      <c r="Y6" s="175"/>
      <c r="Z6" s="175"/>
      <c r="AC6" s="232"/>
      <c r="AE6" s="175" cm="1" t="str">
        <f t="array" ref="AE6:AE6">first_year</f>
        <v>2016</v>
      </c>
      <c r="AF6" s="175">
        <f>AE6+1</f>
        <v>2017</v>
      </c>
      <c r="AG6" s="175">
        <f>AF6+1</f>
        <v>2018</v>
      </c>
      <c r="AH6" s="175">
        <f>AG6+1</f>
        <v>2019</v>
      </c>
      <c r="AI6" s="175">
        <f>AH6+1</f>
        <v>2020</v>
      </c>
      <c r="AJ6" s="175">
        <f>AI6+1</f>
        <v>2021</v>
      </c>
      <c r="AK6" s="175">
        <f>AJ6+1</f>
        <v>2022</v>
      </c>
      <c r="AL6" s="175">
        <f>AK6+1</f>
        <v>2023</v>
      </c>
      <c r="AM6" s="175">
        <f>AL6+1</f>
        <v>2024</v>
      </c>
      <c r="AN6" s="175">
        <f>AM6+1</f>
        <v>2025</v>
      </c>
      <c r="AO6" s="175" cm="1" t="str">
        <f t="array" ref="AO6:AO6">first_year</f>
        <v>2016</v>
      </c>
      <c r="AP6" s="175">
        <f>AO6+1</f>
        <v>2017</v>
      </c>
      <c r="AQ6" s="175">
        <f>AP6+1</f>
        <v>2018</v>
      </c>
      <c r="AR6" s="175">
        <f>AQ6+1</f>
        <v>2019</v>
      </c>
      <c r="AS6" s="175">
        <f>AR6+1</f>
        <v>2020</v>
      </c>
      <c r="AT6" s="175">
        <f>AS6+1</f>
        <v>2021</v>
      </c>
      <c r="AU6" s="175">
        <f>AT6+1</f>
        <v>2022</v>
      </c>
      <c r="AV6" s="175">
        <f>AU6+1</f>
        <v>2023</v>
      </c>
      <c r="AW6" s="175">
        <f>AV6+1</f>
        <v>2024</v>
      </c>
      <c r="AX6" s="175">
        <f>AW6+1</f>
        <v>2025</v>
      </c>
      <c r="BD6" s="1235"/>
      <c r="BE6" s="1235"/>
      <c r="BF6" s="1235"/>
      <c r="BG6" s="1236"/>
      <c r="BH6" s="1236"/>
      <c r="BI6" s="1269"/>
    </row>
    <row customHeight="1" ht="12" hidden="1">
      <c r="T7" s="213"/>
      <c r="U7" s="213"/>
      <c r="V7" s="213"/>
      <c r="W7" s="213"/>
      <c r="X7" s="213"/>
      <c r="Y7" s="213"/>
      <c r="Z7" s="213"/>
      <c r="AB7" s="230"/>
      <c r="AD7" s="230"/>
      <c r="AE7" s="213" cm="1" t="str">
        <f t="array" ref="AE7:AE7">$AE$25</f>
        <v>Предложение организации</v>
      </c>
      <c r="AF7" s="213" cm="1" t="str">
        <f t="array" ref="AF7:AF7">$AE$25</f>
        <v>Предложение организации</v>
      </c>
      <c r="AG7" s="213" cm="1" t="str">
        <f t="array" ref="AG7:AG7">$AE$25</f>
        <v>Предложение организации</v>
      </c>
      <c r="AH7" s="213" cm="1" t="str">
        <f t="array" ref="AH7:AH7">$AE$25</f>
        <v>Предложение организации</v>
      </c>
      <c r="AI7" s="213" cm="1" t="str">
        <f t="array" ref="AI7:AI7">$AE$25</f>
        <v>Предложение организации</v>
      </c>
      <c r="AJ7" s="213" cm="1" t="str">
        <f t="array" ref="AJ7:AJ7">$AE$25</f>
        <v>Предложение организации</v>
      </c>
      <c r="AK7" s="213" cm="1" t="str">
        <f t="array" ref="AK7:AK7">$AE$25</f>
        <v>Предложение организации</v>
      </c>
      <c r="AL7" s="213" cm="1" t="str">
        <f t="array" ref="AL7:AL7">$AE$25</f>
        <v>Предложение организации</v>
      </c>
      <c r="AM7" s="213" cm="1" t="str">
        <f t="array" ref="AM7:AM7">$AE$25</f>
        <v>Предложение организации</v>
      </c>
      <c r="AN7" s="213" cm="1" t="str">
        <f t="array" ref="AN7:AN7">$AE$25</f>
        <v>Предложение организации</v>
      </c>
      <c r="AO7" s="213" cm="1" t="str">
        <f t="array" ref="AO7:AO7">$AO$25</f>
        <v>Принято органом регулирования</v>
      </c>
      <c r="AP7" s="213" cm="1" t="str">
        <f t="array" ref="AP7:AP7">$AO$25</f>
        <v>Принято органом регулирования</v>
      </c>
      <c r="AQ7" s="213" cm="1" t="str">
        <f t="array" ref="AQ7:AQ7">$AO$25</f>
        <v>Принято органом регулирования</v>
      </c>
      <c r="AR7" s="213" cm="1" t="str">
        <f t="array" ref="AR7:AR7">$AO$25</f>
        <v>Принято органом регулирования</v>
      </c>
      <c r="AS7" s="213" cm="1" t="str">
        <f t="array" ref="AS7:AS7">$AO$25</f>
        <v>Принято органом регулирования</v>
      </c>
      <c r="AT7" s="213" cm="1" t="str">
        <f t="array" ref="AT7:AT7">$AO$25</f>
        <v>Принято органом регулирования</v>
      </c>
      <c r="AU7" s="213" cm="1" t="str">
        <f t="array" ref="AU7:AU7">$AO$25</f>
        <v>Принято органом регулирования</v>
      </c>
      <c r="AV7" s="213" cm="1" t="str">
        <f t="array" ref="AV7:AV7">$AO$25</f>
        <v>Принято органом регулирования</v>
      </c>
      <c r="AW7" s="213" cm="1" t="str">
        <f t="array" ref="AW7:AW7">$AO$25</f>
        <v>Принято органом регулирования</v>
      </c>
      <c r="AX7" s="213" cm="1" t="str">
        <f t="array" ref="AX7:AX7">$AO$25</f>
        <v>Принято органом регулирования</v>
      </c>
    </row>
    <row customHeight="1" ht="12" hidden="1">
      <c r="T8" s="213"/>
      <c r="U8" s="213"/>
      <c r="V8" s="213"/>
      <c r="W8" s="213"/>
      <c r="X8" s="213"/>
      <c r="Y8" s="213"/>
      <c r="Z8" s="213"/>
      <c r="AB8" s="230"/>
      <c r="AD8" s="230"/>
      <c r="AE8" s="213" t="str">
        <f>AE6&amp;AE7</f>
        <v>2016Предложение организации</v>
      </c>
      <c r="AF8" s="213" t="str">
        <f>AF6&amp;AF7</f>
        <v>2017Предложение организации</v>
      </c>
      <c r="AG8" s="213" t="str">
        <f>AG6&amp;AG7</f>
        <v>2018Предложение организации</v>
      </c>
      <c r="AH8" s="213" t="str">
        <f>AH6&amp;AH7</f>
        <v>2019Предложение организации</v>
      </c>
      <c r="AI8" s="213" t="str">
        <f>AI6&amp;AI7</f>
        <v>2020Предложение организации</v>
      </c>
      <c r="AJ8" s="213" t="str">
        <f>AJ6&amp;AJ7</f>
        <v>2021Предложение организации</v>
      </c>
      <c r="AK8" s="213" t="str">
        <f>AK6&amp;AK7</f>
        <v>2022Предложение организации</v>
      </c>
      <c r="AL8" s="213" t="str">
        <f>AL6&amp;AL7</f>
        <v>2023Предложение организации</v>
      </c>
      <c r="AM8" s="213" t="str">
        <f>AM6&amp;AM7</f>
        <v>2024Предложение организации</v>
      </c>
      <c r="AN8" s="213" t="str">
        <f>AN6&amp;AN7</f>
        <v>2025Предложение организации</v>
      </c>
      <c r="AO8" s="213" t="str">
        <f>AO6&amp;AO7</f>
        <v>2016Принято органом регулирования</v>
      </c>
      <c r="AP8" s="213" t="str">
        <f>AP6&amp;AP7</f>
        <v>2017Принято органом регулирования</v>
      </c>
      <c r="AQ8" s="213" t="str">
        <f>AQ6&amp;AQ7</f>
        <v>2018Принято органом регулирования</v>
      </c>
      <c r="AR8" s="213" t="str">
        <f>AR6&amp;AR7</f>
        <v>2019Принято органом регулирования</v>
      </c>
      <c r="AS8" s="213" t="str">
        <f>AS6&amp;AS7</f>
        <v>2020Принято органом регулирования</v>
      </c>
      <c r="AT8" s="213" t="str">
        <f>AT6&amp;AT7</f>
        <v>2021Принято органом регулирования</v>
      </c>
      <c r="AU8" s="213" t="str">
        <f>AU6&amp;AU7</f>
        <v>2022Принято органом регулирования</v>
      </c>
      <c r="AV8" s="213" t="str">
        <f>AV6&amp;AV7</f>
        <v>2023Принято органом регулирования</v>
      </c>
      <c r="AW8" s="213" t="str">
        <f>AW6&amp;AW7</f>
        <v>2024Принято органом регулирования</v>
      </c>
      <c r="AX8" s="213" t="str">
        <f>AX6&amp;AX7</f>
        <v>2025Принято органом регулирования</v>
      </c>
    </row>
    <row s="1234" customFormat="1" customHeight="1" ht="12" hidden="1">
      <c r="A9" s="1161" t="s">
        <v>437</v>
      </c>
      <c r="B9" s="1154"/>
      <c r="C9" s="1300"/>
      <c r="D9" s="1292"/>
      <c r="E9" s="1154"/>
      <c r="F9" s="1237"/>
      <c r="G9" s="1237"/>
      <c r="H9" s="1237"/>
      <c r="I9" s="1237"/>
      <c r="J9" s="1237"/>
      <c r="K9" s="1237"/>
      <c r="L9" s="1271"/>
      <c r="M9" s="1271"/>
      <c r="N9" s="1271"/>
      <c r="O9" s="1271"/>
      <c r="P9" s="1271"/>
      <c r="Q9" s="1279"/>
      <c r="R9" s="1279"/>
      <c r="S9" s="1271"/>
      <c r="T9" s="1162"/>
      <c r="U9" s="1162"/>
      <c r="V9" s="1162"/>
      <c r="W9" s="1162"/>
      <c r="X9" s="1162"/>
      <c r="Y9" s="1162"/>
      <c r="Z9" s="1162"/>
      <c r="AE9" s="1234" cm="1" t="str">
        <f t="array" ref="AE9:AE9">first_year</f>
        <v>2016</v>
      </c>
      <c r="AF9" s="1234">
        <f>AE9+1</f>
        <v>2017</v>
      </c>
      <c r="AG9" s="1234">
        <f>AF9+1</f>
        <v>2018</v>
      </c>
      <c r="AH9" s="1234">
        <f>AG9+1</f>
        <v>2019</v>
      </c>
      <c r="AI9" s="1234">
        <f>AH9+1</f>
        <v>2020</v>
      </c>
      <c r="AJ9" s="1234">
        <f>AI9+1</f>
        <v>2021</v>
      </c>
      <c r="AK9" s="1234">
        <f>AJ9+1</f>
        <v>2022</v>
      </c>
      <c r="AL9" s="1234">
        <f>AK9+1</f>
        <v>2023</v>
      </c>
      <c r="AM9" s="1234">
        <f>AL9+1</f>
        <v>2024</v>
      </c>
      <c r="AN9" s="1234">
        <f>AM9+1</f>
        <v>2025</v>
      </c>
      <c r="AO9" s="1234" cm="1" t="str">
        <f t="array" ref="AO9:AO9">first_year</f>
        <v>2016</v>
      </c>
      <c r="AP9" s="1234">
        <f>AO9+1</f>
        <v>2017</v>
      </c>
      <c r="AQ9" s="1234">
        <f>AP9+1</f>
        <v>2018</v>
      </c>
      <c r="AR9" s="1234">
        <f>AQ9+1</f>
        <v>2019</v>
      </c>
      <c r="AS9" s="1234">
        <f>AR9+1</f>
        <v>2020</v>
      </c>
      <c r="AT9" s="1234">
        <f>AS9+1</f>
        <v>2021</v>
      </c>
      <c r="AU9" s="1234">
        <f>AT9+1</f>
        <v>2022</v>
      </c>
      <c r="AV9" s="1234">
        <f>AU9+1</f>
        <v>2023</v>
      </c>
      <c r="AW9" s="1234">
        <f>AV9+1</f>
        <v>2024</v>
      </c>
      <c r="AX9" s="1234">
        <f>AW9+1</f>
        <v>2025</v>
      </c>
      <c r="BD9" s="1235"/>
      <c r="BE9" s="1235"/>
      <c r="BF9" s="1235"/>
      <c r="BG9" s="1236"/>
      <c r="BH9" s="1236"/>
      <c r="BI9" s="1269"/>
    </row>
    <row s="1234" customFormat="1" customHeight="1" ht="12" hidden="1">
      <c r="A10" s="1161" t="s">
        <v>438</v>
      </c>
      <c r="B10" s="1154"/>
      <c r="C10" s="1300"/>
      <c r="D10" s="1292"/>
      <c r="E10" s="1154"/>
      <c r="F10" s="1237"/>
      <c r="G10" s="1237"/>
      <c r="H10" s="1237"/>
      <c r="I10" s="1237"/>
      <c r="J10" s="1237"/>
      <c r="K10" s="1237"/>
      <c r="L10" s="1271"/>
      <c r="M10" s="1271"/>
      <c r="N10" s="1271"/>
      <c r="O10" s="1271"/>
      <c r="P10" s="1271"/>
      <c r="Q10" s="1279"/>
      <c r="R10" s="1279"/>
      <c r="S10" s="1271"/>
      <c r="T10" s="1162"/>
      <c r="U10" s="1162"/>
      <c r="V10" s="1162"/>
      <c r="W10" s="1162"/>
      <c r="X10" s="1162"/>
      <c r="Y10" s="1162"/>
      <c r="Z10" s="1162"/>
      <c r="AE10" s="1234" cm="1" t="str">
        <f t="array" ref="AE10:AE10">AE25</f>
        <v>Предложение организации</v>
      </c>
      <c r="AF10" s="1234" cm="1" t="str">
        <f t="array" ref="AF10:AF10">AF25</f>
        <v>Предложение организации</v>
      </c>
      <c r="AG10" s="1234" cm="1" t="str">
        <f t="array" ref="AG10:AG10">AG25</f>
        <v>Предложение организации</v>
      </c>
      <c r="AH10" s="1234" cm="1" t="str">
        <f t="array" ref="AH10:AH10">AH25</f>
        <v>Предложение организации</v>
      </c>
      <c r="AI10" s="1234" cm="1" t="str">
        <f t="array" ref="AI10:AI10">AI25</f>
        <v>Предложение организации</v>
      </c>
      <c r="AJ10" s="1234" cm="1" t="str">
        <f t="array" ref="AJ10:AJ10">AJ25</f>
        <v>Предложение организации</v>
      </c>
      <c r="AK10" s="1234" cm="1" t="str">
        <f t="array" ref="AK10:AK10">AK25</f>
        <v>Предложение организации</v>
      </c>
      <c r="AL10" s="1234" cm="1" t="str">
        <f t="array" ref="AL10:AL10">AL25</f>
        <v>Предложение организации</v>
      </c>
      <c r="AM10" s="1234" cm="1" t="str">
        <f t="array" ref="AM10:AM10">AM25</f>
        <v>Предложение организации</v>
      </c>
      <c r="AN10" s="1234" cm="1" t="str">
        <f t="array" ref="AN10:AN10">AN25</f>
        <v>Предложение организации</v>
      </c>
      <c r="AO10" s="1234" cm="1" t="str">
        <f t="array" ref="AO10:AO10">AO25</f>
        <v>Принято органом регулирования</v>
      </c>
      <c r="AP10" s="1234" cm="1" t="str">
        <f t="array" ref="AP10:AP10">AP25</f>
        <v>Принято органом регулирования</v>
      </c>
      <c r="AQ10" s="1234" cm="1" t="str">
        <f t="array" ref="AQ10:AQ10">AQ25</f>
        <v>Принято органом регулирования</v>
      </c>
      <c r="AR10" s="1234" cm="1" t="str">
        <f t="array" ref="AR10:AR10">AR25</f>
        <v>Принято органом регулирования</v>
      </c>
      <c r="AS10" s="1234" cm="1" t="str">
        <f t="array" ref="AS10:AS10">AS25</f>
        <v>Принято органом регулирования</v>
      </c>
      <c r="AT10" s="1234" cm="1" t="str">
        <f t="array" ref="AT10:AT10">AT25</f>
        <v>Принято органом регулирования</v>
      </c>
      <c r="AU10" s="1234" cm="1" t="str">
        <f t="array" ref="AU10:AU10">AU25</f>
        <v>Принято органом регулирования</v>
      </c>
      <c r="AV10" s="1234" cm="1" t="str">
        <f t="array" ref="AV10:AV10">AV25</f>
        <v>Принято органом регулирования</v>
      </c>
      <c r="AW10" s="1234" cm="1" t="str">
        <f t="array" ref="AW10:AW10">AW25</f>
        <v>Принято органом регулирования</v>
      </c>
      <c r="AX10" s="1234" cm="1" t="str">
        <f t="array" ref="AX10:AX10">AX25</f>
        <v>Принято органом регулирования</v>
      </c>
      <c r="BD10" s="1235"/>
      <c r="BE10" s="1235"/>
      <c r="BF10" s="1235"/>
      <c r="BG10" s="1236"/>
      <c r="BH10" s="1236"/>
      <c r="BI10" s="1269"/>
    </row>
    <row s="1234" customFormat="1" customHeight="1" ht="12" hidden="1">
      <c r="A11" s="1161" t="s">
        <v>439</v>
      </c>
      <c r="B11" s="1154"/>
      <c r="C11" s="1300"/>
      <c r="D11" s="1292"/>
      <c r="E11" s="1154"/>
      <c r="F11" s="1237"/>
      <c r="G11" s="1237"/>
      <c r="H11" s="1237"/>
      <c r="I11" s="1237"/>
      <c r="J11" s="1237"/>
      <c r="K11" s="1237"/>
      <c r="L11" s="1271"/>
      <c r="M11" s="1271"/>
      <c r="N11" s="1271"/>
      <c r="O11" s="1271"/>
      <c r="P11" s="1271"/>
      <c r="Q11" s="1279"/>
      <c r="R11" s="1279"/>
      <c r="S11" s="1271"/>
      <c r="T11" s="1162"/>
      <c r="U11" s="1162"/>
      <c r="V11" s="1162"/>
      <c r="W11" s="1162"/>
      <c r="X11" s="1162"/>
      <c r="Y11" s="1162"/>
      <c r="Z11" s="1162"/>
      <c r="AC11" s="1238"/>
      <c r="AE11" s="1234"/>
      <c r="AF11" s="1234"/>
      <c r="AG11" s="1234"/>
      <c r="AH11" s="1234"/>
      <c r="AI11" s="1234"/>
      <c r="AJ11" s="1234"/>
      <c r="AK11" s="1234"/>
      <c r="AL11" s="1234"/>
      <c r="AM11" s="1234"/>
      <c r="AN11" s="1234"/>
      <c r="AO11" s="1234"/>
      <c r="AP11" s="1234"/>
      <c r="AQ11" s="1234"/>
      <c r="AR11" s="1234"/>
      <c r="AS11" s="1234"/>
      <c r="AT11" s="1234"/>
      <c r="AU11" s="1234"/>
      <c r="AV11" s="1234"/>
      <c r="AW11" s="1234"/>
      <c r="AX11" s="1234"/>
      <c r="AY11" s="1234" cm="1" t="str">
        <f t="array" ref="AY11:AY11">AY24</f>
        <v>Указание на подтверждающие документы / URL-ссылка на копии подтверждающих документов</v>
      </c>
      <c r="AZ11" s="1234" cm="1" t="str">
        <f t="array" ref="AZ11:AZ11">AZ24</f>
        <v>Ссылка на правовую норму (основание для принятия показателя в расчет тарифа)</v>
      </c>
      <c r="BA11" s="1234"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5"/>
      <c r="BE11" s="1235"/>
      <c r="BF11" s="1235"/>
      <c r="BG11" s="1236"/>
      <c r="BH11" s="1236"/>
      <c r="BI11" s="1269"/>
    </row>
    <row s="1234" customFormat="1" customHeight="1" ht="12" hidden="1">
      <c r="A12" s="1161" t="s">
        <v>384</v>
      </c>
      <c r="B12" s="1154"/>
      <c r="C12" s="1300"/>
      <c r="D12" s="1292"/>
      <c r="E12" s="1154"/>
      <c r="F12" s="1237"/>
      <c r="G12" s="1237"/>
      <c r="H12" s="1237"/>
      <c r="I12" s="1237"/>
      <c r="J12" s="1237"/>
      <c r="K12" s="1237"/>
      <c r="L12" s="1271"/>
      <c r="M12" s="1271"/>
      <c r="N12" s="1271"/>
      <c r="O12" s="1271"/>
      <c r="P12" s="1271"/>
      <c r="Q12" s="1279"/>
      <c r="R12" s="1279"/>
      <c r="S12" s="1271"/>
      <c r="T12" s="1162"/>
      <c r="U12" s="1162"/>
      <c r="V12" s="1162"/>
      <c r="W12" s="1162"/>
      <c r="X12" s="1162"/>
      <c r="Y12" s="1162"/>
      <c r="Z12" s="1162"/>
      <c r="AC12" s="1238" t="s">
        <v>375</v>
      </c>
      <c r="AE12" s="1234"/>
      <c r="AF12" s="1234"/>
      <c r="AG12" s="1234"/>
      <c r="AH12" s="1234"/>
      <c r="AI12" s="1234"/>
      <c r="AJ12" s="1234"/>
      <c r="AK12" s="1234"/>
      <c r="AL12" s="1234"/>
      <c r="AM12" s="1234"/>
      <c r="AN12" s="1234"/>
      <c r="AO12" s="1234"/>
      <c r="AP12" s="1234"/>
      <c r="AQ12" s="1234"/>
      <c r="AR12" s="1234"/>
      <c r="AS12" s="1234"/>
      <c r="AT12" s="1234"/>
      <c r="AU12" s="1234"/>
      <c r="AV12" s="1234"/>
      <c r="AW12" s="1234"/>
      <c r="AX12" s="1234"/>
      <c r="BD12" s="1235"/>
      <c r="BE12" s="1235"/>
      <c r="BF12" s="1235"/>
      <c r="BG12" s="1236"/>
      <c r="BH12" s="1236"/>
      <c r="BI12" s="1269"/>
    </row>
    <row s="1270" customFormat="1" customHeight="1" ht="12" hidden="1">
      <c r="A13" s="1276" t="s">
        <v>103</v>
      </c>
      <c r="B13" s="1258"/>
      <c r="C13" s="1291"/>
      <c r="D13" s="1291"/>
      <c r="E13" s="1258"/>
      <c r="F13" s="1271"/>
      <c r="G13" s="1271"/>
      <c r="H13" s="1271"/>
      <c r="I13" s="1271"/>
      <c r="J13" s="1271"/>
      <c r="K13" s="1271"/>
      <c r="L13" s="1271"/>
      <c r="M13" s="1271"/>
      <c r="N13" s="1271"/>
      <c r="O13" s="1271"/>
      <c r="P13" s="1271"/>
      <c r="Q13" s="1279"/>
      <c r="R13" s="1279"/>
      <c r="S13" s="1271"/>
      <c r="T13" s="1273"/>
      <c r="U13" s="1273"/>
      <c r="V13" s="1273"/>
      <c r="W13" s="1273"/>
      <c r="X13" s="1273"/>
      <c r="Y13" s="1273"/>
      <c r="Z13" s="1273"/>
      <c r="AC13" s="1274"/>
      <c r="AE13" s="1269" t="s">
        <v>1573</v>
      </c>
      <c r="AF13" s="1269" t="s">
        <v>1573</v>
      </c>
      <c r="AG13" s="1269" t="s">
        <v>1573</v>
      </c>
      <c r="AH13" s="1269" t="s">
        <v>1573</v>
      </c>
      <c r="AI13" s="1269" t="s">
        <v>1573</v>
      </c>
      <c r="AJ13" s="1269" t="s">
        <v>1573</v>
      </c>
      <c r="AK13" s="1269" t="s">
        <v>1573</v>
      </c>
      <c r="AL13" s="1269" t="s">
        <v>1573</v>
      </c>
      <c r="AM13" s="1269" t="s">
        <v>1573</v>
      </c>
      <c r="AN13" s="1269" t="s">
        <v>1573</v>
      </c>
      <c r="AO13" s="1269" t="s">
        <v>1573</v>
      </c>
      <c r="AP13" s="1269" t="s">
        <v>1573</v>
      </c>
      <c r="AQ13" s="1269" t="s">
        <v>1573</v>
      </c>
      <c r="AR13" s="1269" t="s">
        <v>1573</v>
      </c>
      <c r="AS13" s="1269" t="s">
        <v>1573</v>
      </c>
      <c r="AT13" s="1269" t="s">
        <v>1573</v>
      </c>
      <c r="AU13" s="1269" t="s">
        <v>1573</v>
      </c>
      <c r="AV13" s="1269" t="s">
        <v>1573</v>
      </c>
      <c r="AW13" s="1269" t="s">
        <v>1573</v>
      </c>
      <c r="AX13" s="1269" t="s">
        <v>1573</v>
      </c>
      <c r="BD13" s="1275"/>
      <c r="BE13" s="1275"/>
      <c r="BF13" s="1275"/>
      <c r="BG13" s="1275"/>
      <c r="BH13" s="1275"/>
    </row>
    <row s="1270" customFormat="1" customHeight="1" ht="12" hidden="1">
      <c r="A14" s="1276" t="s">
        <v>1574</v>
      </c>
      <c r="B14" s="1258"/>
      <c r="C14" s="1291"/>
      <c r="D14" s="1291"/>
      <c r="E14" s="1258"/>
      <c r="F14" s="1271"/>
      <c r="G14" s="1271"/>
      <c r="H14" s="1271"/>
      <c r="I14" s="1271"/>
      <c r="J14" s="1271"/>
      <c r="K14" s="1271"/>
      <c r="L14" s="1271"/>
      <c r="M14" s="1271"/>
      <c r="N14" s="1271"/>
      <c r="O14" s="1271"/>
      <c r="P14" s="1271"/>
      <c r="Q14" s="1279"/>
      <c r="R14" s="1279"/>
      <c r="S14" s="1271"/>
      <c r="T14" s="1273"/>
      <c r="U14" s="1273"/>
      <c r="V14" s="1273"/>
      <c r="W14" s="1273"/>
      <c r="X14" s="1273"/>
      <c r="Y14" s="1273"/>
      <c r="Z14" s="1273"/>
      <c r="AC14" s="1274"/>
      <c r="AE14" s="1273" cm="1" t="str">
        <f t="array" ref="AE14:AE14">first_year</f>
        <v>2016</v>
      </c>
      <c r="AF14" s="1273">
        <f>AE14+1</f>
        <v>2017</v>
      </c>
      <c r="AG14" s="1273">
        <f>AF14+1</f>
        <v>2018</v>
      </c>
      <c r="AH14" s="1273">
        <f>AG14+1</f>
        <v>2019</v>
      </c>
      <c r="AI14" s="1273">
        <f>AH14+1</f>
        <v>2020</v>
      </c>
      <c r="AJ14" s="1273">
        <f>AI14+1</f>
        <v>2021</v>
      </c>
      <c r="AK14" s="1273">
        <f>AJ14+1</f>
        <v>2022</v>
      </c>
      <c r="AL14" s="1273">
        <f>AK14+1</f>
        <v>2023</v>
      </c>
      <c r="AM14" s="1273">
        <f>AL14+1</f>
        <v>2024</v>
      </c>
      <c r="AN14" s="1273">
        <f>AM14+1</f>
        <v>2025</v>
      </c>
      <c r="AO14" s="1273" cm="1" t="str">
        <f t="array" ref="AO14:AO14">first_year</f>
        <v>2016</v>
      </c>
      <c r="AP14" s="1273">
        <f>AO14+1</f>
        <v>2017</v>
      </c>
      <c r="AQ14" s="1273">
        <f>AP14+1</f>
        <v>2018</v>
      </c>
      <c r="AR14" s="1273">
        <f>AQ14+1</f>
        <v>2019</v>
      </c>
      <c r="AS14" s="1273">
        <f>AR14+1</f>
        <v>2020</v>
      </c>
      <c r="AT14" s="1273">
        <f>AS14+1</f>
        <v>2021</v>
      </c>
      <c r="AU14" s="1273">
        <f>AT14+1</f>
        <v>2022</v>
      </c>
      <c r="AV14" s="1273">
        <f>AU14+1</f>
        <v>2023</v>
      </c>
      <c r="AW14" s="1273">
        <f>AV14+1</f>
        <v>2024</v>
      </c>
      <c r="AX14" s="1273">
        <f>AW14+1</f>
        <v>2025</v>
      </c>
      <c r="BD14" s="1275"/>
      <c r="BE14" s="1275"/>
      <c r="BF14" s="1275"/>
      <c r="BG14" s="1275"/>
      <c r="BH14" s="1275"/>
    </row>
    <row s="1270" customFormat="1" customHeight="1" ht="12" hidden="1">
      <c r="A15" s="1276" t="s">
        <v>1575</v>
      </c>
      <c r="B15" s="1258"/>
      <c r="C15" s="1291"/>
      <c r="D15" s="1291"/>
      <c r="E15" s="1258"/>
      <c r="F15" s="1271"/>
      <c r="G15" s="1271"/>
      <c r="H15" s="1271"/>
      <c r="I15" s="1271"/>
      <c r="J15" s="1271"/>
      <c r="K15" s="1271"/>
      <c r="L15" s="1271"/>
      <c r="M15" s="1271"/>
      <c r="N15" s="1271"/>
      <c r="O15" s="1271"/>
      <c r="P15" s="1271"/>
      <c r="Q15" s="1279"/>
      <c r="R15" s="1279"/>
      <c r="S15" s="1271"/>
      <c r="T15" s="1273"/>
      <c r="U15" s="1273"/>
      <c r="V15" s="1273"/>
      <c r="W15" s="1273"/>
      <c r="X15" s="1273"/>
      <c r="Y15" s="1273"/>
      <c r="Z15" s="1273"/>
      <c r="AC15" s="1274"/>
      <c r="AE15" s="1269" t="s">
        <v>1577</v>
      </c>
      <c r="AF15" s="1269" t="s">
        <v>1577</v>
      </c>
      <c r="AG15" s="1269" t="s">
        <v>1577</v>
      </c>
      <c r="AH15" s="1269" t="s">
        <v>1577</v>
      </c>
      <c r="AI15" s="1269" t="s">
        <v>1577</v>
      </c>
      <c r="AJ15" s="1269" t="s">
        <v>1577</v>
      </c>
      <c r="AK15" s="1269" t="s">
        <v>1577</v>
      </c>
      <c r="AL15" s="1269" t="s">
        <v>1577</v>
      </c>
      <c r="AM15" s="1269" t="s">
        <v>1577</v>
      </c>
      <c r="AN15" s="1269" t="s">
        <v>1577</v>
      </c>
      <c r="AO15" s="1269" t="s">
        <v>1576</v>
      </c>
      <c r="AP15" s="1269" t="s">
        <v>1576</v>
      </c>
      <c r="AQ15" s="1269" t="s">
        <v>1576</v>
      </c>
      <c r="AR15" s="1269" t="s">
        <v>1576</v>
      </c>
      <c r="AS15" s="1269" t="s">
        <v>1576</v>
      </c>
      <c r="AT15" s="1269" t="s">
        <v>1576</v>
      </c>
      <c r="AU15" s="1269" t="s">
        <v>1576</v>
      </c>
      <c r="AV15" s="1269" t="s">
        <v>1576</v>
      </c>
      <c r="AW15" s="1269" t="s">
        <v>1576</v>
      </c>
      <c r="AX15" s="1269" t="s">
        <v>1576</v>
      </c>
      <c r="BD15" s="1275"/>
      <c r="BE15" s="1275"/>
      <c r="BF15" s="1275"/>
      <c r="BG15" s="1275"/>
      <c r="BH15" s="1275"/>
    </row>
    <row s="1270" customFormat="1" customHeight="1" ht="12" hidden="1">
      <c r="A16" s="1308" t="s">
        <v>1583</v>
      </c>
      <c r="B16" s="1258"/>
      <c r="C16" s="1300"/>
      <c r="D16" s="1292"/>
      <c r="E16" s="1258"/>
      <c r="F16" s="1271"/>
      <c r="G16" s="1271"/>
      <c r="H16" s="1271"/>
      <c r="I16" s="1271"/>
      <c r="J16" s="1271"/>
      <c r="K16" s="1271"/>
      <c r="L16" s="1271"/>
      <c r="M16" s="1271"/>
      <c r="N16" s="1271"/>
      <c r="O16" s="1271"/>
      <c r="P16" s="1271"/>
      <c r="Q16" s="1279"/>
      <c r="R16" s="1279"/>
      <c r="S16" s="1271"/>
      <c r="T16" s="1273"/>
      <c r="U16" s="1273"/>
      <c r="V16" s="1273"/>
      <c r="W16" s="1273"/>
      <c r="X16" s="1273"/>
      <c r="Y16" s="1273"/>
      <c r="Z16" s="1273"/>
      <c r="AC16" s="1274"/>
      <c r="AE16" s="1273"/>
      <c r="AF16" s="1273"/>
      <c r="AG16" s="1273"/>
      <c r="AH16" s="1273"/>
      <c r="AI16" s="1273"/>
      <c r="AJ16" s="1273"/>
      <c r="AK16" s="1273"/>
      <c r="AL16" s="1273"/>
      <c r="AM16" s="1273"/>
      <c r="AN16" s="1273"/>
      <c r="AO16" s="1273"/>
      <c r="AP16" s="1273"/>
      <c r="AQ16" s="1273"/>
      <c r="AR16" s="1273"/>
      <c r="AS16" s="1273"/>
      <c r="AT16" s="1273"/>
      <c r="AU16" s="1273"/>
      <c r="AV16" s="1273"/>
      <c r="AW16" s="1273"/>
      <c r="AX16" s="1273"/>
      <c r="AY16" s="1269" t="s">
        <v>1584</v>
      </c>
      <c r="AZ16" s="1269" t="s">
        <v>1585</v>
      </c>
      <c r="BA16" s="1269" t="s">
        <v>1586</v>
      </c>
      <c r="BD16" s="1275"/>
      <c r="BE16" s="1275"/>
      <c r="BF16" s="1275"/>
      <c r="BG16" s="1275"/>
      <c r="BH16" s="1275"/>
    </row>
    <row s="228" customFormat="1" customHeight="1" ht="12" hidden="1">
      <c r="A17" s="1186"/>
      <c r="B17" s="788"/>
      <c r="C17" s="1300"/>
      <c r="D17" s="1292"/>
      <c r="E17" s="797"/>
      <c r="F17" s="230"/>
      <c r="G17" s="230"/>
      <c r="H17" s="230"/>
      <c r="I17" s="230"/>
      <c r="J17" s="230"/>
      <c r="K17" s="230"/>
      <c r="L17" s="1271"/>
      <c r="M17" s="1271"/>
      <c r="N17" s="1271"/>
      <c r="O17" s="1271"/>
      <c r="P17" s="1271"/>
      <c r="Q17" s="1279"/>
      <c r="R17" s="1279"/>
      <c r="S17" s="1271"/>
      <c r="T17" s="175"/>
      <c r="U17" s="175"/>
      <c r="V17" s="175"/>
      <c r="W17" s="175"/>
      <c r="X17" s="175"/>
      <c r="Y17" s="175"/>
      <c r="Z17" s="175"/>
      <c r="AC17" s="232"/>
      <c r="AE17" s="228"/>
      <c r="AF17" s="228"/>
      <c r="AG17" s="228"/>
      <c r="AH17" s="228"/>
      <c r="AI17" s="228"/>
      <c r="AJ17" s="228"/>
      <c r="AK17" s="228"/>
      <c r="AL17" s="228"/>
      <c r="AM17" s="228"/>
      <c r="AN17" s="228"/>
      <c r="AO17" s="228"/>
      <c r="AP17" s="228"/>
      <c r="AQ17" s="228"/>
      <c r="AR17" s="228"/>
      <c r="AS17" s="228"/>
      <c r="AT17" s="228"/>
      <c r="AU17" s="228"/>
      <c r="AV17" s="228"/>
      <c r="AW17" s="228"/>
      <c r="AX17" s="228"/>
      <c r="BD17" s="1235"/>
      <c r="BE17" s="1235"/>
      <c r="BF17" s="1235"/>
      <c r="BG17" s="1236"/>
      <c r="BH17" s="1236"/>
      <c r="BI17" s="1269"/>
    </row>
    <row s="228" customFormat="1" customHeight="1" ht="12" hidden="1">
      <c r="A18" s="1186"/>
      <c r="B18" s="788"/>
      <c r="C18" s="1300"/>
      <c r="D18" s="1292"/>
      <c r="E18" s="797"/>
      <c r="F18" s="230"/>
      <c r="G18" s="230"/>
      <c r="H18" s="230"/>
      <c r="I18" s="230"/>
      <c r="J18" s="230"/>
      <c r="K18" s="230"/>
      <c r="L18" s="1271"/>
      <c r="M18" s="1271"/>
      <c r="N18" s="1271"/>
      <c r="O18" s="1271"/>
      <c r="P18" s="1271"/>
      <c r="Q18" s="1279"/>
      <c r="R18" s="1279"/>
      <c r="S18" s="1271"/>
      <c r="T18" s="175"/>
      <c r="U18" s="175"/>
      <c r="V18" s="175"/>
      <c r="W18" s="175"/>
      <c r="X18" s="175"/>
      <c r="Y18" s="175"/>
      <c r="Z18" s="175"/>
      <c r="AC18" s="232"/>
      <c r="AE18" s="228"/>
      <c r="AF18" s="228"/>
      <c r="AG18" s="228"/>
      <c r="AH18" s="228"/>
      <c r="AI18" s="228"/>
      <c r="AJ18" s="228"/>
      <c r="AK18" s="228"/>
      <c r="AL18" s="228"/>
      <c r="AM18" s="228"/>
      <c r="AN18" s="228"/>
      <c r="AO18" s="228"/>
      <c r="AP18" s="228"/>
      <c r="AQ18" s="228"/>
      <c r="AR18" s="228"/>
      <c r="AS18" s="228"/>
      <c r="AT18" s="228"/>
      <c r="AU18" s="228"/>
      <c r="AV18" s="228"/>
      <c r="AW18" s="228"/>
      <c r="AX18" s="228"/>
      <c r="BD18" s="1235"/>
      <c r="BE18" s="1235"/>
      <c r="BF18" s="1235"/>
      <c r="BG18" s="1236"/>
      <c r="BH18" s="1236"/>
      <c r="BI18" s="1269"/>
    </row>
    <row s="228" customFormat="1" customHeight="1" ht="12" hidden="1">
      <c r="A19" s="1186"/>
      <c r="B19" s="788"/>
      <c r="C19" s="1300"/>
      <c r="D19" s="1292"/>
      <c r="E19" s="797"/>
      <c r="F19" s="230"/>
      <c r="G19" s="230"/>
      <c r="H19" s="230"/>
      <c r="I19" s="230"/>
      <c r="J19" s="230"/>
      <c r="K19" s="230"/>
      <c r="L19" s="1271"/>
      <c r="M19" s="1271"/>
      <c r="N19" s="1271"/>
      <c r="O19" s="1271"/>
      <c r="P19" s="1271"/>
      <c r="Q19" s="1279"/>
      <c r="R19" s="1279"/>
      <c r="S19" s="1271"/>
      <c r="T19" s="175"/>
      <c r="U19" s="175"/>
      <c r="V19" s="175"/>
      <c r="W19" s="175"/>
      <c r="X19" s="175"/>
      <c r="Y19" s="175"/>
      <c r="Z19" s="175"/>
      <c r="AC19" s="232"/>
      <c r="AE19" s="228"/>
      <c r="AF19" s="228"/>
      <c r="AG19" s="228"/>
      <c r="AH19" s="228"/>
      <c r="AI19" s="228"/>
      <c r="AJ19" s="228"/>
      <c r="AK19" s="228"/>
      <c r="AL19" s="228"/>
      <c r="AM19" s="228"/>
      <c r="AN19" s="228"/>
      <c r="AO19" s="228"/>
      <c r="AP19" s="228"/>
      <c r="AQ19" s="228"/>
      <c r="AR19" s="228"/>
      <c r="AS19" s="228"/>
      <c r="AT19" s="228"/>
      <c r="AU19" s="228"/>
      <c r="AV19" s="228"/>
      <c r="AW19" s="228"/>
      <c r="AX19" s="228"/>
      <c r="BD19" s="1235"/>
      <c r="BE19" s="1235"/>
      <c r="BF19" s="1235"/>
      <c r="BG19" s="1236"/>
      <c r="BH19" s="1236"/>
      <c r="BI19" s="1269"/>
    </row>
    <row s="228" customFormat="1" customHeight="1" ht="12" hidden="1">
      <c r="A20" s="1186"/>
      <c r="B20" s="788"/>
      <c r="C20" s="1300"/>
      <c r="D20" s="1292"/>
      <c r="E20" s="797"/>
      <c r="F20" s="230"/>
      <c r="G20" s="230"/>
      <c r="H20" s="230"/>
      <c r="I20" s="230"/>
      <c r="J20" s="230"/>
      <c r="K20" s="230"/>
      <c r="L20" s="1271"/>
      <c r="M20" s="1271"/>
      <c r="N20" s="1271"/>
      <c r="O20" s="1271"/>
      <c r="P20" s="1271"/>
      <c r="Q20" s="1279"/>
      <c r="R20" s="1279"/>
      <c r="S20" s="1271"/>
      <c r="T20" s="175"/>
      <c r="U20" s="175"/>
      <c r="V20" s="175"/>
      <c r="W20" s="175"/>
      <c r="X20" s="175"/>
      <c r="Y20" s="175"/>
      <c r="Z20" s="175"/>
      <c r="AC20" s="232"/>
      <c r="AE20" s="228"/>
      <c r="AF20" s="228"/>
      <c r="AG20" s="228"/>
      <c r="AH20" s="228"/>
      <c r="AI20" s="228"/>
      <c r="AJ20" s="228"/>
      <c r="AK20" s="228"/>
      <c r="AL20" s="228"/>
      <c r="AM20" s="228"/>
      <c r="AN20" s="228"/>
      <c r="AO20" s="228"/>
      <c r="AP20" s="228"/>
      <c r="AQ20" s="228"/>
      <c r="AR20" s="228"/>
      <c r="AS20" s="228"/>
      <c r="AT20" s="228"/>
      <c r="AU20" s="228"/>
      <c r="AV20" s="228"/>
      <c r="AW20" s="228"/>
      <c r="AX20" s="228"/>
      <c r="BD20" s="1235"/>
      <c r="BE20" s="1235"/>
      <c r="BF20" s="1235"/>
      <c r="BG20" s="1236"/>
      <c r="BH20" s="1236"/>
      <c r="BI20" s="1269"/>
    </row>
    <row customHeight="1" ht="14.625">
      <c r="E21" s="797">
        <v>15</v>
      </c>
      <c r="AA21" s="820"/>
      <c r="AB21" s="230"/>
      <c r="AC21" s="403" cm="1" t="str">
        <f t="array" ref="AC21:AC21">tpl_title</f>
        <v>Кемеровская область / 2026 / ООО "ВЕЛЕС" (ИНН:4212036655, КПП:421201001) / ДПР: 2016-2025</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s="1535" customFormat="1" customHeight="1" ht="19.5975">
      <c r="A22" s="988"/>
      <c r="B22" s="788"/>
      <c r="C22" s="1304"/>
      <c r="D22" s="1293"/>
      <c r="E22" s="797">
        <v>20.1</v>
      </c>
      <c r="L22" s="1279"/>
      <c r="M22" s="1279"/>
      <c r="N22" s="1279"/>
      <c r="O22" s="1279"/>
      <c r="P22" s="1279"/>
      <c r="Q22" s="1279"/>
      <c r="R22" s="1279"/>
      <c r="S22" s="1279"/>
      <c r="T22" s="179"/>
      <c r="U22" s="179"/>
      <c r="V22" s="179"/>
      <c r="W22" s="179"/>
      <c r="X22" s="179"/>
      <c r="Y22" s="179"/>
      <c r="Z22" s="179"/>
      <c r="AB22" s="392" t="s">
        <v>73</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D22" s="1192"/>
      <c r="BE22" s="1192"/>
      <c r="BF22" s="1192"/>
      <c r="BG22" s="1193"/>
      <c r="BH22" s="1193"/>
      <c r="BI22" s="1279"/>
    </row>
    <row s="1535" customFormat="1" customHeight="1" ht="9.945">
      <c r="A23" s="988"/>
      <c r="B23" s="788"/>
      <c r="C23" s="1304"/>
      <c r="D23" s="1293"/>
      <c r="E23" s="797">
        <v>10.2</v>
      </c>
      <c r="L23" s="1279"/>
      <c r="M23" s="1279"/>
      <c r="N23" s="1279"/>
      <c r="O23" s="1279"/>
      <c r="P23" s="1279"/>
      <c r="Q23" s="1279"/>
      <c r="R23" s="1279"/>
      <c r="S23" s="1279"/>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D23" s="1192"/>
      <c r="BE23" s="1192"/>
      <c r="BF23" s="1192"/>
      <c r="BG23" s="1193"/>
      <c r="BH23" s="1193"/>
      <c r="BI23" s="1279"/>
    </row>
    <row s="229" customFormat="1" customHeight="1" ht="24.180000000000003">
      <c r="A24" s="332"/>
      <c r="B24" s="792"/>
      <c r="C24" s="1300"/>
      <c r="D24" s="1292"/>
      <c r="E24" s="803">
        <v>24.8</v>
      </c>
      <c r="L24" s="1281"/>
      <c r="M24" s="1281"/>
      <c r="N24" s="1281"/>
      <c r="O24" s="1281"/>
      <c r="P24" s="1281"/>
      <c r="Q24" s="1296"/>
      <c r="R24" s="1296"/>
      <c r="S24" s="1281"/>
      <c r="T24" s="171"/>
      <c r="U24" s="171"/>
      <c r="V24" s="171"/>
      <c r="W24" s="171"/>
      <c r="X24" s="171"/>
      <c r="Y24" s="171"/>
      <c r="Z24" s="171"/>
      <c r="AB24" s="1547" t="s">
        <v>386</v>
      </c>
      <c r="AC24" s="1547" t="s">
        <v>440</v>
      </c>
      <c r="AD24" s="1547" t="s">
        <v>441</v>
      </c>
      <c r="AE24" s="1360" t="str">
        <f>first_year&amp;" год"</f>
        <v>2016 год</v>
      </c>
      <c r="AF24" s="1360" t="str">
        <f>first_year+1&amp;" год"</f>
        <v>2017 год</v>
      </c>
      <c r="AG24" s="1360" t="str">
        <f>first_year+2&amp;" год"</f>
        <v>2018 год</v>
      </c>
      <c r="AH24" s="1360" t="str">
        <f>first_year+3&amp;" год"</f>
        <v>2019 год</v>
      </c>
      <c r="AI24" s="1360" t="str">
        <f>first_year+4&amp;" год"</f>
        <v>2020 год</v>
      </c>
      <c r="AJ24" s="1356" t="str">
        <f>first_year+5&amp;" год"</f>
        <v>2021 год</v>
      </c>
      <c r="AK24" s="1356" t="str">
        <f>first_year+6&amp;" год"</f>
        <v>2022 год</v>
      </c>
      <c r="AL24" s="1356" t="str">
        <f>first_year+7&amp;" год"</f>
        <v>2023 год</v>
      </c>
      <c r="AM24" s="1356" t="str">
        <f>first_year+8&amp;" год"</f>
        <v>2024 год</v>
      </c>
      <c r="AN24" s="1356" t="str">
        <f>first_year+9&amp;" год"</f>
        <v>2025 год</v>
      </c>
      <c r="AO24" s="170" t="str">
        <f>first_year&amp;" год"</f>
        <v>2016 год</v>
      </c>
      <c r="AP24" s="170" t="str">
        <f>first_year+1&amp;" год"</f>
        <v>2017 год</v>
      </c>
      <c r="AQ24" s="170" t="str">
        <f>first_year+2&amp;" год"</f>
        <v>2018 год</v>
      </c>
      <c r="AR24" s="170" t="str">
        <f>first_year+3&amp;" год"</f>
        <v>2019 год</v>
      </c>
      <c r="AS24" s="170" t="str">
        <f>first_year+4&amp;" год"</f>
        <v>2020 год</v>
      </c>
      <c r="AT24" s="170" t="str">
        <f>first_year+5&amp;" год"</f>
        <v>2021 год</v>
      </c>
      <c r="AU24" s="170" t="str">
        <f>first_year+6&amp;" год"</f>
        <v>2022 год</v>
      </c>
      <c r="AV24" s="170" t="str">
        <f>first_year+7&amp;" год"</f>
        <v>2023 год</v>
      </c>
      <c r="AW24" s="170" t="str">
        <f>first_year+8&amp;" год"</f>
        <v>2024 год</v>
      </c>
      <c r="AX24" s="174" t="str">
        <f>first_year+9&amp;" год"</f>
        <v>2025 год</v>
      </c>
      <c r="AY24" s="1546" t="s">
        <v>1290</v>
      </c>
      <c r="AZ24" s="1546" t="s">
        <v>595</v>
      </c>
      <c r="BA24" s="1546" t="s">
        <v>1291</v>
      </c>
      <c r="BD24" s="1235"/>
      <c r="BE24" s="1239"/>
      <c r="BF24" s="1239"/>
      <c r="BG24" s="1240"/>
      <c r="BH24" s="1240"/>
      <c r="BI24" s="1281"/>
    </row>
    <row s="229" customFormat="1" customHeight="1" ht="44.655">
      <c r="A25" s="332"/>
      <c r="B25" s="792"/>
      <c r="C25" s="1300"/>
      <c r="D25" s="1292"/>
      <c r="E25" s="803">
        <v>45.8</v>
      </c>
      <c r="L25" s="1281"/>
      <c r="M25" s="1281"/>
      <c r="N25" s="1281"/>
      <c r="O25" s="1281"/>
      <c r="P25" s="1281"/>
      <c r="Q25" s="1296"/>
      <c r="R25" s="1296"/>
      <c r="S25" s="1281"/>
      <c r="T25" s="171"/>
      <c r="U25" s="171"/>
      <c r="V25" s="171"/>
      <c r="W25" s="171"/>
      <c r="X25" s="171"/>
      <c r="Y25" s="171"/>
      <c r="Z25" s="171"/>
      <c r="AB25" s="1547"/>
      <c r="AC25" s="1547"/>
      <c r="AD25" s="1547"/>
      <c r="AE25" s="1357" t="s">
        <v>403</v>
      </c>
      <c r="AF25" s="1357" t="s">
        <v>403</v>
      </c>
      <c r="AG25" s="1357" t="s">
        <v>403</v>
      </c>
      <c r="AH25" s="1357" t="s">
        <v>403</v>
      </c>
      <c r="AI25" s="1357" t="s">
        <v>403</v>
      </c>
      <c r="AJ25" s="1357" t="s">
        <v>403</v>
      </c>
      <c r="AK25" s="1357" t="s">
        <v>403</v>
      </c>
      <c r="AL25" s="1357" t="s">
        <v>403</v>
      </c>
      <c r="AM25" s="1357" t="s">
        <v>403</v>
      </c>
      <c r="AN25" s="1357" t="s">
        <v>403</v>
      </c>
      <c r="AO25" s="413" t="s">
        <v>402</v>
      </c>
      <c r="AP25" s="413" t="s">
        <v>402</v>
      </c>
      <c r="AQ25" s="413" t="s">
        <v>402</v>
      </c>
      <c r="AR25" s="413" t="s">
        <v>402</v>
      </c>
      <c r="AS25" s="413" t="s">
        <v>402</v>
      </c>
      <c r="AT25" s="413" t="s">
        <v>402</v>
      </c>
      <c r="AU25" s="413" t="s">
        <v>402</v>
      </c>
      <c r="AV25" s="413" t="s">
        <v>402</v>
      </c>
      <c r="AW25" s="413" t="s">
        <v>402</v>
      </c>
      <c r="AX25" s="169" t="s">
        <v>402</v>
      </c>
      <c r="AY25" s="1546"/>
      <c r="AZ25" s="1546"/>
      <c r="BA25" s="1546"/>
      <c r="BD25" s="1235"/>
      <c r="BE25" s="1239"/>
      <c r="BF25" s="1239"/>
      <c r="BG25" s="1240"/>
      <c r="BH25" s="1240"/>
      <c r="BI25" s="1281"/>
    </row>
    <row s="229" customFormat="1" customHeight="1" ht="14.25" hidden="1">
      <c r="A26" s="332"/>
      <c r="B26" s="792"/>
      <c r="C26" s="1300"/>
      <c r="D26" s="1292"/>
      <c r="E26" s="803">
        <v>0</v>
      </c>
      <c r="L26" s="1281"/>
      <c r="M26" s="1281"/>
      <c r="N26" s="1281"/>
      <c r="O26" s="1281"/>
      <c r="P26" s="1281"/>
      <c r="Q26" s="1296"/>
      <c r="R26" s="1296"/>
      <c r="S26" s="1281"/>
      <c r="T26" s="171"/>
      <c r="U26" s="171"/>
      <c r="V26" s="171"/>
      <c r="W26" s="171"/>
      <c r="X26" s="171"/>
      <c r="Y26" s="171"/>
      <c r="Z26" s="171"/>
      <c r="AB26" s="712"/>
      <c r="AC26" s="712"/>
      <c r="AD26" s="712"/>
      <c r="AE26" s="171"/>
      <c r="AF26" s="171"/>
      <c r="AG26" s="171"/>
      <c r="AH26" s="171"/>
      <c r="AI26" s="171"/>
      <c r="AJ26" s="171"/>
      <c r="AK26" s="171"/>
      <c r="AL26" s="171"/>
      <c r="AM26" s="171"/>
      <c r="AN26" s="171"/>
      <c r="AO26" s="171"/>
      <c r="AP26" s="171"/>
      <c r="AQ26" s="171"/>
      <c r="AR26" s="171"/>
      <c r="AS26" s="171"/>
      <c r="AT26" s="171"/>
      <c r="AU26" s="171"/>
      <c r="AV26" s="171"/>
      <c r="AW26" s="171"/>
      <c r="AX26" s="171"/>
      <c r="AY26" s="232"/>
      <c r="AZ26" s="232"/>
      <c r="BA26" s="232"/>
      <c r="BD26" s="1235"/>
      <c r="BE26" s="1239"/>
      <c r="BF26" s="1239"/>
      <c r="BG26" s="1240"/>
      <c r="BH26" s="1240"/>
      <c r="BI26" s="1281"/>
    </row>
    <row s="220" customFormat="1" customHeight="1" ht="16.672500000000003" hidden="1">
      <c r="C27" s="1305"/>
      <c r="D27" s="1319"/>
      <c r="E27" s="797">
        <v>17.1</v>
      </c>
      <c r="F27" s="739" cm="1" t="str">
        <f t="array" ref="F27:F27">X27</f>
        <v>0</v>
      </c>
      <c r="G27" s="739" cm="1" t="str">
        <f t="array" ref="G27:G27">INDEX('Общие сведения'!$AK$169:$AK$202,MATCH($F27,'Общие сведения'!$Z$169:$Z$202,0))</f>
        <v>0</v>
      </c>
      <c r="I27" s="213" cm="1" t="str">
        <f t="array" ref="I27:I27">INDEX('Общие сведения'!$AE$169:$AE$202,MATCH($F27,'Общие сведения'!$Z$169:$Z$202,0))</f>
        <v>Теплоснабжение</v>
      </c>
      <c r="K27" s="213" cm="1" t="str">
        <f t="array" ref="K27:K27">INDEX('Общие сведения'!$AL$169:$AL$202,MATCH($F27,'Общие сведения'!$Z$169:$Z$202,0))</f>
        <v>0</v>
      </c>
      <c r="L27" s="1299"/>
      <c r="M27" s="1299"/>
      <c r="N27" s="1299"/>
      <c r="O27" s="1299"/>
      <c r="P27" s="1299"/>
      <c r="Q27" s="1295"/>
      <c r="R27" s="1295"/>
      <c r="S27" s="1299"/>
      <c r="T27" s="808">
        <f>AND(F27&gt;0,OR(ISBLANK(Y27),Y27&gt;0))</f>
        <v>0</v>
      </c>
      <c r="V27" s="175" t="s">
        <v>310</v>
      </c>
      <c r="X27" s="1557">
        <v>0</v>
      </c>
      <c r="AB27" s="330" cm="1" t="str">
        <f t="array" ref="AB27:AB27">INDEX('Общие сведения'!$AG$169:$AG$202,MATCH($F27,'Общие сведения'!$Z$169:$Z$202,0))</f>
        <v>Тариф 0 (Теплоснабжение) - </v>
      </c>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D27" s="1184"/>
      <c r="BE27" s="1184"/>
      <c r="BF27" s="1184"/>
      <c r="BG27" s="1187"/>
      <c r="BH27" s="1187"/>
      <c r="BI27" s="1283"/>
    </row>
    <row customHeight="1" ht="16.575" hidden="1">
      <c r="C28" s="1301" t="s">
        <v>1695</v>
      </c>
      <c r="D28" s="1320" t="s">
        <v>1696</v>
      </c>
      <c r="E28" s="797">
        <v>17</v>
      </c>
      <c r="F28" s="739" cm="1" t="str">
        <f t="array" ref="F28:F28">OFFSET(G28,-1,-1)</f>
        <v>0</v>
      </c>
      <c r="L28" s="1287"/>
      <c r="M28" s="1287" cm="1" t="str">
        <f t="array" ref="M28:M28">INDEX('Общие сведения'!$N$169:$N$202,MATCH($F27,'Общие сведения'!$Z$169:$Z$202,0)+1)</f>
        <v>0</v>
      </c>
      <c r="N28" s="1287" t="s">
        <v>1999</v>
      </c>
      <c r="O28" s="1287"/>
      <c r="P28" s="1287"/>
      <c r="Q28" s="1289"/>
      <c r="R28" s="1289"/>
      <c r="S28" s="1287"/>
      <c r="T28" s="808">
        <f>AND(F28&gt;0,OR(ISBLANK(Y28),Y28&gt;0))</f>
        <v>0</v>
      </c>
      <c r="AB28" s="173">
        <v>1</v>
      </c>
      <c r="AC28" s="627" t="s">
        <v>2000</v>
      </c>
      <c r="AD28" s="558" t="s">
        <v>1402</v>
      </c>
      <c r="AE28" s="1868">
        <f>AE29+AE35+AE45</f>
        <v>0</v>
      </c>
      <c r="AF28" s="1868">
        <f>AF29+AF35+AF45</f>
        <v>0</v>
      </c>
      <c r="AG28" s="1868">
        <f>AG29+AG35+AG45</f>
        <v>0</v>
      </c>
      <c r="AH28" s="1868">
        <f>AH29+AH35+AH45</f>
        <v>0</v>
      </c>
      <c r="AI28" s="1868">
        <f>AI29+AI35+AI45</f>
        <v>0</v>
      </c>
      <c r="AJ28" s="1868">
        <f>AJ29+AJ35+AJ45</f>
        <v>0</v>
      </c>
      <c r="AK28" s="1868">
        <f>AK29+AK35+AK45</f>
        <v>0</v>
      </c>
      <c r="AL28" s="1868">
        <f>AL29+AL35+AL45</f>
        <v>0</v>
      </c>
      <c r="AM28" s="1868">
        <f>AM29+AM35+AM45</f>
        <v>0</v>
      </c>
      <c r="AN28" s="1868">
        <f>AN29+AN35+AN45</f>
        <v>0</v>
      </c>
      <c r="AO28" s="1868">
        <f>AO29+AO35+AO45</f>
        <v>0</v>
      </c>
      <c r="AP28" s="1868">
        <f>AP29+AP35+AP45</f>
        <v>0</v>
      </c>
      <c r="AQ28" s="1868">
        <f>AQ29+AQ35+AQ45</f>
        <v>0</v>
      </c>
      <c r="AR28" s="1868">
        <f>AR29+AR35+AR45</f>
        <v>0</v>
      </c>
      <c r="AS28" s="1868">
        <f>AS29+AS35+AS45</f>
        <v>0</v>
      </c>
      <c r="AT28" s="1868">
        <f>AT29+AT35+AT45</f>
        <v>0</v>
      </c>
      <c r="AU28" s="1868">
        <f>AU29+AU35+AU45</f>
        <v>0</v>
      </c>
      <c r="AV28" s="1868">
        <f>AV29+AV35+AV45</f>
        <v>0</v>
      </c>
      <c r="AW28" s="1868">
        <f>AW29+AW35+AW45</f>
        <v>0</v>
      </c>
      <c r="AX28" s="1868">
        <f>AX29+AX35+AX45</f>
        <v>0</v>
      </c>
      <c r="AY28" s="73"/>
      <c r="AZ28" s="73"/>
      <c r="BA28" s="73"/>
      <c r="BD28" s="1235" t="s">
        <v>2001</v>
      </c>
      <c r="BI28" s="1271"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1" t="s">
        <v>1695</v>
      </c>
      <c r="D29" s="1320" t="s">
        <v>1696</v>
      </c>
      <c r="E29" s="797">
        <v>17</v>
      </c>
      <c r="F29" s="739" cm="1" t="str">
        <f t="array" ref="F29:F29">OFFSET(G29,-1,-1)</f>
        <v>0</v>
      </c>
      <c r="L29" s="1287"/>
      <c r="M29" s="1287" cm="1" t="str">
        <f t="array" ref="M29:M29">OFFSET(L29,-1,1)</f>
        <v>0</v>
      </c>
      <c r="N29" s="1287" t="s">
        <v>1999</v>
      </c>
      <c r="O29" s="1287" t="s">
        <v>1772</v>
      </c>
      <c r="P29" s="1287"/>
      <c r="Q29" s="1289"/>
      <c r="R29" s="1289"/>
      <c r="S29" s="1287"/>
      <c r="T29" s="808">
        <f>AND(F29&gt;0,OR(ISBLANK(Y29),Y29&gt;0))</f>
        <v>0</v>
      </c>
      <c r="AB29" s="173" t="s">
        <v>449</v>
      </c>
      <c r="AC29" s="1034" t="s">
        <v>2002</v>
      </c>
      <c r="AD29" s="558" t="s">
        <v>1402</v>
      </c>
      <c r="AE29" s="1868">
        <f>AE30+AE34</f>
        <v>0</v>
      </c>
      <c r="AF29" s="1868">
        <f>AF30+AF34</f>
        <v>0</v>
      </c>
      <c r="AG29" s="1868">
        <f>AG30+AG34</f>
        <v>0</v>
      </c>
      <c r="AH29" s="1868">
        <f>AH30+AH34</f>
        <v>0</v>
      </c>
      <c r="AI29" s="1868">
        <f>AI30+AI34</f>
        <v>0</v>
      </c>
      <c r="AJ29" s="1868">
        <f>AJ30+AJ34</f>
        <v>0</v>
      </c>
      <c r="AK29" s="1868">
        <f>AK30+AK34</f>
        <v>0</v>
      </c>
      <c r="AL29" s="1868">
        <f>AL30+AL34</f>
        <v>0</v>
      </c>
      <c r="AM29" s="1868">
        <f>AM30+AM34</f>
        <v>0</v>
      </c>
      <c r="AN29" s="1868">
        <f>AN30+AN34</f>
        <v>0</v>
      </c>
      <c r="AO29" s="1868">
        <f>AO30+AO34</f>
        <v>0</v>
      </c>
      <c r="AP29" s="1868">
        <f>AP30+AP34</f>
        <v>0</v>
      </c>
      <c r="AQ29" s="1868">
        <f>AQ30+AQ34</f>
        <v>0</v>
      </c>
      <c r="AR29" s="1868">
        <f>AR30+AR34</f>
        <v>0</v>
      </c>
      <c r="AS29" s="1868">
        <f>AS30+AS34</f>
        <v>0</v>
      </c>
      <c r="AT29" s="1868">
        <f>AT30+AT34</f>
        <v>0</v>
      </c>
      <c r="AU29" s="1868">
        <f>AU30+AU34</f>
        <v>0</v>
      </c>
      <c r="AV29" s="1868">
        <f>AV30+AV34</f>
        <v>0</v>
      </c>
      <c r="AW29" s="1868">
        <f>AW30+AW34</f>
        <v>0</v>
      </c>
      <c r="AX29" s="1868">
        <f>AX30+AX34</f>
        <v>0</v>
      </c>
      <c r="AY29" s="73"/>
      <c r="AZ29" s="73"/>
      <c r="BA29" s="73"/>
      <c r="BD29" s="1235" t="s">
        <v>2003</v>
      </c>
      <c r="BI29" s="1271"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1" t="s">
        <v>1695</v>
      </c>
      <c r="D30" s="1320" t="s">
        <v>1696</v>
      </c>
      <c r="E30" s="797">
        <v>17</v>
      </c>
      <c r="F30" s="739" cm="1" t="str">
        <f t="array" ref="F30:F30">OFFSET(G30,-1,-1)</f>
        <v>0</v>
      </c>
      <c r="L30" s="1287"/>
      <c r="M30" s="1287" cm="1" t="str">
        <f t="array" ref="M30:M30">OFFSET(L30,-1,1)</f>
        <v>0</v>
      </c>
      <c r="N30" s="1287" t="s">
        <v>1999</v>
      </c>
      <c r="O30" s="1287" t="s">
        <v>1772</v>
      </c>
      <c r="P30" s="1287" t="s">
        <v>2004</v>
      </c>
      <c r="Q30" s="1289"/>
      <c r="R30" s="1289"/>
      <c r="S30" s="1287"/>
      <c r="T30" s="808">
        <f>AND(F30&gt;0,OR(ISBLANK(Y30),Y30&gt;0))</f>
        <v>0</v>
      </c>
      <c r="AB30" s="580" t="s">
        <v>1156</v>
      </c>
      <c r="AC30" s="562" t="s">
        <v>2005</v>
      </c>
      <c r="AD30" s="1016" t="s">
        <v>1402</v>
      </c>
      <c r="AE30" s="1868"/>
      <c r="AF30" s="1868"/>
      <c r="AG30" s="1868"/>
      <c r="AH30" s="1868"/>
      <c r="AI30" s="1868"/>
      <c r="AJ30" s="1868"/>
      <c r="AK30" s="1868"/>
      <c r="AL30" s="1868"/>
      <c r="AM30" s="1868"/>
      <c r="AN30" s="1868"/>
      <c r="AO30" s="1868"/>
      <c r="AP30" s="1868"/>
      <c r="AQ30" s="1868"/>
      <c r="AR30" s="1868"/>
      <c r="AS30" s="1868"/>
      <c r="AT30" s="1868"/>
      <c r="AU30" s="1868"/>
      <c r="AV30" s="1868"/>
      <c r="AW30" s="1868"/>
      <c r="AX30" s="1868"/>
      <c r="AY30" s="73"/>
      <c r="AZ30" s="73"/>
      <c r="BA30" s="73"/>
      <c r="BD30" s="1235" t="s">
        <v>2006</v>
      </c>
      <c r="BI30" s="1271"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1" t="s">
        <v>1695</v>
      </c>
      <c r="D31" s="1320" t="s">
        <v>1696</v>
      </c>
      <c r="E31" s="797">
        <v>17</v>
      </c>
      <c r="F31" s="739" cm="1" t="str">
        <f t="array" ref="F31:F31">OFFSET(G31,-1,-1)</f>
        <v>0</v>
      </c>
      <c r="L31" s="1287"/>
      <c r="M31" s="1287" cm="1" t="str">
        <f t="array" ref="M31:M31">OFFSET(L31,-1,1)</f>
        <v>0</v>
      </c>
      <c r="N31" s="1287" t="s">
        <v>1999</v>
      </c>
      <c r="O31" s="1287" t="s">
        <v>1772</v>
      </c>
      <c r="P31" s="1287" t="s">
        <v>2004</v>
      </c>
      <c r="Q31" s="1289"/>
      <c r="R31" s="1289" t="s">
        <v>2007</v>
      </c>
      <c r="S31" s="1287"/>
      <c r="T31" s="808">
        <f>AND(F31&gt;0,OR(ISBLANK(Y31),Y31&gt;0))</f>
        <v>0</v>
      </c>
      <c r="AB31" s="580" t="s">
        <v>2008</v>
      </c>
      <c r="AC31" s="590" t="s">
        <v>2009</v>
      </c>
      <c r="AD31" s="1016" t="s">
        <v>1402</v>
      </c>
      <c r="AE31" s="1868"/>
      <c r="AF31" s="1868"/>
      <c r="AG31" s="1868"/>
      <c r="AH31" s="1868"/>
      <c r="AI31" s="1868"/>
      <c r="AJ31" s="1868"/>
      <c r="AK31" s="1868"/>
      <c r="AL31" s="1868"/>
      <c r="AM31" s="1868"/>
      <c r="AN31" s="1868"/>
      <c r="AO31" s="1868"/>
      <c r="AP31" s="1868"/>
      <c r="AQ31" s="1868"/>
      <c r="AR31" s="1868"/>
      <c r="AS31" s="1868"/>
      <c r="AT31" s="1868"/>
      <c r="AU31" s="1868"/>
      <c r="AV31" s="1868"/>
      <c r="AW31" s="1868"/>
      <c r="AX31" s="1868"/>
      <c r="AY31" s="73"/>
      <c r="AZ31" s="73"/>
      <c r="BA31" s="73"/>
      <c r="BD31" s="1235" t="s">
        <v>2010</v>
      </c>
      <c r="BI31" s="1271"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1" t="s">
        <v>1695</v>
      </c>
      <c r="D32" s="1320" t="s">
        <v>1696</v>
      </c>
      <c r="E32" s="797">
        <v>35</v>
      </c>
      <c r="F32" s="739" cm="1" t="str">
        <f t="array" ref="F32:F32">OFFSET(G32,-1,-1)</f>
        <v>0</v>
      </c>
      <c r="L32" s="1287"/>
      <c r="M32" s="1287" cm="1" t="str">
        <f t="array" ref="M32:M32">OFFSET(L32,-1,1)</f>
        <v>0</v>
      </c>
      <c r="N32" s="1287" t="s">
        <v>1999</v>
      </c>
      <c r="O32" s="1287" t="s">
        <v>1772</v>
      </c>
      <c r="P32" s="1287" t="s">
        <v>2004</v>
      </c>
      <c r="Q32" s="1289" t="s">
        <v>2011</v>
      </c>
      <c r="R32" s="1289"/>
      <c r="S32" s="1287"/>
      <c r="T32" s="808">
        <f>AND(F32&gt;0,OR(ISBLANK(Y32),Y32&gt;0))</f>
        <v>0</v>
      </c>
      <c r="AB32" s="580" t="s">
        <v>2012</v>
      </c>
      <c r="AC32" s="581" t="s">
        <v>2013</v>
      </c>
      <c r="AD32" s="1016" t="s">
        <v>1402</v>
      </c>
      <c r="AE32" s="1868"/>
      <c r="AF32" s="1868"/>
      <c r="AG32" s="1868"/>
      <c r="AH32" s="1868"/>
      <c r="AI32" s="1868"/>
      <c r="AJ32" s="1868"/>
      <c r="AK32" s="1868"/>
      <c r="AL32" s="1868"/>
      <c r="AM32" s="1868"/>
      <c r="AN32" s="1868"/>
      <c r="AO32" s="1868"/>
      <c r="AP32" s="1868"/>
      <c r="AQ32" s="1868"/>
      <c r="AR32" s="1868"/>
      <c r="AS32" s="1868"/>
      <c r="AT32" s="1868"/>
      <c r="AU32" s="1868"/>
      <c r="AV32" s="1868"/>
      <c r="AW32" s="1868"/>
      <c r="AX32" s="1868"/>
      <c r="AY32" s="73"/>
      <c r="AZ32" s="73"/>
      <c r="BA32" s="73"/>
      <c r="BD32" s="1235" t="s">
        <v>2014</v>
      </c>
      <c r="BI32" s="1271"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1" t="s">
        <v>1695</v>
      </c>
      <c r="D33" s="1320" t="s">
        <v>1696</v>
      </c>
      <c r="E33" s="797">
        <v>17</v>
      </c>
      <c r="F33" s="739" cm="1" t="str">
        <f t="array" ref="F33:F33">OFFSET(G33,-1,-1)</f>
        <v>0</v>
      </c>
      <c r="L33" s="1287"/>
      <c r="M33" s="1287" cm="1" t="str">
        <f t="array" ref="M33:M33">OFFSET(L33,-1,1)</f>
        <v>0</v>
      </c>
      <c r="N33" s="1287" t="s">
        <v>1999</v>
      </c>
      <c r="O33" s="1287" t="s">
        <v>1772</v>
      </c>
      <c r="P33" s="1287" t="s">
        <v>2004</v>
      </c>
      <c r="Q33" s="1289" t="s">
        <v>2015</v>
      </c>
      <c r="R33" s="1289"/>
      <c r="S33" s="1287"/>
      <c r="T33" s="808">
        <f>AND(F33&gt;0,OR(ISBLANK(Y33),Y33&gt;0))</f>
        <v>0</v>
      </c>
      <c r="AB33" s="580" t="s">
        <v>2016</v>
      </c>
      <c r="AC33" s="581" t="s">
        <v>2017</v>
      </c>
      <c r="AD33" s="1016" t="s">
        <v>1402</v>
      </c>
      <c r="AE33" s="1868"/>
      <c r="AF33" s="1868"/>
      <c r="AG33" s="1868"/>
      <c r="AH33" s="1868"/>
      <c r="AI33" s="1868"/>
      <c r="AJ33" s="1868"/>
      <c r="AK33" s="1868"/>
      <c r="AL33" s="1868"/>
      <c r="AM33" s="1868"/>
      <c r="AN33" s="1868"/>
      <c r="AO33" s="1868"/>
      <c r="AP33" s="1868"/>
      <c r="AQ33" s="1868"/>
      <c r="AR33" s="1868"/>
      <c r="AS33" s="1868"/>
      <c r="AT33" s="1868"/>
      <c r="AU33" s="1868"/>
      <c r="AV33" s="1868"/>
      <c r="AW33" s="1868"/>
      <c r="AX33" s="1868"/>
      <c r="AY33" s="73"/>
      <c r="AZ33" s="73"/>
      <c r="BA33" s="73"/>
      <c r="BD33" s="1235" t="s">
        <v>2018</v>
      </c>
      <c r="BI33" s="1271"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1" t="s">
        <v>1695</v>
      </c>
      <c r="D34" s="1320" t="s">
        <v>1696</v>
      </c>
      <c r="E34" s="797">
        <v>17</v>
      </c>
      <c r="F34" s="739" cm="1" t="str">
        <f t="array" ref="F34:F34">OFFSET(G34,-1,-1)</f>
        <v>0</v>
      </c>
      <c r="L34" s="1287"/>
      <c r="M34" s="1287" cm="1" t="str">
        <f t="array" ref="M34:M34">OFFSET(L34,-1,1)</f>
        <v>0</v>
      </c>
      <c r="N34" s="1287" t="s">
        <v>1999</v>
      </c>
      <c r="O34" s="1287" t="s">
        <v>1772</v>
      </c>
      <c r="P34" s="1287" t="s">
        <v>2019</v>
      </c>
      <c r="Q34" s="1289"/>
      <c r="R34" s="1289"/>
      <c r="S34" s="1287"/>
      <c r="T34" s="808">
        <f>AND(F34&gt;0,OR(ISBLANK(Y34),Y34&gt;0))</f>
        <v>0</v>
      </c>
      <c r="AB34" s="1120" t="s">
        <v>1160</v>
      </c>
      <c r="AC34" s="562" t="s">
        <v>2020</v>
      </c>
      <c r="AD34" s="1016" t="s">
        <v>1402</v>
      </c>
      <c r="AE34" s="1868"/>
      <c r="AF34" s="1868"/>
      <c r="AG34" s="1868"/>
      <c r="AH34" s="1868"/>
      <c r="AI34" s="1868"/>
      <c r="AJ34" s="1868"/>
      <c r="AK34" s="1868"/>
      <c r="AL34" s="1868"/>
      <c r="AM34" s="1868"/>
      <c r="AN34" s="1868"/>
      <c r="AO34" s="1868"/>
      <c r="AP34" s="1868"/>
      <c r="AQ34" s="1868"/>
      <c r="AR34" s="1868"/>
      <c r="AS34" s="1868"/>
      <c r="AT34" s="1868"/>
      <c r="AU34" s="1868"/>
      <c r="AV34" s="1868"/>
      <c r="AW34" s="1868"/>
      <c r="AX34" s="1868"/>
      <c r="AY34" s="73"/>
      <c r="AZ34" s="73"/>
      <c r="BA34" s="73"/>
      <c r="BD34" s="1235" t="s">
        <v>2021</v>
      </c>
      <c r="BI34" s="1271"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1" t="s">
        <v>1695</v>
      </c>
      <c r="D35" s="1320" t="s">
        <v>1696</v>
      </c>
      <c r="E35" s="797">
        <v>35</v>
      </c>
      <c r="F35" s="739" cm="1" t="str">
        <f t="array" ref="F35:F35">OFFSET(G35,-1,-1)</f>
        <v>0</v>
      </c>
      <c r="L35" s="1287"/>
      <c r="M35" s="1287" cm="1" t="str">
        <f t="array" ref="M35:M35">OFFSET(L35,-1,1)</f>
        <v>0</v>
      </c>
      <c r="N35" s="1287" t="s">
        <v>1999</v>
      </c>
      <c r="O35" s="1287" t="s">
        <v>1772</v>
      </c>
      <c r="P35" s="1287" t="s">
        <v>2022</v>
      </c>
      <c r="Q35" s="1289"/>
      <c r="R35" s="1289"/>
      <c r="S35" s="1287"/>
      <c r="T35" s="808">
        <f>AND(F35&gt;0,OR(ISBLANK(Y35),Y35&gt;0))</f>
        <v>0</v>
      </c>
      <c r="AB35" s="580" t="s">
        <v>935</v>
      </c>
      <c r="AC35" s="164" t="s">
        <v>2023</v>
      </c>
      <c r="AD35" s="1016" t="s">
        <v>1402</v>
      </c>
      <c r="AE35" s="1868">
        <f>AE36+AE39+AE42</f>
        <v>0</v>
      </c>
      <c r="AF35" s="1868">
        <f>AF36+AF39+AF42</f>
        <v>0</v>
      </c>
      <c r="AG35" s="1868">
        <f>AG36+AG39+AG42</f>
        <v>0</v>
      </c>
      <c r="AH35" s="1868">
        <f>AH36+AH39+AH42</f>
        <v>0</v>
      </c>
      <c r="AI35" s="1868">
        <f>AI36+AI39+AI42</f>
        <v>0</v>
      </c>
      <c r="AJ35" s="1868">
        <f>AJ36+AJ39+AJ42</f>
        <v>0</v>
      </c>
      <c r="AK35" s="1868">
        <f>AK36+AK39+AK42</f>
        <v>0</v>
      </c>
      <c r="AL35" s="1868">
        <f>AL36+AL39+AL42</f>
        <v>0</v>
      </c>
      <c r="AM35" s="1868">
        <f>AM36+AM39+AM42</f>
        <v>0</v>
      </c>
      <c r="AN35" s="1868">
        <f>AN36+AN39+AN42</f>
        <v>0</v>
      </c>
      <c r="AO35" s="1868">
        <f>AO36+AO39+AO42</f>
        <v>0</v>
      </c>
      <c r="AP35" s="1868">
        <f>AP36+AP39+AP42</f>
        <v>0</v>
      </c>
      <c r="AQ35" s="1868">
        <f>AQ36+AQ39+AQ42</f>
        <v>0</v>
      </c>
      <c r="AR35" s="1868">
        <f>AR36+AR39+AR42</f>
        <v>0</v>
      </c>
      <c r="AS35" s="1868">
        <f>AS36+AS39+AS42</f>
        <v>0</v>
      </c>
      <c r="AT35" s="1868">
        <f>AT36+AT39+AT42</f>
        <v>0</v>
      </c>
      <c r="AU35" s="1868">
        <f>AU36+AU39+AU42</f>
        <v>0</v>
      </c>
      <c r="AV35" s="1868">
        <f>AV36+AV39+AV42</f>
        <v>0</v>
      </c>
      <c r="AW35" s="1868">
        <f>AW36+AW39+AW42</f>
        <v>0</v>
      </c>
      <c r="AX35" s="1868">
        <f>AX36+AX39+AX42</f>
        <v>0</v>
      </c>
      <c r="AY35" s="73"/>
      <c r="AZ35" s="73"/>
      <c r="BA35" s="73"/>
      <c r="BD35" s="1235" t="s">
        <v>2024</v>
      </c>
      <c r="BI35" s="1271"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1" t="s">
        <v>1695</v>
      </c>
      <c r="D36" s="1320" t="s">
        <v>1696</v>
      </c>
      <c r="E36" s="797">
        <v>17</v>
      </c>
      <c r="F36" s="739" cm="1" t="str">
        <f t="array" ref="F36:F36">OFFSET(G36,-1,-1)</f>
        <v>0</v>
      </c>
      <c r="L36" s="1341"/>
      <c r="M36" s="1287" cm="1" t="str">
        <f t="array" ref="M36:M36">OFFSET(L36,-1,1)</f>
        <v>0</v>
      </c>
      <c r="N36" s="1287" t="s">
        <v>1999</v>
      </c>
      <c r="O36" s="1341" t="s">
        <v>1772</v>
      </c>
      <c r="P36" s="1341"/>
      <c r="Q36" s="1343"/>
      <c r="R36" s="1343" t="s">
        <v>2007</v>
      </c>
      <c r="S36" s="1341"/>
      <c r="T36" s="808">
        <f>AND(F36&gt;0,OR(ISBLANK(Y36),Y36&gt;0))</f>
        <v>0</v>
      </c>
      <c r="AB36" s="580" t="s">
        <v>2025</v>
      </c>
      <c r="AC36" s="562" t="s">
        <v>2009</v>
      </c>
      <c r="AD36" s="1016" t="s">
        <v>1402</v>
      </c>
      <c r="AE36" s="1868">
        <f>SUM(AE37:AE38)</f>
        <v>0</v>
      </c>
      <c r="AF36" s="1868">
        <f>SUM(AF37:AF38)</f>
        <v>0</v>
      </c>
      <c r="AG36" s="1868">
        <f>SUM(AG37:AG38)</f>
        <v>0</v>
      </c>
      <c r="AH36" s="1868">
        <f>SUM(AH37:AH38)</f>
        <v>0</v>
      </c>
      <c r="AI36" s="1868">
        <f>SUM(AI37:AI38)</f>
        <v>0</v>
      </c>
      <c r="AJ36" s="1868">
        <f>SUM(AJ37:AJ38)</f>
        <v>0</v>
      </c>
      <c r="AK36" s="1868">
        <f>SUM(AK37:AK38)</f>
        <v>0</v>
      </c>
      <c r="AL36" s="1868">
        <f>SUM(AL37:AL38)</f>
        <v>0</v>
      </c>
      <c r="AM36" s="1868">
        <f>SUM(AM37:AM38)</f>
        <v>0</v>
      </c>
      <c r="AN36" s="1868">
        <f>SUM(AN37:AN38)</f>
        <v>0</v>
      </c>
      <c r="AO36" s="1868">
        <f>SUM(AO37:AO38)</f>
        <v>0</v>
      </c>
      <c r="AP36" s="1868">
        <f>SUM(AP37:AP38)</f>
        <v>0</v>
      </c>
      <c r="AQ36" s="1868">
        <f>SUM(AQ37:AQ38)</f>
        <v>0</v>
      </c>
      <c r="AR36" s="1868">
        <f>SUM(AR37:AR38)</f>
        <v>0</v>
      </c>
      <c r="AS36" s="1868">
        <f>SUM(AS37:AS38)</f>
        <v>0</v>
      </c>
      <c r="AT36" s="1868">
        <f>SUM(AT37:AT38)</f>
        <v>0</v>
      </c>
      <c r="AU36" s="1868">
        <f>SUM(AU37:AU38)</f>
        <v>0</v>
      </c>
      <c r="AV36" s="1868">
        <f>SUM(AV37:AV38)</f>
        <v>0</v>
      </c>
      <c r="AW36" s="1868">
        <f>SUM(AW37:AW38)</f>
        <v>0</v>
      </c>
      <c r="AX36" s="1868">
        <f>SUM(AX37:AX38)</f>
        <v>0</v>
      </c>
      <c r="AY36" s="73"/>
      <c r="AZ36" s="73"/>
      <c r="BA36" s="73"/>
      <c r="BD36" s="1235" t="s">
        <v>2026</v>
      </c>
      <c r="BI36" s="1271"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1" t="s">
        <v>1695</v>
      </c>
      <c r="D37" s="1320" t="s">
        <v>1696</v>
      </c>
      <c r="E37" s="797">
        <v>17</v>
      </c>
      <c r="F37" s="739" cm="1" t="str">
        <f t="array" ref="F37:F37">OFFSET(G37,-1,-1)</f>
        <v>0</v>
      </c>
      <c r="L37" s="1287" cm="1" t="str">
        <f t="array" ref="L37:L37">AC37</f>
        <v>0</v>
      </c>
      <c r="M37" s="1287" cm="1" t="str">
        <f t="array" ref="M37:M37">OFFSET(L37,-1,1)</f>
        <v>0</v>
      </c>
      <c r="N37" s="1287"/>
      <c r="O37" s="1287"/>
      <c r="P37" s="1287"/>
      <c r="Q37" s="1289"/>
      <c r="R37" s="1289" t="s">
        <v>2007</v>
      </c>
      <c r="S37" s="1287"/>
      <c r="T37" s="808">
        <f>AND(F37&gt;0,OR(ISBLANK(Y37),Y37&gt;0))</f>
        <v>0</v>
      </c>
      <c r="W37" s="175" t="s">
        <v>234</v>
      </c>
      <c r="Y37" s="175">
        <v>0</v>
      </c>
      <c r="AA37" s="917" t="s">
        <v>218</v>
      </c>
      <c r="AB37" s="580" t="str">
        <f>"1.2.1."&amp;Y37</f>
        <v>1.2.1.0</v>
      </c>
      <c r="AC37" s="146"/>
      <c r="AD37" s="1016" t="s">
        <v>1402</v>
      </c>
      <c r="AE37" s="1868"/>
      <c r="AF37" s="1868"/>
      <c r="AG37" s="1868"/>
      <c r="AH37" s="1868"/>
      <c r="AI37" s="1868"/>
      <c r="AJ37" s="1868"/>
      <c r="AK37" s="1868"/>
      <c r="AL37" s="1868"/>
      <c r="AM37" s="1868"/>
      <c r="AN37" s="1868"/>
      <c r="AO37" s="1868"/>
      <c r="AP37" s="1868"/>
      <c r="AQ37" s="1868"/>
      <c r="AR37" s="1868"/>
      <c r="AS37" s="1868"/>
      <c r="AT37" s="1868"/>
      <c r="AU37" s="1868"/>
      <c r="AV37" s="1868"/>
      <c r="AW37" s="1868"/>
      <c r="AX37" s="1868"/>
      <c r="AY37" s="73"/>
      <c r="AZ37" s="73"/>
      <c r="BA37" s="73"/>
      <c r="BD37" s="1235" t="s">
        <v>2026</v>
      </c>
      <c r="BE37" s="1235" t="s">
        <v>2027</v>
      </c>
      <c r="BF37" s="1235" cm="1" t="str">
        <f t="array" ref="BF37:BF37">AC37</f>
        <v>0</v>
      </c>
      <c r="BH37" s="1236" t="b">
        <v>1</v>
      </c>
      <c r="BI37" s="1271"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0"/>
      <c r="E38" s="797">
        <v>17</v>
      </c>
      <c r="F38" s="739" cm="1" t="str">
        <f t="array" ref="F38:F38">OFFSET(G38,-1,-1)</f>
        <v>0</v>
      </c>
      <c r="M38" s="1287" cm="1" t="str">
        <f t="array" ref="M38:M38">OFFSET(L38,-1,1)</f>
        <v>0</v>
      </c>
      <c r="T38" s="808">
        <f>AND(F38&gt;0,OR(ISBLANK(Y38),Y38&gt;0))</f>
        <v>0</v>
      </c>
      <c r="W38" s="1019" t="s">
        <v>951</v>
      </c>
      <c r="AB38" s="302"/>
      <c r="AC38" s="735" t="s">
        <v>236</v>
      </c>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D38" s="1235" t="str">
        <f>IF(AND(ISNUMBER(VALUE(TRIM(SUBSTITUTE(AB38,".","")))),TRIM(SUBSTITUTE(AB38,".",""))&lt;&gt;""),"P"&amp;SUBSTITUTE(AB38,".",""),"")</f>
        <v/>
      </c>
      <c r="BG38" s="1236" t="s">
        <v>2027</v>
      </c>
    </row>
    <row customHeight="1" ht="34.125" hidden="1">
      <c r="C39" s="1301" t="s">
        <v>1695</v>
      </c>
      <c r="D39" s="1320" t="s">
        <v>1696</v>
      </c>
      <c r="E39" s="797">
        <v>35</v>
      </c>
      <c r="F39" s="739" cm="1" t="str">
        <f t="array" ref="F39:F39">OFFSET(G39,-1,-1)</f>
        <v>0</v>
      </c>
      <c r="L39" s="1287"/>
      <c r="M39" s="1287" cm="1" t="str">
        <f t="array" ref="M39:M39">OFFSET(L39,-1,1)</f>
        <v>0</v>
      </c>
      <c r="N39" s="1287"/>
      <c r="O39" s="1287"/>
      <c r="P39" s="1287"/>
      <c r="Q39" s="1289" t="s">
        <v>2011</v>
      </c>
      <c r="R39" s="1289"/>
      <c r="S39" s="1287"/>
      <c r="T39" s="808">
        <f>AND(F39&gt;0,OR(ISBLANK(Y39),Y39&gt;0))</f>
        <v>0</v>
      </c>
      <c r="AB39" s="580" t="s">
        <v>2028</v>
      </c>
      <c r="AC39" s="562" t="s">
        <v>2013</v>
      </c>
      <c r="AD39" s="1016" t="s">
        <v>1402</v>
      </c>
      <c r="AE39" s="1868">
        <f>SUM(AE40:AE41)</f>
        <v>0</v>
      </c>
      <c r="AF39" s="1868">
        <f>SUM(AF40:AF41)</f>
        <v>0</v>
      </c>
      <c r="AG39" s="1868">
        <f>SUM(AG40:AG41)</f>
        <v>0</v>
      </c>
      <c r="AH39" s="1868">
        <f>SUM(AH40:AH41)</f>
        <v>0</v>
      </c>
      <c r="AI39" s="1868">
        <f>SUM(AI40:AI41)</f>
        <v>0</v>
      </c>
      <c r="AJ39" s="1868">
        <f>SUM(AJ40:AJ41)</f>
        <v>0</v>
      </c>
      <c r="AK39" s="1868">
        <f>SUM(AK40:AK41)</f>
        <v>0</v>
      </c>
      <c r="AL39" s="1868">
        <f>SUM(AL40:AL41)</f>
        <v>0</v>
      </c>
      <c r="AM39" s="1868">
        <f>SUM(AM40:AM41)</f>
        <v>0</v>
      </c>
      <c r="AN39" s="1868">
        <f>SUM(AN40:AN41)</f>
        <v>0</v>
      </c>
      <c r="AO39" s="1868">
        <f>SUM(AO40:AO41)</f>
        <v>0</v>
      </c>
      <c r="AP39" s="1868">
        <f>SUM(AP40:AP41)</f>
        <v>0</v>
      </c>
      <c r="AQ39" s="1868">
        <f>SUM(AQ40:AQ41)</f>
        <v>0</v>
      </c>
      <c r="AR39" s="1868">
        <f>SUM(AR40:AR41)</f>
        <v>0</v>
      </c>
      <c r="AS39" s="1868">
        <f>SUM(AS40:AS41)</f>
        <v>0</v>
      </c>
      <c r="AT39" s="1868">
        <f>SUM(AT40:AT41)</f>
        <v>0</v>
      </c>
      <c r="AU39" s="1868">
        <f>SUM(AU40:AU41)</f>
        <v>0</v>
      </c>
      <c r="AV39" s="1868">
        <f>SUM(AV40:AV41)</f>
        <v>0</v>
      </c>
      <c r="AW39" s="1868">
        <f>SUM(AW40:AW41)</f>
        <v>0</v>
      </c>
      <c r="AX39" s="1868">
        <f>SUM(AX40:AX41)</f>
        <v>0</v>
      </c>
      <c r="AY39" s="73"/>
      <c r="AZ39" s="73"/>
      <c r="BA39" s="73"/>
      <c r="BD39" s="1235" t="s">
        <v>2029</v>
      </c>
      <c r="BI39" s="1271"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1" t="s">
        <v>1695</v>
      </c>
      <c r="D40" s="1320" t="s">
        <v>1696</v>
      </c>
      <c r="E40" s="797">
        <v>17</v>
      </c>
      <c r="F40" s="739" cm="1" t="str">
        <f t="array" ref="F40:F40">OFFSET(G40,-1,-1)</f>
        <v>0</v>
      </c>
      <c r="L40" s="1287" cm="1" t="str">
        <f t="array" ref="L40:L40">AC40</f>
        <v>0</v>
      </c>
      <c r="M40" s="1287" cm="1" t="str">
        <f t="array" ref="M40:M40">OFFSET(L40,-1,1)</f>
        <v>0</v>
      </c>
      <c r="N40" s="1287"/>
      <c r="O40" s="1287"/>
      <c r="P40" s="1287"/>
      <c r="Q40" s="1289" t="s">
        <v>2011</v>
      </c>
      <c r="R40" s="1289"/>
      <c r="S40" s="1287"/>
      <c r="T40" s="808">
        <f>AND(F40&gt;0,OR(ISBLANK(Y40),Y40&gt;0))</f>
        <v>0</v>
      </c>
      <c r="W40" s="175" t="s">
        <v>234</v>
      </c>
      <c r="Y40" s="175">
        <v>0</v>
      </c>
      <c r="AA40" s="917" t="s">
        <v>218</v>
      </c>
      <c r="AB40" s="580" t="str">
        <f>"1.2.2."&amp;Y40</f>
        <v>1.2.2.0</v>
      </c>
      <c r="AC40" s="146"/>
      <c r="AD40" s="1016" t="s">
        <v>1402</v>
      </c>
      <c r="AE40" s="1868"/>
      <c r="AF40" s="1868"/>
      <c r="AG40" s="1868"/>
      <c r="AH40" s="1868"/>
      <c r="AI40" s="1868"/>
      <c r="AJ40" s="1868"/>
      <c r="AK40" s="1868"/>
      <c r="AL40" s="1868"/>
      <c r="AM40" s="1868"/>
      <c r="AN40" s="1868"/>
      <c r="AO40" s="1868"/>
      <c r="AP40" s="1868"/>
      <c r="AQ40" s="1868"/>
      <c r="AR40" s="1868"/>
      <c r="AS40" s="1868"/>
      <c r="AT40" s="1868"/>
      <c r="AU40" s="1868"/>
      <c r="AV40" s="1868"/>
      <c r="AW40" s="1868"/>
      <c r="AX40" s="1868"/>
      <c r="AY40" s="73"/>
      <c r="AZ40" s="73"/>
      <c r="BA40" s="73"/>
      <c r="BD40" s="1235" t="s">
        <v>2029</v>
      </c>
      <c r="BE40" s="1235" t="s">
        <v>2030</v>
      </c>
      <c r="BF40" s="1235" cm="1" t="str">
        <f t="array" ref="BF40:BF40">AC40</f>
        <v>0</v>
      </c>
      <c r="BH40" s="1236" t="b">
        <v>1</v>
      </c>
      <c r="BI40" s="1271"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0"/>
      <c r="E41" s="797">
        <v>17</v>
      </c>
      <c r="F41" s="739" cm="1" t="str">
        <f t="array" ref="F41:F41">OFFSET(G41,-1,-1)</f>
        <v>0</v>
      </c>
      <c r="M41" s="1287" cm="1" t="str">
        <f t="array" ref="M41:M41">OFFSET(L41,-1,1)</f>
        <v>0</v>
      </c>
      <c r="T41" s="808">
        <f>AND(F41&gt;0,OR(ISBLANK(Y41),Y41&gt;0))</f>
        <v>0</v>
      </c>
      <c r="W41" s="1019" t="s">
        <v>962</v>
      </c>
      <c r="AB41" s="302"/>
      <c r="AC41" s="735" t="s">
        <v>236</v>
      </c>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D41" s="1235" t="str">
        <f>IF(AND(ISNUMBER(VALUE(TRIM(SUBSTITUTE(AB41,".","")))),TRIM(SUBSTITUTE(AB41,".",""))&lt;&gt;""),"P"&amp;SUBSTITUTE(AB41,".",""),"")</f>
        <v/>
      </c>
      <c r="BG41" s="1236" t="s">
        <v>2030</v>
      </c>
    </row>
    <row customHeight="1" ht="16.575" hidden="1">
      <c r="C42" s="1301" t="s">
        <v>1695</v>
      </c>
      <c r="D42" s="1320" t="s">
        <v>1696</v>
      </c>
      <c r="E42" s="797">
        <v>17</v>
      </c>
      <c r="F42" s="739" cm="1" t="str">
        <f t="array" ref="F42:F42">OFFSET(G42,-1,-1)</f>
        <v>0</v>
      </c>
      <c r="L42" s="1287"/>
      <c r="M42" s="1287" cm="1" t="str">
        <f t="array" ref="M42:M42">OFFSET(L42,-1,1)</f>
        <v>0</v>
      </c>
      <c r="N42" s="1287"/>
      <c r="O42" s="1287"/>
      <c r="P42" s="1287"/>
      <c r="Q42" s="1289" t="s">
        <v>2015</v>
      </c>
      <c r="R42" s="1289"/>
      <c r="S42" s="1287"/>
      <c r="T42" s="808">
        <f>AND(F42&gt;0,OR(ISBLANK(Y42),Y42&gt;0))</f>
        <v>0</v>
      </c>
      <c r="AB42" s="1121" t="s">
        <v>2031</v>
      </c>
      <c r="AC42" s="562" t="s">
        <v>2017</v>
      </c>
      <c r="AD42" s="1016" t="s">
        <v>1402</v>
      </c>
      <c r="AE42" s="1868">
        <f>SUM(AE43:AE44)</f>
        <v>0</v>
      </c>
      <c r="AF42" s="1868">
        <f>SUM(AF43:AF44)</f>
        <v>0</v>
      </c>
      <c r="AG42" s="1868">
        <f>SUM(AG43:AG44)</f>
        <v>0</v>
      </c>
      <c r="AH42" s="1868">
        <f>SUM(AH43:AH44)</f>
        <v>0</v>
      </c>
      <c r="AI42" s="1868">
        <f>SUM(AI43:AI44)</f>
        <v>0</v>
      </c>
      <c r="AJ42" s="1868">
        <f>SUM(AJ43:AJ44)</f>
        <v>0</v>
      </c>
      <c r="AK42" s="1868">
        <f>SUM(AK43:AK44)</f>
        <v>0</v>
      </c>
      <c r="AL42" s="1868">
        <f>SUM(AL43:AL44)</f>
        <v>0</v>
      </c>
      <c r="AM42" s="1868">
        <f>SUM(AM43:AM44)</f>
        <v>0</v>
      </c>
      <c r="AN42" s="1868">
        <f>SUM(AN43:AN44)</f>
        <v>0</v>
      </c>
      <c r="AO42" s="1868">
        <f>SUM(AO43:AO44)</f>
        <v>0</v>
      </c>
      <c r="AP42" s="1868">
        <f>SUM(AP43:AP44)</f>
        <v>0</v>
      </c>
      <c r="AQ42" s="1868">
        <f>SUM(AQ43:AQ44)</f>
        <v>0</v>
      </c>
      <c r="AR42" s="1868">
        <f>SUM(AR43:AR44)</f>
        <v>0</v>
      </c>
      <c r="AS42" s="1868">
        <f>SUM(AS43:AS44)</f>
        <v>0</v>
      </c>
      <c r="AT42" s="1868">
        <f>SUM(AT43:AT44)</f>
        <v>0</v>
      </c>
      <c r="AU42" s="1868">
        <f>SUM(AU43:AU44)</f>
        <v>0</v>
      </c>
      <c r="AV42" s="1868">
        <f>SUM(AV43:AV44)</f>
        <v>0</v>
      </c>
      <c r="AW42" s="1868">
        <f>SUM(AW43:AW44)</f>
        <v>0</v>
      </c>
      <c r="AX42" s="1868">
        <f>SUM(AX43:AX44)</f>
        <v>0</v>
      </c>
      <c r="AY42" s="73"/>
      <c r="AZ42" s="73"/>
      <c r="BA42" s="73"/>
      <c r="BD42" s="1235" t="s">
        <v>2032</v>
      </c>
      <c r="BI42" s="1271"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1" t="s">
        <v>1695</v>
      </c>
      <c r="D43" s="1320" t="s">
        <v>1696</v>
      </c>
      <c r="E43" s="797">
        <v>17</v>
      </c>
      <c r="F43" s="739" cm="1" t="str">
        <f t="array" ref="F43:F43">OFFSET(G43,-1,-1)</f>
        <v>0</v>
      </c>
      <c r="L43" s="1287" cm="1" t="str">
        <f t="array" ref="L43:L43">AC43</f>
        <v>0</v>
      </c>
      <c r="M43" s="1287" cm="1" t="str">
        <f t="array" ref="M43:M43">OFFSET(L43,-1,1)</f>
        <v>0</v>
      </c>
      <c r="N43" s="1287"/>
      <c r="O43" s="1287"/>
      <c r="P43" s="1287"/>
      <c r="Q43" s="1289" t="s">
        <v>2015</v>
      </c>
      <c r="R43" s="1289"/>
      <c r="S43" s="1287"/>
      <c r="T43" s="808">
        <f>AND(F43&gt;0,OR(ISBLANK(Y43),Y43&gt;0))</f>
        <v>0</v>
      </c>
      <c r="W43" s="175" t="s">
        <v>234</v>
      </c>
      <c r="Y43" s="175">
        <v>0</v>
      </c>
      <c r="AA43" s="917" t="s">
        <v>218</v>
      </c>
      <c r="AB43" s="580" t="str">
        <f>"1.2.3."&amp;Y43</f>
        <v>1.2.3.0</v>
      </c>
      <c r="AC43" s="146"/>
      <c r="AD43" s="1016" t="s">
        <v>1402</v>
      </c>
      <c r="AE43" s="1868"/>
      <c r="AF43" s="1868"/>
      <c r="AG43" s="1868"/>
      <c r="AH43" s="1868"/>
      <c r="AI43" s="1868"/>
      <c r="AJ43" s="1868"/>
      <c r="AK43" s="1868"/>
      <c r="AL43" s="1868"/>
      <c r="AM43" s="1868"/>
      <c r="AN43" s="1868"/>
      <c r="AO43" s="1868"/>
      <c r="AP43" s="1868"/>
      <c r="AQ43" s="1868"/>
      <c r="AR43" s="1868"/>
      <c r="AS43" s="1868"/>
      <c r="AT43" s="1868"/>
      <c r="AU43" s="1868"/>
      <c r="AV43" s="1868"/>
      <c r="AW43" s="1868"/>
      <c r="AX43" s="1868"/>
      <c r="AY43" s="73"/>
      <c r="AZ43" s="73"/>
      <c r="BA43" s="73"/>
      <c r="BD43" s="1235" t="s">
        <v>2032</v>
      </c>
      <c r="BE43" s="1235" t="s">
        <v>2033</v>
      </c>
      <c r="BF43" s="1235" cm="1" t="str">
        <f t="array" ref="BF43:BF43">AC43</f>
        <v>0</v>
      </c>
      <c r="BH43" s="1236" t="b">
        <v>1</v>
      </c>
      <c r="BI43" s="1271"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0"/>
      <c r="E44" s="797">
        <v>17</v>
      </c>
      <c r="F44" s="739" cm="1" t="str">
        <f t="array" ref="F44:F44">OFFSET(G44,-1,-1)</f>
        <v>0</v>
      </c>
      <c r="M44" s="1287" cm="1" t="str">
        <f t="array" ref="M44:M44">OFFSET(L44,-1,1)</f>
        <v>0</v>
      </c>
      <c r="T44" s="808">
        <f>AND(F44&gt;0,OR(ISBLANK(Y44),Y44&gt;0))</f>
        <v>0</v>
      </c>
      <c r="W44" s="1019" t="s">
        <v>1203</v>
      </c>
      <c r="AB44" s="302"/>
      <c r="AC44" s="735" t="s">
        <v>236</v>
      </c>
      <c r="AD44" s="303"/>
      <c r="AE44" s="303"/>
      <c r="AF44" s="303"/>
      <c r="AG44" s="303"/>
      <c r="AH44" s="303"/>
      <c r="AI44" s="303"/>
      <c r="AJ44" s="303"/>
      <c r="AK44" s="303"/>
      <c r="AL44" s="303"/>
      <c r="AM44" s="303"/>
      <c r="AN44" s="303"/>
      <c r="AO44" s="303"/>
      <c r="AP44" s="303"/>
      <c r="AQ44" s="303"/>
      <c r="AR44" s="303"/>
      <c r="AS44" s="303"/>
      <c r="AT44" s="303"/>
      <c r="AU44" s="303"/>
      <c r="AV44" s="303"/>
      <c r="AW44" s="303"/>
      <c r="AX44" s="303"/>
      <c r="AY44" s="303"/>
      <c r="AZ44" s="303"/>
      <c r="BA44" s="303"/>
      <c r="BD44" s="1235" t="str">
        <f>IF(AND(ISNUMBER(VALUE(TRIM(SUBSTITUTE(AB44,".","")))),TRIM(SUBSTITUTE(AB44,".",""))&lt;&gt;""),"P"&amp;SUBSTITUTE(AB44,".",""),"")</f>
        <v/>
      </c>
      <c r="BG44" s="1236" t="s">
        <v>2033</v>
      </c>
    </row>
    <row customHeight="1" ht="16.575" hidden="1">
      <c r="C45" s="1301" t="s">
        <v>1695</v>
      </c>
      <c r="D45" s="1320" t="s">
        <v>1696</v>
      </c>
      <c r="E45" s="797">
        <v>17</v>
      </c>
      <c r="F45" s="739" cm="1" t="str">
        <f t="array" ref="F45:F45">OFFSET(G45,-1,-1)</f>
        <v>0</v>
      </c>
      <c r="L45" s="1287"/>
      <c r="M45" s="1287" cm="1" t="str">
        <f t="array" ref="M45:M45">OFFSET(L45,-1,1)</f>
        <v>0</v>
      </c>
      <c r="N45" s="1287" t="s">
        <v>2034</v>
      </c>
      <c r="O45" s="1287"/>
      <c r="P45" s="1287"/>
      <c r="Q45" s="1289"/>
      <c r="R45" s="1289"/>
      <c r="S45" s="1287"/>
      <c r="T45" s="808">
        <f>AND(F45&gt;0,OR(ISBLANK(Y45),Y45&gt;0))</f>
        <v>0</v>
      </c>
      <c r="AB45" s="1121" t="s">
        <v>937</v>
      </c>
      <c r="AC45" s="164" t="s">
        <v>2035</v>
      </c>
      <c r="AD45" s="1016" t="s">
        <v>1402</v>
      </c>
      <c r="AE45" s="1868"/>
      <c r="AF45" s="1868"/>
      <c r="AG45" s="1868"/>
      <c r="AH45" s="1868"/>
      <c r="AI45" s="1868"/>
      <c r="AJ45" s="1868"/>
      <c r="AK45" s="1868"/>
      <c r="AL45" s="1868"/>
      <c r="AM45" s="1868"/>
      <c r="AN45" s="1868"/>
      <c r="AO45" s="1868"/>
      <c r="AP45" s="1868"/>
      <c r="AQ45" s="1868"/>
      <c r="AR45" s="1868"/>
      <c r="AS45" s="1868"/>
      <c r="AT45" s="1868"/>
      <c r="AU45" s="1868"/>
      <c r="AV45" s="1868"/>
      <c r="AW45" s="1868"/>
      <c r="AX45" s="1868"/>
      <c r="AY45" s="73"/>
      <c r="AZ45" s="73"/>
      <c r="BA45" s="73"/>
      <c r="BD45" s="1235" t="s">
        <v>1390</v>
      </c>
      <c r="BI45" s="1271"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7"/>
      <c r="D46" s="1321"/>
      <c r="E46" s="797">
        <v>17</v>
      </c>
      <c r="F46" s="739" cm="1" t="str">
        <f t="array" ref="F46:F46">OFFSET(G46,-1,-1)</f>
        <v>0</v>
      </c>
      <c r="L46" s="1342"/>
      <c r="M46" s="1287" cm="1" t="str">
        <f t="array" ref="M46:M46">OFFSET(L46,-1,1)</f>
        <v>0</v>
      </c>
      <c r="N46" s="1342"/>
      <c r="O46" s="1342"/>
      <c r="P46" s="1342"/>
      <c r="Q46" s="1344"/>
      <c r="R46" s="1344"/>
      <c r="S46" s="1342"/>
      <c r="T46" s="808">
        <f>AND(F46&gt;0,OR(ISBLANK(Y46),Y46&gt;0))</f>
        <v>0</v>
      </c>
      <c r="AB46" s="580" t="s">
        <v>426</v>
      </c>
      <c r="AC46" s="323" t="s">
        <v>2036</v>
      </c>
      <c r="AD46" s="1016"/>
      <c r="AE46" s="1016"/>
      <c r="AF46" s="1016"/>
      <c r="AG46" s="1016"/>
      <c r="AH46" s="1016"/>
      <c r="AI46" s="1016"/>
      <c r="AJ46" s="1016"/>
      <c r="AK46" s="1016"/>
      <c r="AL46" s="1016"/>
      <c r="AM46" s="1016"/>
      <c r="AN46" s="1016"/>
      <c r="AO46" s="1016"/>
      <c r="AP46" s="1016"/>
      <c r="AQ46" s="1016"/>
      <c r="AR46" s="1016"/>
      <c r="AS46" s="1016"/>
      <c r="AT46" s="1016"/>
      <c r="AU46" s="1016"/>
      <c r="AV46" s="1016"/>
      <c r="AW46" s="1016"/>
      <c r="AX46" s="1016"/>
      <c r="AY46" s="1016"/>
      <c r="AZ46" s="1016"/>
      <c r="BA46" s="1016"/>
    </row>
    <row customHeight="1" ht="16.575" hidden="1">
      <c r="C47" s="1301" t="s">
        <v>1723</v>
      </c>
      <c r="D47" s="1320" t="s">
        <v>1724</v>
      </c>
      <c r="E47" s="797">
        <v>17</v>
      </c>
      <c r="F47" s="739" cm="1" t="str">
        <f t="array" ref="F47:F47">OFFSET(G47,-1,-1)</f>
        <v>0</v>
      </c>
      <c r="G47" s="193" t="s">
        <v>1725</v>
      </c>
      <c r="L47" s="1287"/>
      <c r="M47" s="1287" cm="1" t="str">
        <f t="array" ref="M47:M47">OFFSET(L47,-1,1)</f>
        <v>0</v>
      </c>
      <c r="N47" s="1287"/>
      <c r="O47" s="1287"/>
      <c r="P47" s="1287"/>
      <c r="Q47" s="1289"/>
      <c r="R47" s="1289"/>
      <c r="S47" s="1289" t="s">
        <v>1726</v>
      </c>
      <c r="T47" s="808">
        <f>AND(F47&gt;0,OR(ISBLANK(Y47),Y47&gt;0))</f>
        <v>0</v>
      </c>
      <c r="AB47" s="173" t="s">
        <v>456</v>
      </c>
      <c r="AC47" s="289" t="s">
        <v>1727</v>
      </c>
      <c r="AD47" s="558" t="s">
        <v>599</v>
      </c>
      <c r="AE47" s="1868"/>
      <c r="AF47" s="1868"/>
      <c r="AG47" s="1868"/>
      <c r="AH47" s="1868"/>
      <c r="AI47" s="1868"/>
      <c r="AJ47" s="1868"/>
      <c r="AK47" s="1868"/>
      <c r="AL47" s="1868"/>
      <c r="AM47" s="1868"/>
      <c r="AN47" s="1868"/>
      <c r="AO47" s="1868"/>
      <c r="AP47" s="1868"/>
      <c r="AQ47" s="1868"/>
      <c r="AR47" s="1868"/>
      <c r="AS47" s="1868"/>
      <c r="AT47" s="1868"/>
      <c r="AU47" s="1868"/>
      <c r="AV47" s="1868"/>
      <c r="AW47" s="1868"/>
      <c r="AX47" s="1868"/>
      <c r="AY47" s="73"/>
      <c r="AZ47" s="73"/>
      <c r="BA47" s="73"/>
      <c r="BD47" s="1235" t="s">
        <v>2037</v>
      </c>
      <c r="BI47" s="1271"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1" t="s">
        <v>1729</v>
      </c>
      <c r="D48" s="1320" t="s">
        <v>1730</v>
      </c>
      <c r="E48" s="797">
        <v>17</v>
      </c>
      <c r="F48" s="739" cm="1" t="str">
        <f t="array" ref="F48:F48">OFFSET(G48,-1,-1)</f>
        <v>0</v>
      </c>
      <c r="G48" s="739" t="s">
        <v>1731</v>
      </c>
      <c r="L48" s="1287"/>
      <c r="M48" s="1287" cm="1" t="str">
        <f t="array" ref="M48:M48">OFFSET(L48,-1,1)</f>
        <v>0</v>
      </c>
      <c r="N48" s="1287"/>
      <c r="O48" s="1287"/>
      <c r="P48" s="1287"/>
      <c r="Q48" s="1289"/>
      <c r="R48" s="1289"/>
      <c r="S48" s="1289" t="s">
        <v>1726</v>
      </c>
      <c r="T48" s="808">
        <f>AND(F48&gt;0,OR(ISBLANK(Y48),Y48&gt;0))</f>
        <v>0</v>
      </c>
      <c r="AB48" s="173" t="s">
        <v>483</v>
      </c>
      <c r="AC48" s="289" t="s">
        <v>1732</v>
      </c>
      <c r="AD48" s="558" t="s">
        <v>900</v>
      </c>
      <c r="AE48" s="1868"/>
      <c r="AF48" s="1868"/>
      <c r="AG48" s="1868"/>
      <c r="AH48" s="1868"/>
      <c r="AI48" s="1868"/>
      <c r="AJ48" s="1868"/>
      <c r="AK48" s="1868"/>
      <c r="AL48" s="1868"/>
      <c r="AM48" s="1868"/>
      <c r="AN48" s="1868"/>
      <c r="AO48" s="1868"/>
      <c r="AP48" s="1868"/>
      <c r="AQ48" s="1868"/>
      <c r="AR48" s="1868"/>
      <c r="AS48" s="1868"/>
      <c r="AT48" s="1868"/>
      <c r="AU48" s="1868"/>
      <c r="AV48" s="1868"/>
      <c r="AW48" s="1868"/>
      <c r="AX48" s="1868"/>
      <c r="AY48" s="73"/>
      <c r="AZ48" s="73"/>
      <c r="BA48" s="73"/>
      <c r="BD48" s="1235" t="s">
        <v>2038</v>
      </c>
      <c r="BI48" s="1271"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1" t="s">
        <v>1723</v>
      </c>
      <c r="D49" s="1320" t="s">
        <v>1724</v>
      </c>
      <c r="E49" s="797">
        <v>17</v>
      </c>
      <c r="F49" s="739" cm="1" t="str">
        <f t="array" ref="F49:F49">OFFSET(G49,-1,-1)</f>
        <v>0</v>
      </c>
      <c r="G49" s="193" t="s">
        <v>1734</v>
      </c>
      <c r="L49" s="1287"/>
      <c r="M49" s="1287" cm="1" t="str">
        <f t="array" ref="M49:M49">OFFSET(L49,-1,1)</f>
        <v>0</v>
      </c>
      <c r="N49" s="1287"/>
      <c r="O49" s="1287"/>
      <c r="P49" s="1287"/>
      <c r="Q49" s="1289"/>
      <c r="R49" s="1289"/>
      <c r="S49" s="1289" t="s">
        <v>1735</v>
      </c>
      <c r="T49" s="808">
        <f>AND(F49&gt;0,OR(ISBLANK(Y49),Y49&gt;0))</f>
        <v>0</v>
      </c>
      <c r="AB49" s="173" t="s">
        <v>487</v>
      </c>
      <c r="AC49" s="289" t="s">
        <v>1736</v>
      </c>
      <c r="AD49" s="312" t="s">
        <v>599</v>
      </c>
      <c r="AE49" s="1868"/>
      <c r="AF49" s="1868"/>
      <c r="AG49" s="1868"/>
      <c r="AH49" s="1868"/>
      <c r="AI49" s="1868"/>
      <c r="AJ49" s="1868"/>
      <c r="AK49" s="1868"/>
      <c r="AL49" s="1868"/>
      <c r="AM49" s="1868"/>
      <c r="AN49" s="1868"/>
      <c r="AO49" s="1868"/>
      <c r="AP49" s="1868"/>
      <c r="AQ49" s="1868"/>
      <c r="AR49" s="1868"/>
      <c r="AS49" s="1868"/>
      <c r="AT49" s="1868"/>
      <c r="AU49" s="1868"/>
      <c r="AV49" s="1868"/>
      <c r="AW49" s="1868"/>
      <c r="AX49" s="1868"/>
      <c r="AY49" s="73"/>
      <c r="AZ49" s="73"/>
      <c r="BA49" s="73"/>
      <c r="BD49" s="1235" t="s">
        <v>2039</v>
      </c>
      <c r="BI49" s="1271"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5" customFormat="1" customHeight="1" ht="16.575" hidden="1">
      <c r="C50" s="1301" t="s">
        <v>1729</v>
      </c>
      <c r="D50" s="1320" t="s">
        <v>1730</v>
      </c>
      <c r="E50" s="797">
        <v>17</v>
      </c>
      <c r="F50" s="739" cm="1" t="str">
        <f t="array" ref="F50:F50">OFFSET(G50,-1,-1)</f>
        <v>0</v>
      </c>
      <c r="G50" s="739" t="s">
        <v>1738</v>
      </c>
      <c r="L50" s="1286"/>
      <c r="M50" s="1287" cm="1" t="str">
        <f t="array" ref="M50:M50">OFFSET(L50,-1,1)</f>
        <v>0</v>
      </c>
      <c r="N50" s="1286"/>
      <c r="O50" s="1286"/>
      <c r="P50" s="1286"/>
      <c r="Q50" s="1297"/>
      <c r="R50" s="1297"/>
      <c r="S50" s="1289" t="s">
        <v>1735</v>
      </c>
      <c r="T50" s="808">
        <f>AND(F50&gt;0,OR(ISBLANK(Y50),Y50&gt;0))</f>
        <v>0</v>
      </c>
      <c r="AB50" s="173" t="s">
        <v>491</v>
      </c>
      <c r="AC50" s="289" t="s">
        <v>1739</v>
      </c>
      <c r="AD50" s="169" t="s">
        <v>900</v>
      </c>
      <c r="AE50" s="1868">
        <f>_xlfn.IFERROR((AE28*1000-AE47*AE48)/AE49,0)</f>
        <v>0</v>
      </c>
      <c r="AF50" s="1868">
        <f>_xlfn.IFERROR((AF28*1000-AF47*AF48)/AF49,0)</f>
        <v>0</v>
      </c>
      <c r="AG50" s="1868">
        <f>_xlfn.IFERROR((AG28*1000-AG47*AG48)/AG49,0)</f>
        <v>0</v>
      </c>
      <c r="AH50" s="1868">
        <f>_xlfn.IFERROR((AH28*1000-AH47*AH48)/AH49,0)</f>
        <v>0</v>
      </c>
      <c r="AI50" s="1868">
        <f>_xlfn.IFERROR((AI28*1000-AI47*AI48)/AI49,0)</f>
        <v>0</v>
      </c>
      <c r="AJ50" s="1868">
        <f>_xlfn.IFERROR((AJ28*1000-AJ47*AJ48)/AJ49,0)</f>
        <v>0</v>
      </c>
      <c r="AK50" s="1868">
        <f>_xlfn.IFERROR((AK28*1000-AK47*AK48)/AK49,0)</f>
        <v>0</v>
      </c>
      <c r="AL50" s="1868">
        <f>_xlfn.IFERROR((AL28*1000-AL47*AL48)/AL49,0)</f>
        <v>0</v>
      </c>
      <c r="AM50" s="1868">
        <f>_xlfn.IFERROR((AM28*1000-AM47*AM48)/AM49,0)</f>
        <v>0</v>
      </c>
      <c r="AN50" s="1868">
        <f>_xlfn.IFERROR((AN28*1000-AN47*AN48)/AN49,0)</f>
        <v>0</v>
      </c>
      <c r="AO50" s="1868">
        <f>_xlfn.IFERROR((AO28*1000-AO47*AO48)/AO49,0)</f>
        <v>0</v>
      </c>
      <c r="AP50" s="1868">
        <f>_xlfn.IFERROR((AP28*1000-AP47*AP48)/AP49,0)</f>
        <v>0</v>
      </c>
      <c r="AQ50" s="1868">
        <f>_xlfn.IFERROR((AQ28*1000-AQ47*AQ48)/AQ49,0)</f>
        <v>0</v>
      </c>
      <c r="AR50" s="1868">
        <f>_xlfn.IFERROR((AR28*1000-AR47*AR48)/AR49,0)</f>
        <v>0</v>
      </c>
      <c r="AS50" s="1868">
        <f>_xlfn.IFERROR((AS28*1000-AS47*AS48)/AS49,0)</f>
        <v>0</v>
      </c>
      <c r="AT50" s="1868">
        <f>_xlfn.IFERROR((AT28*1000-AT47*AT48)/AT49,0)</f>
        <v>0</v>
      </c>
      <c r="AU50" s="1868">
        <f>_xlfn.IFERROR((AU28*1000-AU47*AU48)/AU49,0)</f>
        <v>0</v>
      </c>
      <c r="AV50" s="1868">
        <f>_xlfn.IFERROR((AV28*1000-AV47*AV48)/AV49,0)</f>
        <v>0</v>
      </c>
      <c r="AW50" s="1868">
        <f>_xlfn.IFERROR((AW28*1000-AW47*AW48)/AW49,0)</f>
        <v>0</v>
      </c>
      <c r="AX50" s="1868">
        <f>_xlfn.IFERROR((AX28*1000-AX47*AX48)/AX49,0)</f>
        <v>0</v>
      </c>
      <c r="AY50" s="73"/>
      <c r="AZ50" s="73"/>
      <c r="BA50" s="73"/>
      <c r="BD50" s="1235" t="s">
        <v>2040</v>
      </c>
      <c r="BE50" s="1235"/>
      <c r="BF50" s="1243"/>
      <c r="BG50" s="1244"/>
      <c r="BH50" s="1244"/>
      <c r="BI50" s="1271"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5" customFormat="1" customHeight="1" ht="16.575" hidden="1">
      <c r="C51" s="1301" t="s">
        <v>1741</v>
      </c>
      <c r="D51" s="1320" t="s">
        <v>1742</v>
      </c>
      <c r="E51" s="797">
        <v>17</v>
      </c>
      <c r="F51" s="739" cm="1" t="str">
        <f t="array" ref="F51:F51">OFFSET(G51,-1,-1)</f>
        <v>0</v>
      </c>
      <c r="L51" s="1286"/>
      <c r="M51" s="1287" cm="1" t="str">
        <f t="array" ref="M51:M51">OFFSET(L51,-1,1)</f>
        <v>0</v>
      </c>
      <c r="N51" s="1286"/>
      <c r="O51" s="1286"/>
      <c r="P51" s="1286"/>
      <c r="Q51" s="1297"/>
      <c r="R51" s="1297"/>
      <c r="S51" s="1286"/>
      <c r="T51" s="808">
        <f>AND(F51&gt;0,OR(ISBLANK(Y51),Y51&gt;0))</f>
        <v>0</v>
      </c>
      <c r="AB51" s="173" t="s">
        <v>1561</v>
      </c>
      <c r="AC51" s="164" t="s">
        <v>2041</v>
      </c>
      <c r="AD51" s="558" t="s">
        <v>498</v>
      </c>
      <c r="AE51" s="665">
        <f>_xlfn.IFERROR(AE50/AE48,0)</f>
        <v>0</v>
      </c>
      <c r="AF51" s="665">
        <f>_xlfn.IFERROR(AF50/AF48,0)</f>
        <v>0</v>
      </c>
      <c r="AG51" s="665">
        <f>_xlfn.IFERROR(AG50/AG48,0)</f>
        <v>0</v>
      </c>
      <c r="AH51" s="665">
        <f>_xlfn.IFERROR(AH50/AH48,0)</f>
        <v>0</v>
      </c>
      <c r="AI51" s="665">
        <f>_xlfn.IFERROR(AI50/AI48,0)</f>
        <v>0</v>
      </c>
      <c r="AJ51" s="665">
        <f>_xlfn.IFERROR(AJ50/AJ48,0)</f>
        <v>0</v>
      </c>
      <c r="AK51" s="665">
        <f>_xlfn.IFERROR(AK50/AK48,0)</f>
        <v>0</v>
      </c>
      <c r="AL51" s="665">
        <f>_xlfn.IFERROR(AL50/AL48,0)</f>
        <v>0</v>
      </c>
      <c r="AM51" s="665">
        <f>_xlfn.IFERROR(AM50/AM48,0)</f>
        <v>0</v>
      </c>
      <c r="AN51" s="665">
        <f>_xlfn.IFERROR(AN50/AN48,0)</f>
        <v>0</v>
      </c>
      <c r="AO51" s="665">
        <f>_xlfn.IFERROR(AO50/AO48,0)</f>
        <v>0</v>
      </c>
      <c r="AP51" s="665">
        <f>_xlfn.IFERROR(AP50/AP48,0)</f>
        <v>0</v>
      </c>
      <c r="AQ51" s="665">
        <f>_xlfn.IFERROR(AQ50/AQ48,0)</f>
        <v>0</v>
      </c>
      <c r="AR51" s="665">
        <f>_xlfn.IFERROR(AR50/AR48,0)</f>
        <v>0</v>
      </c>
      <c r="AS51" s="665">
        <f>_xlfn.IFERROR(AS50/AS48,0)</f>
        <v>0</v>
      </c>
      <c r="AT51" s="665">
        <f>_xlfn.IFERROR(AT50/AT48,0)</f>
        <v>0</v>
      </c>
      <c r="AU51" s="665">
        <f>_xlfn.IFERROR(AU50/AU48,0)</f>
        <v>0</v>
      </c>
      <c r="AV51" s="665">
        <f>_xlfn.IFERROR(AV50/AV48,0)</f>
        <v>0</v>
      </c>
      <c r="AW51" s="665">
        <f>_xlfn.IFERROR(AW50/AW48,0)</f>
        <v>0</v>
      </c>
      <c r="AX51" s="665">
        <f>_xlfn.IFERROR(AX50/AX48,0)</f>
        <v>0</v>
      </c>
      <c r="AY51" s="73"/>
      <c r="AZ51" s="73"/>
      <c r="BA51" s="73"/>
      <c r="BD51" s="1235" t="s">
        <v>2042</v>
      </c>
      <c r="BE51" s="1235"/>
      <c r="BF51" s="1235"/>
      <c r="BG51" s="1236"/>
      <c r="BH51" s="1236"/>
      <c r="BI51" s="1271"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1" t="s">
        <v>1745</v>
      </c>
      <c r="D52" s="1320" t="s">
        <v>1746</v>
      </c>
      <c r="E52" s="797">
        <v>17</v>
      </c>
      <c r="F52" s="739" cm="1" t="str">
        <f t="array" ref="F52:F52">OFFSET(G52,-1,-1)</f>
        <v>0</v>
      </c>
      <c r="L52" s="1287"/>
      <c r="M52" s="1287" cm="1" t="str">
        <f t="array" ref="M52:M52">OFFSET(L52,-1,1)</f>
        <v>0</v>
      </c>
      <c r="N52" s="1287"/>
      <c r="O52" s="1287"/>
      <c r="P52" s="1287"/>
      <c r="Q52" s="1289"/>
      <c r="R52" s="1289"/>
      <c r="S52" s="1287"/>
      <c r="T52" s="808">
        <f>AND(F52&gt;0,OR(ISBLANK(Y52),Y52&gt;0))</f>
        <v>0</v>
      </c>
      <c r="AB52" s="173" t="s">
        <v>1988</v>
      </c>
      <c r="AC52" s="164" t="s">
        <v>2043</v>
      </c>
      <c r="AD52" s="558" t="s">
        <v>900</v>
      </c>
      <c r="AE52" s="2041">
        <f>_xlfn.IFERROR(AE28*1000/(AE47+AE49),0)</f>
        <v>0</v>
      </c>
      <c r="AF52" s="2041">
        <f>_xlfn.IFERROR(AF28*1000/(AF47+AF49),0)</f>
        <v>0</v>
      </c>
      <c r="AG52" s="2041">
        <f>_xlfn.IFERROR(AG28*1000/(AG47+AG49),0)</f>
        <v>0</v>
      </c>
      <c r="AH52" s="2041">
        <f>_xlfn.IFERROR(AH28*1000/(AH47+AH49),0)</f>
        <v>0</v>
      </c>
      <c r="AI52" s="2041">
        <f>_xlfn.IFERROR(AI28*1000/(AI47+AI49),0)</f>
        <v>0</v>
      </c>
      <c r="AJ52" s="2041">
        <f>_xlfn.IFERROR(AJ28*1000/(AJ47+AJ49),0)</f>
        <v>0</v>
      </c>
      <c r="AK52" s="2041">
        <f>_xlfn.IFERROR(AK28*1000/(AK47+AK49),0)</f>
        <v>0</v>
      </c>
      <c r="AL52" s="2041">
        <f>_xlfn.IFERROR(AL28*1000/(AL47+AL49),0)</f>
        <v>0</v>
      </c>
      <c r="AM52" s="2041">
        <f>_xlfn.IFERROR(AM28*1000/(AM47+AM49),0)</f>
        <v>0</v>
      </c>
      <c r="AN52" s="2041">
        <f>_xlfn.IFERROR(AN28*1000/(AN47+AN49),0)</f>
        <v>0</v>
      </c>
      <c r="AO52" s="2041">
        <f>_xlfn.IFERROR(AO28*1000/(AO47+AO49),0)</f>
        <v>0</v>
      </c>
      <c r="AP52" s="2041">
        <f>_xlfn.IFERROR(AP28*1000/(AP47+AP49),0)</f>
        <v>0</v>
      </c>
      <c r="AQ52" s="2041">
        <f>_xlfn.IFERROR(AQ28*1000/(AQ47+AQ49),0)</f>
        <v>0</v>
      </c>
      <c r="AR52" s="2041">
        <f>_xlfn.IFERROR(AR28*1000/(AR47+AR49),0)</f>
        <v>0</v>
      </c>
      <c r="AS52" s="2041">
        <f>_xlfn.IFERROR(AS28*1000/(AS47+AS49),0)</f>
        <v>0</v>
      </c>
      <c r="AT52" s="2041">
        <f>_xlfn.IFERROR(AT28*1000/(AT47+AT49),0)</f>
        <v>0</v>
      </c>
      <c r="AU52" s="2041">
        <f>_xlfn.IFERROR(AU28*1000/(AU47+AU49),0)</f>
        <v>0</v>
      </c>
      <c r="AV52" s="2041">
        <f>_xlfn.IFERROR(AV28*1000/(AV47+AV49),0)</f>
        <v>0</v>
      </c>
      <c r="AW52" s="2041">
        <f>_xlfn.IFERROR(AW28*1000/(AW47+AW49),0)</f>
        <v>0</v>
      </c>
      <c r="AX52" s="2041">
        <f>_xlfn.IFERROR(AX28*1000/(AX47+AX49),0)</f>
        <v>0</v>
      </c>
      <c r="AY52" s="73"/>
      <c r="AZ52" s="73"/>
      <c r="BA52" s="73"/>
      <c r="BD52" s="1235" t="s">
        <v>2044</v>
      </c>
      <c r="BI52" s="1271"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1" t="s">
        <v>1789</v>
      </c>
      <c r="D53" s="1320" t="s">
        <v>1790</v>
      </c>
      <c r="E53" s="797">
        <v>35</v>
      </c>
      <c r="F53" s="739" cm="1" t="str">
        <f t="array" ref="F53:F53">OFFSET(G53,-1,-1)</f>
        <v>0</v>
      </c>
      <c r="L53" s="1287"/>
      <c r="M53" s="1287" cm="1" t="str">
        <f t="array" ref="M53:M53">OFFSET(L53,-1,1)</f>
        <v>0</v>
      </c>
      <c r="N53" s="1287"/>
      <c r="O53" s="1287"/>
      <c r="P53" s="1287"/>
      <c r="Q53" s="1289"/>
      <c r="R53" s="1289"/>
      <c r="S53" s="1287"/>
      <c r="T53" s="808">
        <f>AND(F53&gt;0,OR(ISBLANK(Y53),Y53&gt;0))</f>
        <v>0</v>
      </c>
      <c r="AB53" s="173" t="s">
        <v>429</v>
      </c>
      <c r="AC53" s="323" t="s">
        <v>1792</v>
      </c>
      <c r="AD53" s="574" t="s">
        <v>1402</v>
      </c>
      <c r="AE53" s="1868"/>
      <c r="AF53" s="1868"/>
      <c r="AG53" s="1868"/>
      <c r="AH53" s="1868"/>
      <c r="AI53" s="1868"/>
      <c r="AJ53" s="1868"/>
      <c r="AK53" s="1868"/>
      <c r="AL53" s="1868"/>
      <c r="AM53" s="1868"/>
      <c r="AN53" s="1868"/>
      <c r="AO53" s="1868"/>
      <c r="AP53" s="1868"/>
      <c r="AQ53" s="1868"/>
      <c r="AR53" s="1868"/>
      <c r="AS53" s="1868"/>
      <c r="AT53" s="1868"/>
      <c r="AU53" s="1868"/>
      <c r="AV53" s="1868"/>
      <c r="AW53" s="1868"/>
      <c r="AX53" s="1868"/>
      <c r="AY53" s="73"/>
      <c r="AZ53" s="73"/>
      <c r="BA53" s="73"/>
      <c r="BD53" s="1235" t="s">
        <v>1793</v>
      </c>
      <c r="BI53" s="1271"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42" customFormat="1" customHeight="1" ht="16.5">
      <c r="A54" s="220"/>
      <c r="B54" s="220"/>
      <c r="C54" s="1305"/>
      <c r="D54" s="1319"/>
      <c r="E54" s="797">
        <v>17.1</v>
      </c>
      <c r="F54" s="739" cm="1" t="str">
        <f t="array" ref="F54:F54">X54</f>
        <v>1</v>
      </c>
      <c r="G54" s="739" cm="1" t="str">
        <f t="array" ref="G54:G54">INDEX('Общие сведения'!$AK$169:$AK$202,MATCH($F54,'Общие сведения'!$Z$169:$Z$202,0))</f>
        <v>одноставочный</v>
      </c>
      <c r="H54" s="220"/>
      <c r="I54" s="213" cm="1" t="str">
        <f t="array" ref="I54:I54">INDEX('Общие сведения'!$AE$169:$AE$202,MATCH($F54,'Общие сведения'!$Z$169:$Z$202,0))</f>
        <v>Теплоснабжение</v>
      </c>
      <c r="J54" s="220"/>
      <c r="K54" s="213"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9"/>
      <c r="M54" s="1299"/>
      <c r="N54" s="1299"/>
      <c r="O54" s="1299"/>
      <c r="P54" s="1299"/>
      <c r="Q54" s="1295"/>
      <c r="R54" s="1295"/>
      <c r="S54" s="1299"/>
      <c r="T54" s="808">
        <f>AND(F54&gt;0,OR(ISBLANK(Y54),Y54&gt;0))</f>
        <v>1</v>
      </c>
      <c r="U54" s="220"/>
      <c r="V54" s="175" cm="1" t="str">
        <f t="array" ref="V54:V54">'Базовый уровень (МСА)'!$AB$51</f>
        <v>Тариф 1 (Теплоснабжение) - Тариф на тепловую энергию (мощность), поставляемую потребителям (Не определено)</v>
      </c>
      <c r="W54" s="220"/>
      <c r="X54" s="1557" t="s">
        <v>336</v>
      </c>
      <c r="Y54" s="220"/>
      <c r="Z54" s="220"/>
      <c r="AA54" s="220"/>
      <c r="AB54" s="330"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1"/>
      <c r="AD54" s="331"/>
      <c r="AE54" s="331"/>
      <c r="AF54" s="331"/>
      <c r="AG54" s="331"/>
      <c r="AH54" s="331"/>
      <c r="AI54" s="331"/>
      <c r="AJ54" s="331"/>
      <c r="AK54" s="331"/>
      <c r="AL54" s="331"/>
      <c r="AM54" s="331"/>
      <c r="AN54" s="331"/>
      <c r="AO54" s="331"/>
      <c r="AP54" s="331"/>
      <c r="AQ54" s="331"/>
      <c r="AR54" s="331"/>
      <c r="AS54" s="331"/>
      <c r="AT54" s="331"/>
      <c r="AU54" s="331"/>
      <c r="AV54" s="331"/>
      <c r="AW54" s="331"/>
      <c r="AX54" s="331"/>
      <c r="AY54" s="331"/>
      <c r="AZ54" s="331"/>
      <c r="BA54" s="331"/>
      <c r="BB54" s="220"/>
      <c r="BC54" s="220"/>
      <c r="BD54" s="1184"/>
      <c r="BE54" s="1184"/>
      <c r="BF54" s="1184"/>
      <c r="BG54" s="1187"/>
      <c r="BH54" s="1187"/>
      <c r="BI54" s="1283"/>
    </row>
    <row s="1632" customFormat="1" customHeight="1" ht="16.5">
      <c r="A55" s="1186"/>
      <c r="B55" s="927"/>
      <c r="C55" s="1301" t="s">
        <v>1695</v>
      </c>
      <c r="D55" s="1320" t="s">
        <v>1696</v>
      </c>
      <c r="E55" s="797">
        <v>17</v>
      </c>
      <c r="F55" s="739" cm="1" t="str">
        <f t="array" ref="F55:F55">OFFSET(G55,-1,-1)</f>
        <v>1</v>
      </c>
      <c r="G55" s="230"/>
      <c r="H55" s="230"/>
      <c r="I55" s="230"/>
      <c r="J55" s="230"/>
      <c r="K55" s="230"/>
      <c r="L55" s="1287"/>
      <c r="M55" s="1287" cm="1" t="str">
        <f t="array" ref="M55:M55">INDEX('Общие сведения'!$N$169:$N$202,MATCH($F54,'Общие сведения'!$Z$169:$Z$202,0)+1)</f>
        <v>ТЭ.42.28873685.0002</v>
      </c>
      <c r="N55" s="1287" t="s">
        <v>1999</v>
      </c>
      <c r="O55" s="1287"/>
      <c r="P55" s="1287"/>
      <c r="Q55" s="1289"/>
      <c r="R55" s="1289"/>
      <c r="S55" s="1287"/>
      <c r="T55" s="808">
        <f>AND(F55&gt;0,OR(ISBLANK(Y55),Y55&gt;0))</f>
        <v>1</v>
      </c>
      <c r="U55" s="1582"/>
      <c r="V55" s="1582"/>
      <c r="W55" s="1582"/>
      <c r="X55" s="1582"/>
      <c r="Y55" s="1582"/>
      <c r="Z55" s="1582"/>
      <c r="AA55" s="230"/>
      <c r="AB55" s="173">
        <v>1</v>
      </c>
      <c r="AC55" s="627" t="s">
        <v>2000</v>
      </c>
      <c r="AD55" s="558" t="s">
        <v>1402</v>
      </c>
      <c r="AE55" s="1868">
        <f>AE56+AE62+AE72</f>
        <v>0</v>
      </c>
      <c r="AF55" s="1868">
        <f>AF56+AF62+AF72</f>
        <v>0</v>
      </c>
      <c r="AG55" s="1868">
        <f>AG56+AG62+AG72</f>
        <v>0</v>
      </c>
      <c r="AH55" s="1868">
        <f>AH56+AH62+AH72</f>
        <v>0</v>
      </c>
      <c r="AI55" s="1868">
        <f>AI56+AI62+AI72</f>
        <v>0</v>
      </c>
      <c r="AJ55" s="1868">
        <f>AJ56+AJ62+AJ72</f>
        <v>0</v>
      </c>
      <c r="AK55" s="1868">
        <f>AK56+AK62+AK72</f>
        <v>0</v>
      </c>
      <c r="AL55" s="1868">
        <f>AL56+AL62+AL72</f>
        <v>0</v>
      </c>
      <c r="AM55" s="1868">
        <f>AM56+AM62+AM72</f>
        <v>0</v>
      </c>
      <c r="AN55" s="1868">
        <f>AN56+AN62+AN72</f>
        <v>0</v>
      </c>
      <c r="AO55" s="1868">
        <f>AO56+AO62+AO72</f>
        <v>0</v>
      </c>
      <c r="AP55" s="1868">
        <f>AP56+AP62+AP72</f>
        <v>0</v>
      </c>
      <c r="AQ55" s="1868">
        <f>AQ56+AQ62+AQ72</f>
        <v>0</v>
      </c>
      <c r="AR55" s="1868">
        <f>AR56+AR62+AR72</f>
        <v>0</v>
      </c>
      <c r="AS55" s="1868">
        <f>AS56+AS62+AS72</f>
        <v>0</v>
      </c>
      <c r="AT55" s="1868">
        <f>AT56+AT62+AT72</f>
        <v>0</v>
      </c>
      <c r="AU55" s="1868">
        <f>AU56+AU62+AU72</f>
        <v>0</v>
      </c>
      <c r="AV55" s="1868">
        <f>AV56+AV62+AV72</f>
        <v>0</v>
      </c>
      <c r="AW55" s="1868">
        <f>AW56+AW62+AW72</f>
        <v>0</v>
      </c>
      <c r="AX55" s="1868">
        <f>AX56+AX62+AX72</f>
        <v>0</v>
      </c>
      <c r="AY55" s="1719"/>
      <c r="AZ55" s="1719"/>
      <c r="BA55" s="1719"/>
      <c r="BB55" s="230"/>
      <c r="BC55" s="230"/>
      <c r="BD55" s="1235" t="s">
        <v>2001</v>
      </c>
      <c r="BE55" s="1235"/>
      <c r="BF55" s="1235"/>
      <c r="BG55" s="1236"/>
      <c r="BH55" s="1236"/>
      <c r="BI55" s="1271"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M10655::ТЭ.42.28873685.0002::Неопределено::110.0.36.::Неопределено::Неопределено::Неопределено::Неопределено::Неопределено</v>
      </c>
    </row>
    <row s="1632" customFormat="1" customHeight="1" ht="16.5">
      <c r="A56" s="1186"/>
      <c r="B56" s="927"/>
      <c r="C56" s="1301" t="s">
        <v>1695</v>
      </c>
      <c r="D56" s="1320" t="s">
        <v>1696</v>
      </c>
      <c r="E56" s="797">
        <v>17</v>
      </c>
      <c r="F56" s="739" cm="1" t="str">
        <f t="array" ref="F56:F56">OFFSET(G56,-1,-1)</f>
        <v>1</v>
      </c>
      <c r="G56" s="230"/>
      <c r="H56" s="230"/>
      <c r="I56" s="230"/>
      <c r="J56" s="230"/>
      <c r="K56" s="230"/>
      <c r="L56" s="1287"/>
      <c r="M56" s="1287" cm="1" t="str">
        <f t="array" ref="M56:M56">OFFSET(L56,-1,1)</f>
        <v>ТЭ.42.28873685.0002</v>
      </c>
      <c r="N56" s="1287" t="s">
        <v>1999</v>
      </c>
      <c r="O56" s="1287" t="s">
        <v>1772</v>
      </c>
      <c r="P56" s="1287"/>
      <c r="Q56" s="1289"/>
      <c r="R56" s="1289"/>
      <c r="S56" s="1287"/>
      <c r="T56" s="808">
        <f>AND(F56&gt;0,OR(ISBLANK(Y56),Y56&gt;0))</f>
        <v>1</v>
      </c>
      <c r="U56" s="1582"/>
      <c r="V56" s="1582"/>
      <c r="W56" s="1582"/>
      <c r="X56" s="1582"/>
      <c r="Y56" s="1582"/>
      <c r="Z56" s="1582"/>
      <c r="AA56" s="230"/>
      <c r="AB56" s="173" t="s">
        <v>449</v>
      </c>
      <c r="AC56" s="1034" t="s">
        <v>2002</v>
      </c>
      <c r="AD56" s="558" t="s">
        <v>1402</v>
      </c>
      <c r="AE56" s="1868">
        <f>AE57+AE61</f>
        <v>0</v>
      </c>
      <c r="AF56" s="1868">
        <f>AF57+AF61</f>
        <v>0</v>
      </c>
      <c r="AG56" s="1868">
        <f>AG57+AG61</f>
        <v>0</v>
      </c>
      <c r="AH56" s="1868">
        <f>AH57+AH61</f>
        <v>0</v>
      </c>
      <c r="AI56" s="1868">
        <f>AI57+AI61</f>
        <v>0</v>
      </c>
      <c r="AJ56" s="1868">
        <f>AJ57+AJ61</f>
        <v>0</v>
      </c>
      <c r="AK56" s="1868">
        <f>AK57+AK61</f>
        <v>0</v>
      </c>
      <c r="AL56" s="1868">
        <f>AL57+AL61</f>
        <v>0</v>
      </c>
      <c r="AM56" s="1868">
        <f>AM57+AM61</f>
        <v>0</v>
      </c>
      <c r="AN56" s="1868">
        <f>AN57+AN61</f>
        <v>0</v>
      </c>
      <c r="AO56" s="1868">
        <f>AO57+AO61</f>
        <v>0</v>
      </c>
      <c r="AP56" s="1868">
        <f>AP57+AP61</f>
        <v>0</v>
      </c>
      <c r="AQ56" s="1868">
        <f>AQ57+AQ61</f>
        <v>0</v>
      </c>
      <c r="AR56" s="1868">
        <f>AR57+AR61</f>
        <v>0</v>
      </c>
      <c r="AS56" s="1868">
        <f>AS57+AS61</f>
        <v>0</v>
      </c>
      <c r="AT56" s="1868">
        <f>AT57+AT61</f>
        <v>0</v>
      </c>
      <c r="AU56" s="1868">
        <f>AU57+AU61</f>
        <v>0</v>
      </c>
      <c r="AV56" s="1868">
        <f>AV57+AV61</f>
        <v>0</v>
      </c>
      <c r="AW56" s="1868">
        <f>AW57+AW61</f>
        <v>0</v>
      </c>
      <c r="AX56" s="1868">
        <f>AX57+AX61</f>
        <v>0</v>
      </c>
      <c r="AY56" s="1719"/>
      <c r="AZ56" s="1719"/>
      <c r="BA56" s="1719"/>
      <c r="BB56" s="230"/>
      <c r="BC56" s="230"/>
      <c r="BD56" s="1235" t="s">
        <v>2003</v>
      </c>
      <c r="BE56" s="1235"/>
      <c r="BF56" s="1235"/>
      <c r="BG56" s="1236"/>
      <c r="BH56" s="1236"/>
      <c r="BI56" s="1271"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M10655::ТЭ.42.28873685.0002::Неопределено::110.0.36.::90.0.0.::Неопределено::Неопределено::Неопределено::Неопределено</v>
      </c>
    </row>
    <row s="1632" customFormat="1" customHeight="1" ht="16.5">
      <c r="A57" s="1186"/>
      <c r="B57" s="927"/>
      <c r="C57" s="1301" t="s">
        <v>1695</v>
      </c>
      <c r="D57" s="1320" t="s">
        <v>1696</v>
      </c>
      <c r="E57" s="797">
        <v>17</v>
      </c>
      <c r="F57" s="739" cm="1" t="str">
        <f t="array" ref="F57:F57">OFFSET(G57,-1,-1)</f>
        <v>1</v>
      </c>
      <c r="G57" s="230"/>
      <c r="H57" s="230"/>
      <c r="I57" s="230"/>
      <c r="J57" s="230"/>
      <c r="K57" s="230"/>
      <c r="L57" s="1287"/>
      <c r="M57" s="1287" cm="1" t="str">
        <f t="array" ref="M57:M57">OFFSET(L57,-1,1)</f>
        <v>ТЭ.42.28873685.0002</v>
      </c>
      <c r="N57" s="1287" t="s">
        <v>1999</v>
      </c>
      <c r="O57" s="1287" t="s">
        <v>1772</v>
      </c>
      <c r="P57" s="1287" t="s">
        <v>2004</v>
      </c>
      <c r="Q57" s="1289"/>
      <c r="R57" s="1289"/>
      <c r="S57" s="1287"/>
      <c r="T57" s="808">
        <f>AND(F57&gt;0,OR(ISBLANK(Y57),Y57&gt;0))</f>
        <v>1</v>
      </c>
      <c r="U57" s="1582"/>
      <c r="V57" s="1582"/>
      <c r="W57" s="1582"/>
      <c r="X57" s="1582"/>
      <c r="Y57" s="1582"/>
      <c r="Z57" s="1582"/>
      <c r="AA57" s="230"/>
      <c r="AB57" s="580" t="s">
        <v>1156</v>
      </c>
      <c r="AC57" s="562" t="s">
        <v>2005</v>
      </c>
      <c r="AD57" s="1016" t="s">
        <v>1402</v>
      </c>
      <c r="AE57" s="1868"/>
      <c r="AF57" s="1868"/>
      <c r="AG57" s="1868"/>
      <c r="AH57" s="1868"/>
      <c r="AI57" s="1868"/>
      <c r="AJ57" s="1868"/>
      <c r="AK57" s="1868"/>
      <c r="AL57" s="1868"/>
      <c r="AM57" s="1868"/>
      <c r="AN57" s="1868"/>
      <c r="AO57" s="1868"/>
      <c r="AP57" s="1868"/>
      <c r="AQ57" s="1868"/>
      <c r="AR57" s="1868"/>
      <c r="AS57" s="1868"/>
      <c r="AT57" s="1868"/>
      <c r="AU57" s="1868"/>
      <c r="AV57" s="1868"/>
      <c r="AW57" s="1868"/>
      <c r="AX57" s="1868"/>
      <c r="AY57" s="1719"/>
      <c r="AZ57" s="1719"/>
      <c r="BA57" s="1719"/>
      <c r="BB57" s="230"/>
      <c r="BC57" s="230"/>
      <c r="BD57" s="1235" t="s">
        <v>2006</v>
      </c>
      <c r="BE57" s="1235"/>
      <c r="BF57" s="1235"/>
      <c r="BG57" s="1236"/>
      <c r="BH57" s="1236"/>
      <c r="BI57" s="1271"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M10655::ТЭ.42.28873685.0002::Неопределено::110.0.36.::90.0.0.::33.0.8.::Неопределено::Неопределено::Неопределено</v>
      </c>
    </row>
    <row s="1632" customFormat="1" customHeight="1" ht="16.5">
      <c r="A58" s="1186"/>
      <c r="B58" s="927"/>
      <c r="C58" s="1301" t="s">
        <v>1695</v>
      </c>
      <c r="D58" s="1320" t="s">
        <v>1696</v>
      </c>
      <c r="E58" s="797">
        <v>17</v>
      </c>
      <c r="F58" s="739" cm="1" t="str">
        <f t="array" ref="F58:F58">OFFSET(G58,-1,-1)</f>
        <v>1</v>
      </c>
      <c r="G58" s="230"/>
      <c r="H58" s="230"/>
      <c r="I58" s="230"/>
      <c r="J58" s="230"/>
      <c r="K58" s="230"/>
      <c r="L58" s="1287"/>
      <c r="M58" s="1287" cm="1" t="str">
        <f t="array" ref="M58:M58">OFFSET(L58,-1,1)</f>
        <v>ТЭ.42.28873685.0002</v>
      </c>
      <c r="N58" s="1287" t="s">
        <v>1999</v>
      </c>
      <c r="O58" s="1287" t="s">
        <v>1772</v>
      </c>
      <c r="P58" s="1287" t="s">
        <v>2004</v>
      </c>
      <c r="Q58" s="1289"/>
      <c r="R58" s="1289" t="s">
        <v>2007</v>
      </c>
      <c r="S58" s="1287"/>
      <c r="T58" s="808">
        <f>AND(F58&gt;0,OR(ISBLANK(Y58),Y58&gt;0))</f>
        <v>1</v>
      </c>
      <c r="U58" s="1582"/>
      <c r="V58" s="1582"/>
      <c r="W58" s="1582"/>
      <c r="X58" s="1582"/>
      <c r="Y58" s="1582"/>
      <c r="Z58" s="1582"/>
      <c r="AA58" s="230"/>
      <c r="AB58" s="580" t="s">
        <v>2008</v>
      </c>
      <c r="AC58" s="590" t="s">
        <v>2009</v>
      </c>
      <c r="AD58" s="1016" t="s">
        <v>1402</v>
      </c>
      <c r="AE58" s="1868"/>
      <c r="AF58" s="1868"/>
      <c r="AG58" s="1868"/>
      <c r="AH58" s="1868"/>
      <c r="AI58" s="1868"/>
      <c r="AJ58" s="1868"/>
      <c r="AK58" s="1868"/>
      <c r="AL58" s="1868"/>
      <c r="AM58" s="1868"/>
      <c r="AN58" s="1868"/>
      <c r="AO58" s="1868"/>
      <c r="AP58" s="1868"/>
      <c r="AQ58" s="1868"/>
      <c r="AR58" s="1868"/>
      <c r="AS58" s="1868"/>
      <c r="AT58" s="1868"/>
      <c r="AU58" s="1868"/>
      <c r="AV58" s="1868"/>
      <c r="AW58" s="1868"/>
      <c r="AX58" s="1868"/>
      <c r="AY58" s="1719"/>
      <c r="AZ58" s="1719"/>
      <c r="BA58" s="1719"/>
      <c r="BB58" s="230"/>
      <c r="BC58" s="230"/>
      <c r="BD58" s="1235" t="s">
        <v>2010</v>
      </c>
      <c r="BE58" s="1235"/>
      <c r="BF58" s="1235"/>
      <c r="BG58" s="1236"/>
      <c r="BH58" s="1236"/>
      <c r="BI58" s="1271"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M10655::ТЭ.42.28873685.0002::Неопределено::110.0.36.::90.0.0.::33.0.8.::Неопределено::22.0.10.::Неопределено</v>
      </c>
    </row>
    <row s="1632" customFormat="1" customHeight="1" ht="33.75">
      <c r="A59" s="1186"/>
      <c r="B59" s="927"/>
      <c r="C59" s="1301" t="s">
        <v>1695</v>
      </c>
      <c r="D59" s="1320" t="s">
        <v>1696</v>
      </c>
      <c r="E59" s="797">
        <v>35</v>
      </c>
      <c r="F59" s="739" cm="1" t="str">
        <f t="array" ref="F59:F59">OFFSET(G59,-1,-1)</f>
        <v>1</v>
      </c>
      <c r="G59" s="230"/>
      <c r="H59" s="230"/>
      <c r="I59" s="230"/>
      <c r="J59" s="230"/>
      <c r="K59" s="230"/>
      <c r="L59" s="1287"/>
      <c r="M59" s="1287" cm="1" t="str">
        <f t="array" ref="M59:M59">OFFSET(L59,-1,1)</f>
        <v>ТЭ.42.28873685.0002</v>
      </c>
      <c r="N59" s="1287" t="s">
        <v>1999</v>
      </c>
      <c r="O59" s="1287" t="s">
        <v>1772</v>
      </c>
      <c r="P59" s="1287" t="s">
        <v>2004</v>
      </c>
      <c r="Q59" s="1289" t="s">
        <v>2011</v>
      </c>
      <c r="R59" s="1289"/>
      <c r="S59" s="1287"/>
      <c r="T59" s="808">
        <f>AND(F59&gt;0,OR(ISBLANK(Y59),Y59&gt;0))</f>
        <v>1</v>
      </c>
      <c r="U59" s="1582"/>
      <c r="V59" s="1582"/>
      <c r="W59" s="1582"/>
      <c r="X59" s="1582"/>
      <c r="Y59" s="1582"/>
      <c r="Z59" s="1582"/>
      <c r="AA59" s="230"/>
      <c r="AB59" s="580" t="s">
        <v>2012</v>
      </c>
      <c r="AC59" s="581" t="s">
        <v>2013</v>
      </c>
      <c r="AD59" s="1016" t="s">
        <v>1402</v>
      </c>
      <c r="AE59" s="1868"/>
      <c r="AF59" s="1868"/>
      <c r="AG59" s="1868"/>
      <c r="AH59" s="1868"/>
      <c r="AI59" s="1868"/>
      <c r="AJ59" s="1868"/>
      <c r="AK59" s="1868"/>
      <c r="AL59" s="1868"/>
      <c r="AM59" s="1868"/>
      <c r="AN59" s="1868"/>
      <c r="AO59" s="1868"/>
      <c r="AP59" s="1868"/>
      <c r="AQ59" s="1868"/>
      <c r="AR59" s="1868"/>
      <c r="AS59" s="1868"/>
      <c r="AT59" s="1868"/>
      <c r="AU59" s="1868"/>
      <c r="AV59" s="1868"/>
      <c r="AW59" s="1868"/>
      <c r="AX59" s="1868"/>
      <c r="AY59" s="1719"/>
      <c r="AZ59" s="1719"/>
      <c r="BA59" s="1719"/>
      <c r="BB59" s="230"/>
      <c r="BC59" s="230"/>
      <c r="BD59" s="1235" t="s">
        <v>2014</v>
      </c>
      <c r="BE59" s="1235"/>
      <c r="BF59" s="1235"/>
      <c r="BG59" s="1236"/>
      <c r="BH59" s="1236"/>
      <c r="BI59" s="1271"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M10655::ТЭ.42.28873685.0002::Неопределено::110.0.36.::90.0.0.::33.0.8.::147.0.5.::Неопределено::Неопределено</v>
      </c>
    </row>
    <row s="1632" customFormat="1" customHeight="1" ht="16.5">
      <c r="A60" s="1186"/>
      <c r="B60" s="927"/>
      <c r="C60" s="1301" t="s">
        <v>1695</v>
      </c>
      <c r="D60" s="1320" t="s">
        <v>1696</v>
      </c>
      <c r="E60" s="797">
        <v>17</v>
      </c>
      <c r="F60" s="739" cm="1" t="str">
        <f t="array" ref="F60:F60">OFFSET(G60,-1,-1)</f>
        <v>1</v>
      </c>
      <c r="G60" s="230"/>
      <c r="H60" s="230"/>
      <c r="I60" s="230"/>
      <c r="J60" s="230"/>
      <c r="K60" s="230"/>
      <c r="L60" s="1287"/>
      <c r="M60" s="1287" cm="1" t="str">
        <f t="array" ref="M60:M60">OFFSET(L60,-1,1)</f>
        <v>ТЭ.42.28873685.0002</v>
      </c>
      <c r="N60" s="1287" t="s">
        <v>1999</v>
      </c>
      <c r="O60" s="1287" t="s">
        <v>1772</v>
      </c>
      <c r="P60" s="1287" t="s">
        <v>2004</v>
      </c>
      <c r="Q60" s="1289" t="s">
        <v>2015</v>
      </c>
      <c r="R60" s="1289"/>
      <c r="S60" s="1287"/>
      <c r="T60" s="808">
        <f>AND(F60&gt;0,OR(ISBLANK(Y60),Y60&gt;0))</f>
        <v>1</v>
      </c>
      <c r="U60" s="1582"/>
      <c r="V60" s="1582"/>
      <c r="W60" s="1582"/>
      <c r="X60" s="1582"/>
      <c r="Y60" s="1582"/>
      <c r="Z60" s="1582"/>
      <c r="AA60" s="230"/>
      <c r="AB60" s="580" t="s">
        <v>2016</v>
      </c>
      <c r="AC60" s="581" t="s">
        <v>2017</v>
      </c>
      <c r="AD60" s="1016" t="s">
        <v>1402</v>
      </c>
      <c r="AE60" s="1868"/>
      <c r="AF60" s="1868"/>
      <c r="AG60" s="1868"/>
      <c r="AH60" s="1868"/>
      <c r="AI60" s="1868"/>
      <c r="AJ60" s="1868"/>
      <c r="AK60" s="1868"/>
      <c r="AL60" s="1868"/>
      <c r="AM60" s="1868"/>
      <c r="AN60" s="1868"/>
      <c r="AO60" s="1868"/>
      <c r="AP60" s="1868"/>
      <c r="AQ60" s="1868"/>
      <c r="AR60" s="1868"/>
      <c r="AS60" s="1868"/>
      <c r="AT60" s="1868"/>
      <c r="AU60" s="1868"/>
      <c r="AV60" s="1868"/>
      <c r="AW60" s="1868"/>
      <c r="AX60" s="1868"/>
      <c r="AY60" s="1719"/>
      <c r="AZ60" s="1719"/>
      <c r="BA60" s="1719"/>
      <c r="BB60" s="230"/>
      <c r="BC60" s="230"/>
      <c r="BD60" s="1235" t="s">
        <v>2018</v>
      </c>
      <c r="BE60" s="1235"/>
      <c r="BF60" s="1235"/>
      <c r="BG60" s="1236"/>
      <c r="BH60" s="1236"/>
      <c r="BI60" s="1271"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M10655::ТЭ.42.28873685.0002::Неопределено::110.0.36.::90.0.0.::33.0.8.::147.0.1.::Неопределено::Неопределено</v>
      </c>
    </row>
    <row s="1632" customFormat="1" customHeight="1" ht="16.5">
      <c r="A61" s="1186"/>
      <c r="B61" s="927"/>
      <c r="C61" s="1301" t="s">
        <v>1695</v>
      </c>
      <c r="D61" s="1320" t="s">
        <v>1696</v>
      </c>
      <c r="E61" s="797">
        <v>17</v>
      </c>
      <c r="F61" s="739" cm="1" t="str">
        <f t="array" ref="F61:F61">OFFSET(G61,-1,-1)</f>
        <v>1</v>
      </c>
      <c r="G61" s="230"/>
      <c r="H61" s="230"/>
      <c r="I61" s="230"/>
      <c r="J61" s="230"/>
      <c r="K61" s="230"/>
      <c r="L61" s="1287"/>
      <c r="M61" s="1287" cm="1" t="str">
        <f t="array" ref="M61:M61">OFFSET(L61,-1,1)</f>
        <v>ТЭ.42.28873685.0002</v>
      </c>
      <c r="N61" s="1287" t="s">
        <v>1999</v>
      </c>
      <c r="O61" s="1287" t="s">
        <v>1772</v>
      </c>
      <c r="P61" s="1287" t="s">
        <v>2019</v>
      </c>
      <c r="Q61" s="1289"/>
      <c r="R61" s="1289"/>
      <c r="S61" s="1287"/>
      <c r="T61" s="808">
        <f>AND(F61&gt;0,OR(ISBLANK(Y61),Y61&gt;0))</f>
        <v>1</v>
      </c>
      <c r="U61" s="1582"/>
      <c r="V61" s="1582"/>
      <c r="W61" s="1582"/>
      <c r="X61" s="1582"/>
      <c r="Y61" s="1582"/>
      <c r="Z61" s="1582"/>
      <c r="AA61" s="230"/>
      <c r="AB61" s="1120" t="s">
        <v>1160</v>
      </c>
      <c r="AC61" s="562" t="s">
        <v>2020</v>
      </c>
      <c r="AD61" s="1016" t="s">
        <v>1402</v>
      </c>
      <c r="AE61" s="1868"/>
      <c r="AF61" s="1868"/>
      <c r="AG61" s="1868"/>
      <c r="AH61" s="1868"/>
      <c r="AI61" s="1868"/>
      <c r="AJ61" s="1868"/>
      <c r="AK61" s="1868"/>
      <c r="AL61" s="1868"/>
      <c r="AM61" s="1868"/>
      <c r="AN61" s="1868"/>
      <c r="AO61" s="1868"/>
      <c r="AP61" s="1868"/>
      <c r="AQ61" s="1868"/>
      <c r="AR61" s="1868"/>
      <c r="AS61" s="1868"/>
      <c r="AT61" s="1868"/>
      <c r="AU61" s="1868"/>
      <c r="AV61" s="1868"/>
      <c r="AW61" s="1868"/>
      <c r="AX61" s="1868"/>
      <c r="AY61" s="1719"/>
      <c r="AZ61" s="1719"/>
      <c r="BA61" s="1719"/>
      <c r="BB61" s="230"/>
      <c r="BC61" s="230"/>
      <c r="BD61" s="1235" t="s">
        <v>2021</v>
      </c>
      <c r="BE61" s="1235"/>
      <c r="BF61" s="1235"/>
      <c r="BG61" s="1236"/>
      <c r="BH61" s="1236"/>
      <c r="BI61" s="1271"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M10655::ТЭ.42.28873685.0002::Неопределено::110.0.36.::90.0.0.::33.0.2.::Неопределено::Неопределено::Неопределено</v>
      </c>
    </row>
    <row s="1632" customFormat="1" customHeight="1" ht="33.75">
      <c r="A62" s="1186"/>
      <c r="B62" s="927"/>
      <c r="C62" s="1301" t="s">
        <v>1695</v>
      </c>
      <c r="D62" s="1320" t="s">
        <v>1696</v>
      </c>
      <c r="E62" s="797">
        <v>35</v>
      </c>
      <c r="F62" s="739" cm="1" t="str">
        <f t="array" ref="F62:F62">OFFSET(G62,-1,-1)</f>
        <v>1</v>
      </c>
      <c r="G62" s="230"/>
      <c r="H62" s="230"/>
      <c r="I62" s="230"/>
      <c r="J62" s="230"/>
      <c r="K62" s="230"/>
      <c r="L62" s="1287"/>
      <c r="M62" s="1287" cm="1" t="str">
        <f t="array" ref="M62:M62">OFFSET(L62,-1,1)</f>
        <v>ТЭ.42.28873685.0002</v>
      </c>
      <c r="N62" s="1287" t="s">
        <v>1999</v>
      </c>
      <c r="O62" s="1287" t="s">
        <v>1772</v>
      </c>
      <c r="P62" s="1287" t="s">
        <v>2022</v>
      </c>
      <c r="Q62" s="1289"/>
      <c r="R62" s="1289"/>
      <c r="S62" s="1287"/>
      <c r="T62" s="808">
        <f>AND(F62&gt;0,OR(ISBLANK(Y62),Y62&gt;0))</f>
        <v>1</v>
      </c>
      <c r="U62" s="1582"/>
      <c r="V62" s="1582"/>
      <c r="W62" s="1582"/>
      <c r="X62" s="1582"/>
      <c r="Y62" s="1582"/>
      <c r="Z62" s="1582"/>
      <c r="AA62" s="230"/>
      <c r="AB62" s="580" t="s">
        <v>935</v>
      </c>
      <c r="AC62" s="164" t="s">
        <v>2023</v>
      </c>
      <c r="AD62" s="1016" t="s">
        <v>1402</v>
      </c>
      <c r="AE62" s="1868">
        <f>AE63+AE66+AE69</f>
        <v>0</v>
      </c>
      <c r="AF62" s="1868">
        <f>AF63+AF66+AF69</f>
        <v>0</v>
      </c>
      <c r="AG62" s="1868">
        <f>AG63+AG66+AG69</f>
        <v>0</v>
      </c>
      <c r="AH62" s="1868">
        <f>AH63+AH66+AH69</f>
        <v>0</v>
      </c>
      <c r="AI62" s="1868">
        <f>AI63+AI66+AI69</f>
        <v>0</v>
      </c>
      <c r="AJ62" s="1868">
        <f>AJ63+AJ66+AJ69</f>
        <v>0</v>
      </c>
      <c r="AK62" s="1868">
        <f>AK63+AK66+AK69</f>
        <v>0</v>
      </c>
      <c r="AL62" s="1868">
        <f>AL63+AL66+AL69</f>
        <v>0</v>
      </c>
      <c r="AM62" s="1868">
        <f>AM63+AM66+AM69</f>
        <v>0</v>
      </c>
      <c r="AN62" s="1868">
        <f>AN63+AN66+AN69</f>
        <v>0</v>
      </c>
      <c r="AO62" s="1868">
        <f>AO63+AO66+AO69</f>
        <v>0</v>
      </c>
      <c r="AP62" s="1868">
        <f>AP63+AP66+AP69</f>
        <v>0</v>
      </c>
      <c r="AQ62" s="1868">
        <f>AQ63+AQ66+AQ69</f>
        <v>0</v>
      </c>
      <c r="AR62" s="1868">
        <f>AR63+AR66+AR69</f>
        <v>0</v>
      </c>
      <c r="AS62" s="1868">
        <f>AS63+AS66+AS69</f>
        <v>0</v>
      </c>
      <c r="AT62" s="1868">
        <f>AT63+AT66+AT69</f>
        <v>0</v>
      </c>
      <c r="AU62" s="1868">
        <f>AU63+AU66+AU69</f>
        <v>0</v>
      </c>
      <c r="AV62" s="1868">
        <f>AV63+AV66+AV69</f>
        <v>0</v>
      </c>
      <c r="AW62" s="1868">
        <f>AW63+AW66+AW69</f>
        <v>0</v>
      </c>
      <c r="AX62" s="1868">
        <f>AX63+AX66+AX69</f>
        <v>0</v>
      </c>
      <c r="AY62" s="1719"/>
      <c r="AZ62" s="1719"/>
      <c r="BA62" s="1719"/>
      <c r="BB62" s="230"/>
      <c r="BC62" s="230"/>
      <c r="BD62" s="1235" t="s">
        <v>2024</v>
      </c>
      <c r="BE62" s="1235"/>
      <c r="BF62" s="1235"/>
      <c r="BG62" s="1236"/>
      <c r="BH62" s="1236"/>
      <c r="BI62" s="1271"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M10655::ТЭ.42.28873685.0002::Неопределено::110.0.36.::90.0.0.::33.0.4.::Неопределено::Неопределено::Неопределено</v>
      </c>
    </row>
    <row s="1632" customFormat="1" customHeight="1" ht="16.5">
      <c r="A63" s="1186"/>
      <c r="B63" s="927"/>
      <c r="C63" s="1301" t="s">
        <v>1695</v>
      </c>
      <c r="D63" s="1320" t="s">
        <v>1696</v>
      </c>
      <c r="E63" s="797">
        <v>17</v>
      </c>
      <c r="F63" s="739" cm="1" t="str">
        <f t="array" ref="F63:F63">OFFSET(G63,-1,-1)</f>
        <v>1</v>
      </c>
      <c r="G63" s="230"/>
      <c r="H63" s="230"/>
      <c r="I63" s="230"/>
      <c r="J63" s="230"/>
      <c r="K63" s="230"/>
      <c r="L63" s="1341"/>
      <c r="M63" s="1287" cm="1" t="str">
        <f t="array" ref="M63:M63">OFFSET(L63,-1,1)</f>
        <v>ТЭ.42.28873685.0002</v>
      </c>
      <c r="N63" s="1287" t="s">
        <v>1999</v>
      </c>
      <c r="O63" s="1341" t="s">
        <v>1772</v>
      </c>
      <c r="P63" s="1341"/>
      <c r="Q63" s="1343"/>
      <c r="R63" s="1343" t="s">
        <v>2007</v>
      </c>
      <c r="S63" s="1341"/>
      <c r="T63" s="808">
        <f>AND(F63&gt;0,OR(ISBLANK(Y63),Y63&gt;0))</f>
        <v>1</v>
      </c>
      <c r="U63" s="1582"/>
      <c r="V63" s="1582"/>
      <c r="W63" s="1582"/>
      <c r="X63" s="1582"/>
      <c r="Y63" s="1582"/>
      <c r="Z63" s="1582"/>
      <c r="AA63" s="230"/>
      <c r="AB63" s="580" t="s">
        <v>2025</v>
      </c>
      <c r="AC63" s="562" t="s">
        <v>2009</v>
      </c>
      <c r="AD63" s="1016" t="s">
        <v>1402</v>
      </c>
      <c r="AE63" s="1868">
        <f>SUM(AE64:AE65)</f>
        <v>0</v>
      </c>
      <c r="AF63" s="1868">
        <f>SUM(AF64:AF65)</f>
        <v>0</v>
      </c>
      <c r="AG63" s="1868">
        <f>SUM(AG64:AG65)</f>
        <v>0</v>
      </c>
      <c r="AH63" s="1868">
        <f>SUM(AH64:AH65)</f>
        <v>0</v>
      </c>
      <c r="AI63" s="1868">
        <f>SUM(AI64:AI65)</f>
        <v>0</v>
      </c>
      <c r="AJ63" s="1868">
        <f>SUM(AJ64:AJ65)</f>
        <v>0</v>
      </c>
      <c r="AK63" s="1868">
        <f>SUM(AK64:AK65)</f>
        <v>0</v>
      </c>
      <c r="AL63" s="1868">
        <f>SUM(AL64:AL65)</f>
        <v>0</v>
      </c>
      <c r="AM63" s="1868">
        <f>SUM(AM64:AM65)</f>
        <v>0</v>
      </c>
      <c r="AN63" s="1868">
        <f>SUM(AN64:AN65)</f>
        <v>0</v>
      </c>
      <c r="AO63" s="1868">
        <f>SUM(AO64:AO65)</f>
        <v>0</v>
      </c>
      <c r="AP63" s="1868">
        <f>SUM(AP64:AP65)</f>
        <v>0</v>
      </c>
      <c r="AQ63" s="1868">
        <f>SUM(AQ64:AQ65)</f>
        <v>0</v>
      </c>
      <c r="AR63" s="1868">
        <f>SUM(AR64:AR65)</f>
        <v>0</v>
      </c>
      <c r="AS63" s="1868">
        <f>SUM(AS64:AS65)</f>
        <v>0</v>
      </c>
      <c r="AT63" s="1868">
        <f>SUM(AT64:AT65)</f>
        <v>0</v>
      </c>
      <c r="AU63" s="1868">
        <f>SUM(AU64:AU65)</f>
        <v>0</v>
      </c>
      <c r="AV63" s="1868">
        <f>SUM(AV64:AV65)</f>
        <v>0</v>
      </c>
      <c r="AW63" s="1868">
        <f>SUM(AW64:AW65)</f>
        <v>0</v>
      </c>
      <c r="AX63" s="1868">
        <f>SUM(AX64:AX65)</f>
        <v>0</v>
      </c>
      <c r="AY63" s="1719"/>
      <c r="AZ63" s="1719"/>
      <c r="BA63" s="1719"/>
      <c r="BB63" s="230"/>
      <c r="BC63" s="230"/>
      <c r="BD63" s="1235" t="s">
        <v>2026</v>
      </c>
      <c r="BE63" s="1235"/>
      <c r="BF63" s="1235"/>
      <c r="BG63" s="1236"/>
      <c r="BH63" s="1236"/>
      <c r="BI63" s="1271"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M10655::ТЭ.42.28873685.0002::Неопределено::110.0.36.::90.0.0.::Неопределено::Неопределено::22.0.10.::Неопределено</v>
      </c>
    </row>
    <row s="1632" customFormat="1" customHeight="1" ht="16.5" hidden="1">
      <c r="A64" s="1186"/>
      <c r="B64" s="927"/>
      <c r="C64" s="1301" t="s">
        <v>1695</v>
      </c>
      <c r="D64" s="1320" t="s">
        <v>1696</v>
      </c>
      <c r="E64" s="797">
        <v>17</v>
      </c>
      <c r="F64" s="739" cm="1" t="str">
        <f t="array" ref="F64:F64">OFFSET(G64,-1,-1)</f>
        <v>1</v>
      </c>
      <c r="G64" s="230"/>
      <c r="H64" s="230"/>
      <c r="I64" s="230"/>
      <c r="J64" s="230"/>
      <c r="K64" s="230"/>
      <c r="L64" s="1287" cm="1" t="str">
        <f t="array" ref="L64:L64">AC64</f>
        <v>0</v>
      </c>
      <c r="M64" s="1287" cm="1" t="str">
        <f t="array" ref="M64:M64">OFFSET(L64,-1,1)</f>
        <v>ТЭ.42.28873685.0002</v>
      </c>
      <c r="N64" s="1287"/>
      <c r="O64" s="1287"/>
      <c r="P64" s="1287"/>
      <c r="Q64" s="1289"/>
      <c r="R64" s="1289" t="s">
        <v>2007</v>
      </c>
      <c r="S64" s="1287"/>
      <c r="T64" s="808">
        <f>AND(F64&gt;0,OR(ISBLANK(Y64),Y64&gt;0))</f>
        <v>0</v>
      </c>
      <c r="U64" s="1582"/>
      <c r="V64" s="1582"/>
      <c r="W64" s="175" t="s">
        <v>234</v>
      </c>
      <c r="X64" s="1582"/>
      <c r="Y64" s="175">
        <v>0</v>
      </c>
      <c r="Z64" s="1582"/>
      <c r="AA64" s="917" t="s">
        <v>218</v>
      </c>
      <c r="AB64" s="580" t="str">
        <f>"1.2.1."&amp;Y64</f>
        <v>1.2.1.0</v>
      </c>
      <c r="AC64" s="146"/>
      <c r="AD64" s="1016" t="s">
        <v>1402</v>
      </c>
      <c r="AE64" s="1868"/>
      <c r="AF64" s="1868"/>
      <c r="AG64" s="1868"/>
      <c r="AH64" s="1868"/>
      <c r="AI64" s="1868"/>
      <c r="AJ64" s="1868"/>
      <c r="AK64" s="1868"/>
      <c r="AL64" s="1868"/>
      <c r="AM64" s="1868"/>
      <c r="AN64" s="1868"/>
      <c r="AO64" s="1868"/>
      <c r="AP64" s="1868"/>
      <c r="AQ64" s="1868"/>
      <c r="AR64" s="1868"/>
      <c r="AS64" s="1868"/>
      <c r="AT64" s="1868"/>
      <c r="AU64" s="1868"/>
      <c r="AV64" s="1868"/>
      <c r="AW64" s="1868"/>
      <c r="AX64" s="1868"/>
      <c r="AY64" s="73"/>
      <c r="AZ64" s="73"/>
      <c r="BA64" s="73"/>
      <c r="BB64" s="230"/>
      <c r="BC64" s="230"/>
      <c r="BD64" s="1235" t="s">
        <v>2026</v>
      </c>
      <c r="BE64" s="1235" t="s">
        <v>2027</v>
      </c>
      <c r="BF64" s="1235" cm="1" t="str">
        <f t="array" ref="BF64:BF64">AC64</f>
        <v>0</v>
      </c>
      <c r="BG64" s="1236"/>
      <c r="BH64" s="1236" t="b">
        <v>1</v>
      </c>
      <c r="BI64" s="1271"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M10655::ТЭ.42.28873685.0002::0::Неопределено::Неопределено::Неопределено::Неопределено::22.0.10.::Неопределено</v>
      </c>
    </row>
    <row s="1632" customFormat="1" customHeight="1" ht="16.5">
      <c r="A65" s="1186"/>
      <c r="B65" s="927"/>
      <c r="C65" s="1306"/>
      <c r="D65" s="1290"/>
      <c r="E65" s="797">
        <v>17</v>
      </c>
      <c r="F65" s="739" cm="1" t="str">
        <f t="array" ref="F65:F65">OFFSET(G65,-1,-1)</f>
        <v>1</v>
      </c>
      <c r="G65" s="230"/>
      <c r="H65" s="230"/>
      <c r="I65" s="230"/>
      <c r="J65" s="230"/>
      <c r="K65" s="230"/>
      <c r="L65" s="1333"/>
      <c r="M65" s="1287" cm="1" t="str">
        <f t="array" ref="M65:M65">OFFSET(L65,-1,1)</f>
        <v>ТЭ.42.28873685.0002</v>
      </c>
      <c r="N65" s="1333"/>
      <c r="O65" s="1333"/>
      <c r="P65" s="1333"/>
      <c r="Q65" s="1331"/>
      <c r="R65" s="1331"/>
      <c r="S65" s="1333"/>
      <c r="T65" s="808">
        <f>AND(F65&gt;0,OR(ISBLANK(Y65),Y65&gt;0))</f>
        <v>1</v>
      </c>
      <c r="U65" s="1582"/>
      <c r="V65" s="1582"/>
      <c r="W65" s="1019" t="s">
        <v>951</v>
      </c>
      <c r="X65" s="1582"/>
      <c r="Y65" s="1582"/>
      <c r="Z65" s="1582"/>
      <c r="AA65" s="230"/>
      <c r="AB65" s="302"/>
      <c r="AC65" s="735" t="s">
        <v>236</v>
      </c>
      <c r="AD65" s="303"/>
      <c r="AE65" s="303"/>
      <c r="AF65" s="303"/>
      <c r="AG65" s="303"/>
      <c r="AH65" s="303"/>
      <c r="AI65" s="303"/>
      <c r="AJ65" s="303"/>
      <c r="AK65" s="303"/>
      <c r="AL65" s="303"/>
      <c r="AM65" s="303"/>
      <c r="AN65" s="303"/>
      <c r="AO65" s="303"/>
      <c r="AP65" s="303"/>
      <c r="AQ65" s="303"/>
      <c r="AR65" s="303"/>
      <c r="AS65" s="303"/>
      <c r="AT65" s="303"/>
      <c r="AU65" s="303"/>
      <c r="AV65" s="303"/>
      <c r="AW65" s="303"/>
      <c r="AX65" s="303"/>
      <c r="AY65" s="303"/>
      <c r="AZ65" s="303"/>
      <c r="BA65" s="303"/>
      <c r="BB65" s="230"/>
      <c r="BC65" s="230"/>
      <c r="BD65" s="1235" t="str">
        <f>IF(AND(ISNUMBER(VALUE(TRIM(SUBSTITUTE(AB65,".","")))),TRIM(SUBSTITUTE(AB65,".",""))&lt;&gt;""),"P"&amp;SUBSTITUTE(AB65,".",""),"")</f>
        <v/>
      </c>
      <c r="BE65" s="1235"/>
      <c r="BF65" s="1235"/>
      <c r="BG65" s="1236" t="s">
        <v>2027</v>
      </c>
      <c r="BH65" s="1236"/>
      <c r="BI65" s="1333"/>
    </row>
    <row s="1632" customFormat="1" customHeight="1" ht="33.75">
      <c r="A66" s="1186"/>
      <c r="B66" s="927"/>
      <c r="C66" s="1301" t="s">
        <v>1695</v>
      </c>
      <c r="D66" s="1320" t="s">
        <v>1696</v>
      </c>
      <c r="E66" s="797">
        <v>35</v>
      </c>
      <c r="F66" s="739" cm="1" t="str">
        <f t="array" ref="F66:F66">OFFSET(G66,-1,-1)</f>
        <v>1</v>
      </c>
      <c r="G66" s="230"/>
      <c r="H66" s="230"/>
      <c r="I66" s="230"/>
      <c r="J66" s="230"/>
      <c r="K66" s="230"/>
      <c r="L66" s="1287"/>
      <c r="M66" s="1287" cm="1" t="str">
        <f t="array" ref="M66:M66">OFFSET(L66,-1,1)</f>
        <v>ТЭ.42.28873685.0002</v>
      </c>
      <c r="N66" s="1287"/>
      <c r="O66" s="1287"/>
      <c r="P66" s="1287"/>
      <c r="Q66" s="1289" t="s">
        <v>2011</v>
      </c>
      <c r="R66" s="1289"/>
      <c r="S66" s="1287"/>
      <c r="T66" s="808">
        <f>AND(F66&gt;0,OR(ISBLANK(Y66),Y66&gt;0))</f>
        <v>1</v>
      </c>
      <c r="U66" s="1582"/>
      <c r="V66" s="1582"/>
      <c r="W66" s="1582"/>
      <c r="X66" s="1582"/>
      <c r="Y66" s="1582"/>
      <c r="Z66" s="1582"/>
      <c r="AA66" s="230"/>
      <c r="AB66" s="580" t="s">
        <v>2028</v>
      </c>
      <c r="AC66" s="562" t="s">
        <v>2013</v>
      </c>
      <c r="AD66" s="1016" t="s">
        <v>1402</v>
      </c>
      <c r="AE66" s="1868">
        <f>SUM(AE67:AE68)</f>
        <v>0</v>
      </c>
      <c r="AF66" s="1868">
        <f>SUM(AF67:AF68)</f>
        <v>0</v>
      </c>
      <c r="AG66" s="1868">
        <f>SUM(AG67:AG68)</f>
        <v>0</v>
      </c>
      <c r="AH66" s="1868">
        <f>SUM(AH67:AH68)</f>
        <v>0</v>
      </c>
      <c r="AI66" s="1868">
        <f>SUM(AI67:AI68)</f>
        <v>0</v>
      </c>
      <c r="AJ66" s="1868">
        <f>SUM(AJ67:AJ68)</f>
        <v>0</v>
      </c>
      <c r="AK66" s="1868">
        <f>SUM(AK67:AK68)</f>
        <v>0</v>
      </c>
      <c r="AL66" s="1868">
        <f>SUM(AL67:AL68)</f>
        <v>0</v>
      </c>
      <c r="AM66" s="1868">
        <f>SUM(AM67:AM68)</f>
        <v>0</v>
      </c>
      <c r="AN66" s="1868">
        <f>SUM(AN67:AN68)</f>
        <v>0</v>
      </c>
      <c r="AO66" s="1868">
        <f>SUM(AO67:AO68)</f>
        <v>0</v>
      </c>
      <c r="AP66" s="1868">
        <f>SUM(AP67:AP68)</f>
        <v>0</v>
      </c>
      <c r="AQ66" s="1868">
        <f>SUM(AQ67:AQ68)</f>
        <v>0</v>
      </c>
      <c r="AR66" s="1868">
        <f>SUM(AR67:AR68)</f>
        <v>0</v>
      </c>
      <c r="AS66" s="1868">
        <f>SUM(AS67:AS68)</f>
        <v>0</v>
      </c>
      <c r="AT66" s="1868">
        <f>SUM(AT67:AT68)</f>
        <v>0</v>
      </c>
      <c r="AU66" s="1868">
        <f>SUM(AU67:AU68)</f>
        <v>0</v>
      </c>
      <c r="AV66" s="1868">
        <f>SUM(AV67:AV68)</f>
        <v>0</v>
      </c>
      <c r="AW66" s="1868">
        <f>SUM(AW67:AW68)</f>
        <v>0</v>
      </c>
      <c r="AX66" s="1868">
        <f>SUM(AX67:AX68)</f>
        <v>0</v>
      </c>
      <c r="AY66" s="1719"/>
      <c r="AZ66" s="1719"/>
      <c r="BA66" s="1719"/>
      <c r="BB66" s="230"/>
      <c r="BC66" s="230"/>
      <c r="BD66" s="1235" t="s">
        <v>2029</v>
      </c>
      <c r="BE66" s="1235"/>
      <c r="BF66" s="1235"/>
      <c r="BG66" s="1236"/>
      <c r="BH66" s="1236"/>
      <c r="BI66" s="1271"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M10655::ТЭ.42.28873685.0002::Неопределено::Неопределено::Неопределено::Неопределено::147.0.5.::Неопределено::Неопределено</v>
      </c>
    </row>
    <row s="1632" customFormat="1" customHeight="1" ht="16.5" hidden="1">
      <c r="A67" s="1186"/>
      <c r="B67" s="927"/>
      <c r="C67" s="1301" t="s">
        <v>1695</v>
      </c>
      <c r="D67" s="1320" t="s">
        <v>1696</v>
      </c>
      <c r="E67" s="797">
        <v>17</v>
      </c>
      <c r="F67" s="739" cm="1" t="str">
        <f t="array" ref="F67:F67">OFFSET(G67,-1,-1)</f>
        <v>1</v>
      </c>
      <c r="G67" s="230"/>
      <c r="H67" s="230"/>
      <c r="I67" s="230"/>
      <c r="J67" s="230"/>
      <c r="K67" s="230"/>
      <c r="L67" s="1287" cm="1" t="str">
        <f t="array" ref="L67:L67">AC67</f>
        <v>0</v>
      </c>
      <c r="M67" s="1287" cm="1" t="str">
        <f t="array" ref="M67:M67">OFFSET(L67,-1,1)</f>
        <v>ТЭ.42.28873685.0002</v>
      </c>
      <c r="N67" s="1287"/>
      <c r="O67" s="1287"/>
      <c r="P67" s="1287"/>
      <c r="Q67" s="1289" t="s">
        <v>2011</v>
      </c>
      <c r="R67" s="1289"/>
      <c r="S67" s="1287"/>
      <c r="T67" s="808">
        <f>AND(F67&gt;0,OR(ISBLANK(Y67),Y67&gt;0))</f>
        <v>0</v>
      </c>
      <c r="U67" s="1582"/>
      <c r="V67" s="1582"/>
      <c r="W67" s="175" t="s">
        <v>234</v>
      </c>
      <c r="X67" s="1582"/>
      <c r="Y67" s="175">
        <v>0</v>
      </c>
      <c r="Z67" s="1582"/>
      <c r="AA67" s="917" t="s">
        <v>218</v>
      </c>
      <c r="AB67" s="580" t="str">
        <f>"1.2.2."&amp;Y67</f>
        <v>1.2.2.0</v>
      </c>
      <c r="AC67" s="146"/>
      <c r="AD67" s="1016" t="s">
        <v>1402</v>
      </c>
      <c r="AE67" s="1868"/>
      <c r="AF67" s="1868"/>
      <c r="AG67" s="1868"/>
      <c r="AH67" s="1868"/>
      <c r="AI67" s="1868"/>
      <c r="AJ67" s="1868"/>
      <c r="AK67" s="1868"/>
      <c r="AL67" s="1868"/>
      <c r="AM67" s="1868"/>
      <c r="AN67" s="1868"/>
      <c r="AO67" s="1868"/>
      <c r="AP67" s="1868"/>
      <c r="AQ67" s="1868"/>
      <c r="AR67" s="1868"/>
      <c r="AS67" s="1868"/>
      <c r="AT67" s="1868"/>
      <c r="AU67" s="1868"/>
      <c r="AV67" s="1868"/>
      <c r="AW67" s="1868"/>
      <c r="AX67" s="1868"/>
      <c r="AY67" s="73"/>
      <c r="AZ67" s="73"/>
      <c r="BA67" s="73"/>
      <c r="BB67" s="230"/>
      <c r="BC67" s="230"/>
      <c r="BD67" s="1235" t="s">
        <v>2029</v>
      </c>
      <c r="BE67" s="1235" t="s">
        <v>2030</v>
      </c>
      <c r="BF67" s="1235" cm="1" t="str">
        <f t="array" ref="BF67:BF67">AC67</f>
        <v>0</v>
      </c>
      <c r="BG67" s="1236"/>
      <c r="BH67" s="1236" t="b">
        <v>1</v>
      </c>
      <c r="BI67" s="1271"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M10655::ТЭ.42.28873685.0002::0::Неопределено::Неопределено::Неопределено::147.0.5.::Неопределено::Неопределено</v>
      </c>
    </row>
    <row s="1632" customFormat="1" customHeight="1" ht="16.5">
      <c r="A68" s="1186"/>
      <c r="B68" s="927"/>
      <c r="C68" s="1306"/>
      <c r="D68" s="1290"/>
      <c r="E68" s="797">
        <v>17</v>
      </c>
      <c r="F68" s="739" cm="1" t="str">
        <f t="array" ref="F68:F68">OFFSET(G68,-1,-1)</f>
        <v>1</v>
      </c>
      <c r="G68" s="230"/>
      <c r="H68" s="230"/>
      <c r="I68" s="230"/>
      <c r="J68" s="230"/>
      <c r="K68" s="230"/>
      <c r="L68" s="1333"/>
      <c r="M68" s="1287" cm="1" t="str">
        <f t="array" ref="M68:M68">OFFSET(L68,-1,1)</f>
        <v>ТЭ.42.28873685.0002</v>
      </c>
      <c r="N68" s="1333"/>
      <c r="O68" s="1333"/>
      <c r="P68" s="1333"/>
      <c r="Q68" s="1331"/>
      <c r="R68" s="1331"/>
      <c r="S68" s="1333"/>
      <c r="T68" s="808">
        <f>AND(F68&gt;0,OR(ISBLANK(Y68),Y68&gt;0))</f>
        <v>1</v>
      </c>
      <c r="U68" s="1582"/>
      <c r="V68" s="1582"/>
      <c r="W68" s="1019" t="s">
        <v>962</v>
      </c>
      <c r="X68" s="1582"/>
      <c r="Y68" s="1582"/>
      <c r="Z68" s="1582"/>
      <c r="AA68" s="230"/>
      <c r="AB68" s="302"/>
      <c r="AC68" s="735" t="s">
        <v>236</v>
      </c>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230"/>
      <c r="BC68" s="230"/>
      <c r="BD68" s="1235" t="str">
        <f>IF(AND(ISNUMBER(VALUE(TRIM(SUBSTITUTE(AB68,".","")))),TRIM(SUBSTITUTE(AB68,".",""))&lt;&gt;""),"P"&amp;SUBSTITUTE(AB68,".",""),"")</f>
        <v/>
      </c>
      <c r="BE68" s="1235"/>
      <c r="BF68" s="1235"/>
      <c r="BG68" s="1236" t="s">
        <v>2030</v>
      </c>
      <c r="BH68" s="1236"/>
      <c r="BI68" s="1333"/>
    </row>
    <row s="1632" customFormat="1" customHeight="1" ht="16.5">
      <c r="A69" s="1186"/>
      <c r="B69" s="927"/>
      <c r="C69" s="1301" t="s">
        <v>1695</v>
      </c>
      <c r="D69" s="1320" t="s">
        <v>1696</v>
      </c>
      <c r="E69" s="797">
        <v>17</v>
      </c>
      <c r="F69" s="739" cm="1" t="str">
        <f t="array" ref="F69:F69">OFFSET(G69,-1,-1)</f>
        <v>1</v>
      </c>
      <c r="G69" s="230"/>
      <c r="H69" s="230"/>
      <c r="I69" s="230"/>
      <c r="J69" s="230"/>
      <c r="K69" s="230"/>
      <c r="L69" s="1287"/>
      <c r="M69" s="1287" cm="1" t="str">
        <f t="array" ref="M69:M69">OFFSET(L69,-1,1)</f>
        <v>ТЭ.42.28873685.0002</v>
      </c>
      <c r="N69" s="1287"/>
      <c r="O69" s="1287"/>
      <c r="P69" s="1287"/>
      <c r="Q69" s="1289" t="s">
        <v>2015</v>
      </c>
      <c r="R69" s="1289"/>
      <c r="S69" s="1287"/>
      <c r="T69" s="808">
        <f>AND(F69&gt;0,OR(ISBLANK(Y69),Y69&gt;0))</f>
        <v>1</v>
      </c>
      <c r="U69" s="1582"/>
      <c r="V69" s="1582"/>
      <c r="W69" s="1582"/>
      <c r="X69" s="1582"/>
      <c r="Y69" s="1582"/>
      <c r="Z69" s="1582"/>
      <c r="AA69" s="230"/>
      <c r="AB69" s="1121" t="s">
        <v>2031</v>
      </c>
      <c r="AC69" s="562" t="s">
        <v>2017</v>
      </c>
      <c r="AD69" s="1016" t="s">
        <v>1402</v>
      </c>
      <c r="AE69" s="1868">
        <f>SUM(AE70:AE71)</f>
        <v>0</v>
      </c>
      <c r="AF69" s="1868">
        <f>SUM(AF70:AF71)</f>
        <v>0</v>
      </c>
      <c r="AG69" s="1868">
        <f>SUM(AG70:AG71)</f>
        <v>0</v>
      </c>
      <c r="AH69" s="1868">
        <f>SUM(AH70:AH71)</f>
        <v>0</v>
      </c>
      <c r="AI69" s="1868">
        <f>SUM(AI70:AI71)</f>
        <v>0</v>
      </c>
      <c r="AJ69" s="1868">
        <f>SUM(AJ70:AJ71)</f>
        <v>0</v>
      </c>
      <c r="AK69" s="1868">
        <f>SUM(AK70:AK71)</f>
        <v>0</v>
      </c>
      <c r="AL69" s="1868">
        <f>SUM(AL70:AL71)</f>
        <v>0</v>
      </c>
      <c r="AM69" s="1868">
        <f>SUM(AM70:AM71)</f>
        <v>0</v>
      </c>
      <c r="AN69" s="1868">
        <f>SUM(AN70:AN71)</f>
        <v>0</v>
      </c>
      <c r="AO69" s="1868">
        <f>SUM(AO70:AO71)</f>
        <v>0</v>
      </c>
      <c r="AP69" s="1868">
        <f>SUM(AP70:AP71)</f>
        <v>0</v>
      </c>
      <c r="AQ69" s="1868">
        <f>SUM(AQ70:AQ71)</f>
        <v>0</v>
      </c>
      <c r="AR69" s="1868">
        <f>SUM(AR70:AR71)</f>
        <v>0</v>
      </c>
      <c r="AS69" s="1868">
        <f>SUM(AS70:AS71)</f>
        <v>0</v>
      </c>
      <c r="AT69" s="1868">
        <f>SUM(AT70:AT71)</f>
        <v>0</v>
      </c>
      <c r="AU69" s="1868">
        <f>SUM(AU70:AU71)</f>
        <v>0</v>
      </c>
      <c r="AV69" s="1868">
        <f>SUM(AV70:AV71)</f>
        <v>0</v>
      </c>
      <c r="AW69" s="1868">
        <f>SUM(AW70:AW71)</f>
        <v>0</v>
      </c>
      <c r="AX69" s="1868">
        <f>SUM(AX70:AX71)</f>
        <v>0</v>
      </c>
      <c r="AY69" s="1719"/>
      <c r="AZ69" s="1719"/>
      <c r="BA69" s="1719"/>
      <c r="BB69" s="230"/>
      <c r="BC69" s="230"/>
      <c r="BD69" s="1235" t="s">
        <v>2032</v>
      </c>
      <c r="BE69" s="1235"/>
      <c r="BF69" s="1235"/>
      <c r="BG69" s="1236"/>
      <c r="BH69" s="1236"/>
      <c r="BI69" s="1271"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M10655::ТЭ.42.28873685.0002::Неопределено::Неопределено::Неопределено::Неопределено::147.0.1.::Неопределено::Неопределено</v>
      </c>
    </row>
    <row s="1632" customFormat="1" customHeight="1" ht="16.5" hidden="1">
      <c r="A70" s="1186"/>
      <c r="B70" s="927"/>
      <c r="C70" s="1301" t="s">
        <v>1695</v>
      </c>
      <c r="D70" s="1320" t="s">
        <v>1696</v>
      </c>
      <c r="E70" s="797">
        <v>17</v>
      </c>
      <c r="F70" s="739" cm="1" t="str">
        <f t="array" ref="F70:F70">OFFSET(G70,-1,-1)</f>
        <v>1</v>
      </c>
      <c r="G70" s="230"/>
      <c r="H70" s="230"/>
      <c r="I70" s="230"/>
      <c r="J70" s="230"/>
      <c r="K70" s="230"/>
      <c r="L70" s="1287" cm="1" t="str">
        <f t="array" ref="L70:L70">AC70</f>
        <v>0</v>
      </c>
      <c r="M70" s="1287" cm="1" t="str">
        <f t="array" ref="M70:M70">OFFSET(L70,-1,1)</f>
        <v>ТЭ.42.28873685.0002</v>
      </c>
      <c r="N70" s="1287"/>
      <c r="O70" s="1287"/>
      <c r="P70" s="1287"/>
      <c r="Q70" s="1289" t="s">
        <v>2015</v>
      </c>
      <c r="R70" s="1289"/>
      <c r="S70" s="1287"/>
      <c r="T70" s="808">
        <f>AND(F70&gt;0,OR(ISBLANK(Y70),Y70&gt;0))</f>
        <v>0</v>
      </c>
      <c r="U70" s="1582"/>
      <c r="V70" s="1582"/>
      <c r="W70" s="175" t="s">
        <v>234</v>
      </c>
      <c r="X70" s="1582"/>
      <c r="Y70" s="175">
        <v>0</v>
      </c>
      <c r="Z70" s="1582"/>
      <c r="AA70" s="917" t="s">
        <v>218</v>
      </c>
      <c r="AB70" s="580" t="str">
        <f>"1.2.3."&amp;Y70</f>
        <v>1.2.3.0</v>
      </c>
      <c r="AC70" s="146"/>
      <c r="AD70" s="1016" t="s">
        <v>1402</v>
      </c>
      <c r="AE70" s="1868"/>
      <c r="AF70" s="1868"/>
      <c r="AG70" s="1868"/>
      <c r="AH70" s="1868"/>
      <c r="AI70" s="1868"/>
      <c r="AJ70" s="1868"/>
      <c r="AK70" s="1868"/>
      <c r="AL70" s="1868"/>
      <c r="AM70" s="1868"/>
      <c r="AN70" s="1868"/>
      <c r="AO70" s="1868"/>
      <c r="AP70" s="1868"/>
      <c r="AQ70" s="1868"/>
      <c r="AR70" s="1868"/>
      <c r="AS70" s="1868"/>
      <c r="AT70" s="1868"/>
      <c r="AU70" s="1868"/>
      <c r="AV70" s="1868"/>
      <c r="AW70" s="1868"/>
      <c r="AX70" s="1868"/>
      <c r="AY70" s="73"/>
      <c r="AZ70" s="73"/>
      <c r="BA70" s="73"/>
      <c r="BB70" s="230"/>
      <c r="BC70" s="230"/>
      <c r="BD70" s="1235" t="s">
        <v>2032</v>
      </c>
      <c r="BE70" s="1235" t="s">
        <v>2033</v>
      </c>
      <c r="BF70" s="1235" cm="1" t="str">
        <f t="array" ref="BF70:BF70">AC70</f>
        <v>0</v>
      </c>
      <c r="BG70" s="1236"/>
      <c r="BH70" s="1236" t="b">
        <v>1</v>
      </c>
      <c r="BI70" s="1271"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M10655::ТЭ.42.28873685.0002::0::Неопределено::Неопределено::Неопределено::147.0.1.::Неопределено::Неопределено</v>
      </c>
    </row>
    <row s="1632" customFormat="1" customHeight="1" ht="16.5">
      <c r="A71" s="1186"/>
      <c r="B71" s="927"/>
      <c r="C71" s="1306"/>
      <c r="D71" s="1290"/>
      <c r="E71" s="797">
        <v>17</v>
      </c>
      <c r="F71" s="739" cm="1" t="str">
        <f t="array" ref="F71:F71">OFFSET(G71,-1,-1)</f>
        <v>1</v>
      </c>
      <c r="G71" s="230"/>
      <c r="H71" s="230"/>
      <c r="I71" s="230"/>
      <c r="J71" s="230"/>
      <c r="K71" s="230"/>
      <c r="L71" s="1333"/>
      <c r="M71" s="1287" cm="1" t="str">
        <f t="array" ref="M71:M71">OFFSET(L71,-1,1)</f>
        <v>ТЭ.42.28873685.0002</v>
      </c>
      <c r="N71" s="1333"/>
      <c r="O71" s="1333"/>
      <c r="P71" s="1333"/>
      <c r="Q71" s="1331"/>
      <c r="R71" s="1331"/>
      <c r="S71" s="1333"/>
      <c r="T71" s="808">
        <f>AND(F71&gt;0,OR(ISBLANK(Y71),Y71&gt;0))</f>
        <v>1</v>
      </c>
      <c r="U71" s="1582"/>
      <c r="V71" s="1582"/>
      <c r="W71" s="1019" t="s">
        <v>1203</v>
      </c>
      <c r="X71" s="1582"/>
      <c r="Y71" s="1582"/>
      <c r="Z71" s="1582"/>
      <c r="AA71" s="230"/>
      <c r="AB71" s="302"/>
      <c r="AC71" s="735" t="s">
        <v>236</v>
      </c>
      <c r="AD71" s="303"/>
      <c r="AE71" s="303"/>
      <c r="AF71" s="303"/>
      <c r="AG71" s="303"/>
      <c r="AH71" s="303"/>
      <c r="AI71" s="303"/>
      <c r="AJ71" s="303"/>
      <c r="AK71" s="303"/>
      <c r="AL71" s="303"/>
      <c r="AM71" s="303"/>
      <c r="AN71" s="303"/>
      <c r="AO71" s="303"/>
      <c r="AP71" s="303"/>
      <c r="AQ71" s="303"/>
      <c r="AR71" s="303"/>
      <c r="AS71" s="303"/>
      <c r="AT71" s="303"/>
      <c r="AU71" s="303"/>
      <c r="AV71" s="303"/>
      <c r="AW71" s="303"/>
      <c r="AX71" s="303"/>
      <c r="AY71" s="303"/>
      <c r="AZ71" s="303"/>
      <c r="BA71" s="303"/>
      <c r="BB71" s="230"/>
      <c r="BC71" s="230"/>
      <c r="BD71" s="1235" t="str">
        <f>IF(AND(ISNUMBER(VALUE(TRIM(SUBSTITUTE(AB71,".","")))),TRIM(SUBSTITUTE(AB71,".",""))&lt;&gt;""),"P"&amp;SUBSTITUTE(AB71,".",""),"")</f>
        <v/>
      </c>
      <c r="BE71" s="1235"/>
      <c r="BF71" s="1235"/>
      <c r="BG71" s="1236" t="s">
        <v>2033</v>
      </c>
      <c r="BH71" s="1236"/>
      <c r="BI71" s="1333"/>
    </row>
    <row s="1632" customFormat="1" customHeight="1" ht="16.5">
      <c r="A72" s="1186"/>
      <c r="B72" s="927"/>
      <c r="C72" s="1301" t="s">
        <v>1695</v>
      </c>
      <c r="D72" s="1320" t="s">
        <v>1696</v>
      </c>
      <c r="E72" s="797">
        <v>17</v>
      </c>
      <c r="F72" s="739" cm="1" t="str">
        <f t="array" ref="F72:F72">OFFSET(G72,-1,-1)</f>
        <v>1</v>
      </c>
      <c r="G72" s="230"/>
      <c r="H72" s="230"/>
      <c r="I72" s="230"/>
      <c r="J72" s="230"/>
      <c r="K72" s="230"/>
      <c r="L72" s="1287"/>
      <c r="M72" s="1287" cm="1" t="str">
        <f t="array" ref="M72:M72">OFFSET(L72,-1,1)</f>
        <v>ТЭ.42.28873685.0002</v>
      </c>
      <c r="N72" s="1287" t="s">
        <v>2034</v>
      </c>
      <c r="O72" s="1287"/>
      <c r="P72" s="1287"/>
      <c r="Q72" s="1289"/>
      <c r="R72" s="1289"/>
      <c r="S72" s="1287"/>
      <c r="T72" s="808">
        <f>AND(F72&gt;0,OR(ISBLANK(Y72),Y72&gt;0))</f>
        <v>1</v>
      </c>
      <c r="U72" s="1582"/>
      <c r="V72" s="1582"/>
      <c r="W72" s="1582"/>
      <c r="X72" s="1582"/>
      <c r="Y72" s="1582"/>
      <c r="Z72" s="1582"/>
      <c r="AA72" s="230"/>
      <c r="AB72" s="1121" t="s">
        <v>937</v>
      </c>
      <c r="AC72" s="164" t="s">
        <v>2035</v>
      </c>
      <c r="AD72" s="1016" t="s">
        <v>1402</v>
      </c>
      <c r="AE72" s="1868"/>
      <c r="AF72" s="1868"/>
      <c r="AG72" s="1868"/>
      <c r="AH72" s="1868"/>
      <c r="AI72" s="1868"/>
      <c r="AJ72" s="1868"/>
      <c r="AK72" s="1868"/>
      <c r="AL72" s="1868"/>
      <c r="AM72" s="1868"/>
      <c r="AN72" s="1868"/>
      <c r="AO72" s="1868"/>
      <c r="AP72" s="1868"/>
      <c r="AQ72" s="1868"/>
      <c r="AR72" s="1868"/>
      <c r="AS72" s="1868"/>
      <c r="AT72" s="1868"/>
      <c r="AU72" s="1868"/>
      <c r="AV72" s="1868"/>
      <c r="AW72" s="1868"/>
      <c r="AX72" s="1868"/>
      <c r="AY72" s="1719"/>
      <c r="AZ72" s="1719"/>
      <c r="BA72" s="1719"/>
      <c r="BB72" s="230"/>
      <c r="BC72" s="230"/>
      <c r="BD72" s="1235" t="s">
        <v>1390</v>
      </c>
      <c r="BE72" s="1235"/>
      <c r="BF72" s="1235"/>
      <c r="BG72" s="1236"/>
      <c r="BH72" s="1236"/>
      <c r="BI72" s="1271"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M10655::ТЭ.42.28873685.0002::Неопределено::110.0.3.::Неопределено::Неопределено::Неопределено::Неопределено::Неопределено</v>
      </c>
    </row>
    <row s="1632" customFormat="1" customHeight="1" ht="16.5">
      <c r="A73" s="1186"/>
      <c r="B73" s="927"/>
      <c r="C73" s="1307"/>
      <c r="D73" s="1321"/>
      <c r="E73" s="797">
        <v>17</v>
      </c>
      <c r="F73" s="739" cm="1" t="str">
        <f t="array" ref="F73:F73">OFFSET(G73,-1,-1)</f>
        <v>1</v>
      </c>
      <c r="G73" s="230"/>
      <c r="H73" s="230"/>
      <c r="I73" s="230"/>
      <c r="J73" s="230"/>
      <c r="K73" s="230"/>
      <c r="L73" s="1342"/>
      <c r="M73" s="1287" cm="1" t="str">
        <f t="array" ref="M73:M73">OFFSET(L73,-1,1)</f>
        <v>ТЭ.42.28873685.0002</v>
      </c>
      <c r="N73" s="1342"/>
      <c r="O73" s="1342"/>
      <c r="P73" s="1342"/>
      <c r="Q73" s="1344"/>
      <c r="R73" s="1344"/>
      <c r="S73" s="1342"/>
      <c r="T73" s="808">
        <f>AND(F73&gt;0,OR(ISBLANK(Y73),Y73&gt;0))</f>
        <v>1</v>
      </c>
      <c r="U73" s="1582"/>
      <c r="V73" s="1582"/>
      <c r="W73" s="1582"/>
      <c r="X73" s="1582"/>
      <c r="Y73" s="1582"/>
      <c r="Z73" s="1582"/>
      <c r="AA73" s="230"/>
      <c r="AB73" s="580" t="s">
        <v>426</v>
      </c>
      <c r="AC73" s="323" t="s">
        <v>2036</v>
      </c>
      <c r="AD73" s="1016"/>
      <c r="AE73" s="1016"/>
      <c r="AF73" s="1016"/>
      <c r="AG73" s="1016"/>
      <c r="AH73" s="1016"/>
      <c r="AI73" s="1016"/>
      <c r="AJ73" s="1016"/>
      <c r="AK73" s="1016"/>
      <c r="AL73" s="1016"/>
      <c r="AM73" s="1016"/>
      <c r="AN73" s="1016"/>
      <c r="AO73" s="1016"/>
      <c r="AP73" s="1016"/>
      <c r="AQ73" s="1016"/>
      <c r="AR73" s="1016"/>
      <c r="AS73" s="1016"/>
      <c r="AT73" s="1016"/>
      <c r="AU73" s="1016"/>
      <c r="AV73" s="1016"/>
      <c r="AW73" s="1016"/>
      <c r="AX73" s="1016"/>
      <c r="AY73" s="1016"/>
      <c r="AZ73" s="1016"/>
      <c r="BA73" s="1016"/>
      <c r="BB73" s="230"/>
      <c r="BC73" s="230"/>
      <c r="BD73" s="1235"/>
      <c r="BE73" s="1235"/>
      <c r="BF73" s="1235"/>
      <c r="BG73" s="1236"/>
      <c r="BH73" s="1236"/>
      <c r="BI73" s="1333"/>
    </row>
    <row s="1632" customFormat="1" customHeight="1" ht="16.5">
      <c r="A74" s="1186"/>
      <c r="B74" s="927"/>
      <c r="C74" s="1301" t="s">
        <v>1723</v>
      </c>
      <c r="D74" s="1320" t="s">
        <v>1724</v>
      </c>
      <c r="E74" s="797">
        <v>17</v>
      </c>
      <c r="F74" s="739" cm="1" t="str">
        <f t="array" ref="F74:F74">OFFSET(G74,-1,-1)</f>
        <v>1</v>
      </c>
      <c r="G74" s="193" t="s">
        <v>1725</v>
      </c>
      <c r="H74" s="230"/>
      <c r="I74" s="230"/>
      <c r="J74" s="230"/>
      <c r="K74" s="230"/>
      <c r="L74" s="1287"/>
      <c r="M74" s="1287" cm="1" t="str">
        <f t="array" ref="M74:M74">OFFSET(L74,-1,1)</f>
        <v>ТЭ.42.28873685.0002</v>
      </c>
      <c r="N74" s="1287"/>
      <c r="O74" s="1287"/>
      <c r="P74" s="1287"/>
      <c r="Q74" s="1289"/>
      <c r="R74" s="1289"/>
      <c r="S74" s="1289" t="s">
        <v>1726</v>
      </c>
      <c r="T74" s="808">
        <f>AND(F74&gt;0,OR(ISBLANK(Y74),Y74&gt;0))</f>
        <v>1</v>
      </c>
      <c r="U74" s="1582"/>
      <c r="V74" s="1582"/>
      <c r="W74" s="1582"/>
      <c r="X74" s="1582"/>
      <c r="Y74" s="1582"/>
      <c r="Z74" s="1582"/>
      <c r="AA74" s="230"/>
      <c r="AB74" s="173" t="s">
        <v>456</v>
      </c>
      <c r="AC74" s="289" t="s">
        <v>1727</v>
      </c>
      <c r="AD74" s="558" t="s">
        <v>599</v>
      </c>
      <c r="AE74" s="1868"/>
      <c r="AF74" s="1868"/>
      <c r="AG74" s="1868"/>
      <c r="AH74" s="1868"/>
      <c r="AI74" s="1868"/>
      <c r="AJ74" s="1868"/>
      <c r="AK74" s="1868"/>
      <c r="AL74" s="1868"/>
      <c r="AM74" s="1868"/>
      <c r="AN74" s="1868"/>
      <c r="AO74" s="1868"/>
      <c r="AP74" s="1868"/>
      <c r="AQ74" s="1868"/>
      <c r="AR74" s="1868"/>
      <c r="AS74" s="1868"/>
      <c r="AT74" s="1868"/>
      <c r="AU74" s="1868"/>
      <c r="AV74" s="1868"/>
      <c r="AW74" s="1868"/>
      <c r="AX74" s="1868"/>
      <c r="AY74" s="1719"/>
      <c r="AZ74" s="1719"/>
      <c r="BA74" s="1719"/>
      <c r="BB74" s="230"/>
      <c r="BC74" s="230"/>
      <c r="BD74" s="1235" t="s">
        <v>2037</v>
      </c>
      <c r="BE74" s="1235"/>
      <c r="BF74" s="1235"/>
      <c r="BG74" s="1236"/>
      <c r="BH74" s="1236"/>
      <c r="BI74" s="1271"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M10670::ТЭ.42.28873685.0002::Неопределено::Неопределено::Неопределено::Неопределено::Неопределено::Неопределено::8.0.3.</v>
      </c>
    </row>
    <row s="1632" customFormat="1" customHeight="1" ht="16.5">
      <c r="A75" s="1186"/>
      <c r="B75" s="927"/>
      <c r="C75" s="1301" t="s">
        <v>1729</v>
      </c>
      <c r="D75" s="1320" t="s">
        <v>1730</v>
      </c>
      <c r="E75" s="797">
        <v>17</v>
      </c>
      <c r="F75" s="739" cm="1" t="str">
        <f t="array" ref="F75:F75">OFFSET(G75,-1,-1)</f>
        <v>1</v>
      </c>
      <c r="G75" s="739" t="s">
        <v>1731</v>
      </c>
      <c r="H75" s="230"/>
      <c r="I75" s="230"/>
      <c r="J75" s="230"/>
      <c r="K75" s="230"/>
      <c r="L75" s="1287"/>
      <c r="M75" s="1287" cm="1" t="str">
        <f t="array" ref="M75:M75">OFFSET(L75,-1,1)</f>
        <v>ТЭ.42.28873685.0002</v>
      </c>
      <c r="N75" s="1287"/>
      <c r="O75" s="1287"/>
      <c r="P75" s="1287"/>
      <c r="Q75" s="1289"/>
      <c r="R75" s="1289"/>
      <c r="S75" s="1289" t="s">
        <v>1726</v>
      </c>
      <c r="T75" s="808">
        <f>AND(F75&gt;0,OR(ISBLANK(Y75),Y75&gt;0))</f>
        <v>1</v>
      </c>
      <c r="U75" s="1582"/>
      <c r="V75" s="1582"/>
      <c r="W75" s="1582"/>
      <c r="X75" s="1582"/>
      <c r="Y75" s="1582"/>
      <c r="Z75" s="1582"/>
      <c r="AA75" s="230"/>
      <c r="AB75" s="173" t="s">
        <v>483</v>
      </c>
      <c r="AC75" s="289" t="s">
        <v>1732</v>
      </c>
      <c r="AD75" s="558" t="s">
        <v>900</v>
      </c>
      <c r="AE75" s="1868"/>
      <c r="AF75" s="1868"/>
      <c r="AG75" s="1868"/>
      <c r="AH75" s="1868"/>
      <c r="AI75" s="1868"/>
      <c r="AJ75" s="1868"/>
      <c r="AK75" s="1868"/>
      <c r="AL75" s="1868"/>
      <c r="AM75" s="1868"/>
      <c r="AN75" s="1868"/>
      <c r="AO75" s="1868"/>
      <c r="AP75" s="1868"/>
      <c r="AQ75" s="1868"/>
      <c r="AR75" s="1868"/>
      <c r="AS75" s="1868"/>
      <c r="AT75" s="1868"/>
      <c r="AU75" s="1868"/>
      <c r="AV75" s="1868"/>
      <c r="AW75" s="1868"/>
      <c r="AX75" s="1868"/>
      <c r="AY75" s="1719"/>
      <c r="AZ75" s="1719"/>
      <c r="BA75" s="1719"/>
      <c r="BB75" s="230"/>
      <c r="BC75" s="230"/>
      <c r="BD75" s="1235" t="s">
        <v>2038</v>
      </c>
      <c r="BE75" s="1235"/>
      <c r="BF75" s="1235"/>
      <c r="BG75" s="1236"/>
      <c r="BH75" s="1236"/>
      <c r="BI75" s="1271"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M10546::ТЭ.42.28873685.0002::Неопределено::Неопределено::Неопределено::Неопределено::Неопределено::Неопределено::8.0.3.</v>
      </c>
    </row>
    <row s="1632" customFormat="1" customHeight="1" ht="16.5">
      <c r="A76" s="1186"/>
      <c r="B76" s="927"/>
      <c r="C76" s="1301" t="s">
        <v>1723</v>
      </c>
      <c r="D76" s="1320" t="s">
        <v>1724</v>
      </c>
      <c r="E76" s="797">
        <v>17</v>
      </c>
      <c r="F76" s="739" cm="1" t="str">
        <f t="array" ref="F76:F76">OFFSET(G76,-1,-1)</f>
        <v>1</v>
      </c>
      <c r="G76" s="193" t="s">
        <v>1734</v>
      </c>
      <c r="H76" s="230"/>
      <c r="I76" s="230"/>
      <c r="J76" s="230"/>
      <c r="K76" s="230"/>
      <c r="L76" s="1287"/>
      <c r="M76" s="1287" cm="1" t="str">
        <f t="array" ref="M76:M76">OFFSET(L76,-1,1)</f>
        <v>ТЭ.42.28873685.0002</v>
      </c>
      <c r="N76" s="1287"/>
      <c r="O76" s="1287"/>
      <c r="P76" s="1287"/>
      <c r="Q76" s="1289"/>
      <c r="R76" s="1289"/>
      <c r="S76" s="1289" t="s">
        <v>1735</v>
      </c>
      <c r="T76" s="808">
        <f>AND(F76&gt;0,OR(ISBLANK(Y76),Y76&gt;0))</f>
        <v>1</v>
      </c>
      <c r="U76" s="1582"/>
      <c r="V76" s="1582"/>
      <c r="W76" s="1582"/>
      <c r="X76" s="1582"/>
      <c r="Y76" s="1582"/>
      <c r="Z76" s="1582"/>
      <c r="AA76" s="230"/>
      <c r="AB76" s="173" t="s">
        <v>487</v>
      </c>
      <c r="AC76" s="289" t="s">
        <v>1736</v>
      </c>
      <c r="AD76" s="312" t="s">
        <v>599</v>
      </c>
      <c r="AE76" s="1868"/>
      <c r="AF76" s="1868"/>
      <c r="AG76" s="1868"/>
      <c r="AH76" s="1868"/>
      <c r="AI76" s="1868"/>
      <c r="AJ76" s="1868"/>
      <c r="AK76" s="1868"/>
      <c r="AL76" s="1868"/>
      <c r="AM76" s="1868"/>
      <c r="AN76" s="1868"/>
      <c r="AO76" s="1868"/>
      <c r="AP76" s="1868"/>
      <c r="AQ76" s="1868"/>
      <c r="AR76" s="1868"/>
      <c r="AS76" s="1868"/>
      <c r="AT76" s="1868"/>
      <c r="AU76" s="1868"/>
      <c r="AV76" s="1868"/>
      <c r="AW76" s="1868"/>
      <c r="AX76" s="1868"/>
      <c r="AY76" s="1719"/>
      <c r="AZ76" s="1719"/>
      <c r="BA76" s="1719"/>
      <c r="BB76" s="230"/>
      <c r="BC76" s="230"/>
      <c r="BD76" s="1235" t="s">
        <v>2039</v>
      </c>
      <c r="BE76" s="1235"/>
      <c r="BF76" s="1235"/>
      <c r="BG76" s="1236"/>
      <c r="BH76" s="1236"/>
      <c r="BI76" s="1271"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M10670::ТЭ.42.28873685.0002::Неопределено::Неопределено::Неопределено::Неопределено::Неопределено::Неопределено::8.0.5.</v>
      </c>
    </row>
    <row s="2043" customFormat="1" customHeight="1" ht="16.5">
      <c r="A77" s="235"/>
      <c r="B77" s="235"/>
      <c r="C77" s="1301" t="s">
        <v>1729</v>
      </c>
      <c r="D77" s="1320" t="s">
        <v>1730</v>
      </c>
      <c r="E77" s="797">
        <v>17</v>
      </c>
      <c r="F77" s="739" cm="1" t="str">
        <f t="array" ref="F77:F77">OFFSET(G77,-1,-1)</f>
        <v>1</v>
      </c>
      <c r="G77" s="739" t="s">
        <v>1738</v>
      </c>
      <c r="H77" s="235"/>
      <c r="I77" s="235"/>
      <c r="J77" s="235"/>
      <c r="K77" s="235"/>
      <c r="L77" s="1286"/>
      <c r="M77" s="1287" cm="1" t="str">
        <f t="array" ref="M77:M77">OFFSET(L77,-1,1)</f>
        <v>ТЭ.42.28873685.0002</v>
      </c>
      <c r="N77" s="1286"/>
      <c r="O77" s="1286"/>
      <c r="P77" s="1286"/>
      <c r="Q77" s="1297"/>
      <c r="R77" s="1297"/>
      <c r="S77" s="1289" t="s">
        <v>1735</v>
      </c>
      <c r="T77" s="808">
        <f>AND(F77&gt;0,OR(ISBLANK(Y77),Y77&gt;0))</f>
        <v>1</v>
      </c>
      <c r="U77" s="235"/>
      <c r="V77" s="235"/>
      <c r="W77" s="235"/>
      <c r="X77" s="235"/>
      <c r="Y77" s="235"/>
      <c r="Z77" s="235"/>
      <c r="AA77" s="235"/>
      <c r="AB77" s="173" t="s">
        <v>491</v>
      </c>
      <c r="AC77" s="289" t="s">
        <v>1739</v>
      </c>
      <c r="AD77" s="169" t="s">
        <v>900</v>
      </c>
      <c r="AE77" s="1868">
        <f>_xlfn.IFERROR((AE55*1000-AE74*AE75)/AE76,0)</f>
        <v>0</v>
      </c>
      <c r="AF77" s="1868">
        <f>_xlfn.IFERROR((AF55*1000-AF74*AF75)/AF76,0)</f>
        <v>0</v>
      </c>
      <c r="AG77" s="1868">
        <f>_xlfn.IFERROR((AG55*1000-AG74*AG75)/AG76,0)</f>
        <v>0</v>
      </c>
      <c r="AH77" s="1868">
        <f>_xlfn.IFERROR((AH55*1000-AH74*AH75)/AH76,0)</f>
        <v>0</v>
      </c>
      <c r="AI77" s="1868">
        <f>_xlfn.IFERROR((AI55*1000-AI74*AI75)/AI76,0)</f>
        <v>0</v>
      </c>
      <c r="AJ77" s="1868">
        <f>_xlfn.IFERROR((AJ55*1000-AJ74*AJ75)/AJ76,0)</f>
        <v>0</v>
      </c>
      <c r="AK77" s="1868">
        <f>_xlfn.IFERROR((AK55*1000-AK74*AK75)/AK76,0)</f>
        <v>0</v>
      </c>
      <c r="AL77" s="1868">
        <f>_xlfn.IFERROR((AL55*1000-AL74*AL75)/AL76,0)</f>
        <v>0</v>
      </c>
      <c r="AM77" s="1868">
        <f>_xlfn.IFERROR((AM55*1000-AM74*AM75)/AM76,0)</f>
        <v>0</v>
      </c>
      <c r="AN77" s="1868">
        <f>_xlfn.IFERROR((AN55*1000-AN74*AN75)/AN76,0)</f>
        <v>0</v>
      </c>
      <c r="AO77" s="1868">
        <f>_xlfn.IFERROR((AO55*1000-AO74*AO75)/AO76,0)</f>
        <v>0</v>
      </c>
      <c r="AP77" s="1868">
        <f>_xlfn.IFERROR((AP55*1000-AP74*AP75)/AP76,0)</f>
        <v>0</v>
      </c>
      <c r="AQ77" s="1868">
        <f>_xlfn.IFERROR((AQ55*1000-AQ74*AQ75)/AQ76,0)</f>
        <v>0</v>
      </c>
      <c r="AR77" s="1868">
        <f>_xlfn.IFERROR((AR55*1000-AR74*AR75)/AR76,0)</f>
        <v>0</v>
      </c>
      <c r="AS77" s="1868">
        <f>_xlfn.IFERROR((AS55*1000-AS74*AS75)/AS76,0)</f>
        <v>0</v>
      </c>
      <c r="AT77" s="1868">
        <f>_xlfn.IFERROR((AT55*1000-AT74*AT75)/AT76,0)</f>
        <v>0</v>
      </c>
      <c r="AU77" s="1868">
        <f>_xlfn.IFERROR((AU55*1000-AU74*AU75)/AU76,0)</f>
        <v>0</v>
      </c>
      <c r="AV77" s="1868">
        <f>_xlfn.IFERROR((AV55*1000-AV74*AV75)/AV76,0)</f>
        <v>0</v>
      </c>
      <c r="AW77" s="1868">
        <f>_xlfn.IFERROR((AW55*1000-AW74*AW75)/AW76,0)</f>
        <v>0</v>
      </c>
      <c r="AX77" s="1868">
        <f>_xlfn.IFERROR((AX55*1000-AX74*AX75)/AX76,0)</f>
        <v>0</v>
      </c>
      <c r="AY77" s="1719"/>
      <c r="AZ77" s="1719"/>
      <c r="BA77" s="1719"/>
      <c r="BB77" s="235"/>
      <c r="BC77" s="235"/>
      <c r="BD77" s="1235" t="s">
        <v>2040</v>
      </c>
      <c r="BE77" s="1235"/>
      <c r="BF77" s="1243"/>
      <c r="BG77" s="1244"/>
      <c r="BH77" s="1244"/>
      <c r="BI77" s="1271"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M10546::ТЭ.42.28873685.0002::Неопределено::Неопределено::Неопределено::Неопределено::Неопределено::Неопределено::8.0.5.</v>
      </c>
    </row>
    <row s="2044" customFormat="1" customHeight="1" ht="16.5">
      <c r="A78" s="235"/>
      <c r="B78" s="235"/>
      <c r="C78" s="1301" t="s">
        <v>1741</v>
      </c>
      <c r="D78" s="1320" t="s">
        <v>1742</v>
      </c>
      <c r="E78" s="797">
        <v>17</v>
      </c>
      <c r="F78" s="739" cm="1" t="str">
        <f t="array" ref="F78:F78">OFFSET(G78,-1,-1)</f>
        <v>1</v>
      </c>
      <c r="G78" s="235"/>
      <c r="H78" s="235"/>
      <c r="I78" s="235"/>
      <c r="J78" s="235"/>
      <c r="K78" s="235"/>
      <c r="L78" s="1286"/>
      <c r="M78" s="1287" cm="1" t="str">
        <f t="array" ref="M78:M78">OFFSET(L78,-1,1)</f>
        <v>ТЭ.42.28873685.0002</v>
      </c>
      <c r="N78" s="1286"/>
      <c r="O78" s="1286"/>
      <c r="P78" s="1286"/>
      <c r="Q78" s="1297"/>
      <c r="R78" s="1297"/>
      <c r="S78" s="1286"/>
      <c r="T78" s="808">
        <f>AND(F78&gt;0,OR(ISBLANK(Y78),Y78&gt;0))</f>
        <v>1</v>
      </c>
      <c r="U78" s="235"/>
      <c r="V78" s="235"/>
      <c r="W78" s="235"/>
      <c r="X78" s="235"/>
      <c r="Y78" s="235"/>
      <c r="Z78" s="235"/>
      <c r="AA78" s="235"/>
      <c r="AB78" s="173" t="s">
        <v>1561</v>
      </c>
      <c r="AC78" s="164" t="s">
        <v>2041</v>
      </c>
      <c r="AD78" s="558" t="s">
        <v>498</v>
      </c>
      <c r="AE78" s="665">
        <f>_xlfn.IFERROR(AE77/AE75,0)</f>
        <v>0</v>
      </c>
      <c r="AF78" s="665">
        <f>_xlfn.IFERROR(AF77/AF75,0)</f>
        <v>0</v>
      </c>
      <c r="AG78" s="665">
        <f>_xlfn.IFERROR(AG77/AG75,0)</f>
        <v>0</v>
      </c>
      <c r="AH78" s="665">
        <f>_xlfn.IFERROR(AH77/AH75,0)</f>
        <v>0</v>
      </c>
      <c r="AI78" s="665">
        <f>_xlfn.IFERROR(AI77/AI75,0)</f>
        <v>0</v>
      </c>
      <c r="AJ78" s="665">
        <f>_xlfn.IFERROR(AJ77/AJ75,0)</f>
        <v>0</v>
      </c>
      <c r="AK78" s="665">
        <f>_xlfn.IFERROR(AK77/AK75,0)</f>
        <v>0</v>
      </c>
      <c r="AL78" s="665">
        <f>_xlfn.IFERROR(AL77/AL75,0)</f>
        <v>0</v>
      </c>
      <c r="AM78" s="665">
        <f>_xlfn.IFERROR(AM77/AM75,0)</f>
        <v>0</v>
      </c>
      <c r="AN78" s="665">
        <f>_xlfn.IFERROR(AN77/AN75,0)</f>
        <v>0</v>
      </c>
      <c r="AO78" s="665">
        <f>_xlfn.IFERROR(AO77/AO75,0)</f>
        <v>0</v>
      </c>
      <c r="AP78" s="665">
        <f>_xlfn.IFERROR(AP77/AP75,0)</f>
        <v>0</v>
      </c>
      <c r="AQ78" s="665">
        <f>_xlfn.IFERROR(AQ77/AQ75,0)</f>
        <v>0</v>
      </c>
      <c r="AR78" s="665">
        <f>_xlfn.IFERROR(AR77/AR75,0)</f>
        <v>0</v>
      </c>
      <c r="AS78" s="665">
        <f>_xlfn.IFERROR(AS77/AS75,0)</f>
        <v>0</v>
      </c>
      <c r="AT78" s="665">
        <f>_xlfn.IFERROR(AT77/AT75,0)</f>
        <v>0</v>
      </c>
      <c r="AU78" s="665">
        <f>_xlfn.IFERROR(AU77/AU75,0)</f>
        <v>0</v>
      </c>
      <c r="AV78" s="665">
        <f>_xlfn.IFERROR(AV77/AV75,0)</f>
        <v>0</v>
      </c>
      <c r="AW78" s="665">
        <f>_xlfn.IFERROR(AW77/AW75,0)</f>
        <v>0</v>
      </c>
      <c r="AX78" s="665">
        <f>_xlfn.IFERROR(AX77/AX75,0)</f>
        <v>0</v>
      </c>
      <c r="AY78" s="1719"/>
      <c r="AZ78" s="1719"/>
      <c r="BA78" s="1719"/>
      <c r="BB78" s="235"/>
      <c r="BC78" s="235"/>
      <c r="BD78" s="1235" t="s">
        <v>2042</v>
      </c>
      <c r="BE78" s="1235"/>
      <c r="BF78" s="1235"/>
      <c r="BG78" s="1236"/>
      <c r="BH78" s="1236"/>
      <c r="BI78" s="1271"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M11244::ТЭ.42.28873685.0002::Неопределено::Неопределено::Неопределено::Неопределено::Неопределено::Неопределено::Неопределено</v>
      </c>
    </row>
    <row s="1632" customFormat="1" customHeight="1" ht="16.5">
      <c r="A79" s="1186"/>
      <c r="B79" s="927"/>
      <c r="C79" s="1301" t="s">
        <v>1745</v>
      </c>
      <c r="D79" s="1320" t="s">
        <v>1746</v>
      </c>
      <c r="E79" s="797">
        <v>17</v>
      </c>
      <c r="F79" s="739" cm="1" t="str">
        <f t="array" ref="F79:F79">OFFSET(G79,-1,-1)</f>
        <v>1</v>
      </c>
      <c r="G79" s="230"/>
      <c r="H79" s="230"/>
      <c r="I79" s="230"/>
      <c r="J79" s="230"/>
      <c r="K79" s="230"/>
      <c r="L79" s="1287"/>
      <c r="M79" s="1287" cm="1" t="str">
        <f t="array" ref="M79:M79">OFFSET(L79,-1,1)</f>
        <v>ТЭ.42.28873685.0002</v>
      </c>
      <c r="N79" s="1287"/>
      <c r="O79" s="1287"/>
      <c r="P79" s="1287"/>
      <c r="Q79" s="1289"/>
      <c r="R79" s="1289"/>
      <c r="S79" s="1287"/>
      <c r="T79" s="808">
        <f>AND(F79&gt;0,OR(ISBLANK(Y79),Y79&gt;0))</f>
        <v>1</v>
      </c>
      <c r="U79" s="1582"/>
      <c r="V79" s="1582"/>
      <c r="W79" s="1582"/>
      <c r="X79" s="1582"/>
      <c r="Y79" s="1582"/>
      <c r="Z79" s="1582"/>
      <c r="AA79" s="230"/>
      <c r="AB79" s="173" t="s">
        <v>1988</v>
      </c>
      <c r="AC79" s="164" t="s">
        <v>2043</v>
      </c>
      <c r="AD79" s="558" t="s">
        <v>900</v>
      </c>
      <c r="AE79" s="2041">
        <f>_xlfn.IFERROR(AE55*1000/(AE74+AE76),0)</f>
        <v>0</v>
      </c>
      <c r="AF79" s="2041">
        <f>_xlfn.IFERROR(AF55*1000/(AF74+AF76),0)</f>
        <v>0</v>
      </c>
      <c r="AG79" s="2041">
        <f>_xlfn.IFERROR(AG55*1000/(AG74+AG76),0)</f>
        <v>0</v>
      </c>
      <c r="AH79" s="2041">
        <f>_xlfn.IFERROR(AH55*1000/(AH74+AH76),0)</f>
        <v>0</v>
      </c>
      <c r="AI79" s="2041">
        <f>_xlfn.IFERROR(AI55*1000/(AI74+AI76),0)</f>
        <v>0</v>
      </c>
      <c r="AJ79" s="2041">
        <f>_xlfn.IFERROR(AJ55*1000/(AJ74+AJ76),0)</f>
        <v>0</v>
      </c>
      <c r="AK79" s="2041">
        <f>_xlfn.IFERROR(AK55*1000/(AK74+AK76),0)</f>
        <v>0</v>
      </c>
      <c r="AL79" s="2041">
        <f>_xlfn.IFERROR(AL55*1000/(AL74+AL76),0)</f>
        <v>0</v>
      </c>
      <c r="AM79" s="2041">
        <f>_xlfn.IFERROR(AM55*1000/(AM74+AM76),0)</f>
        <v>0</v>
      </c>
      <c r="AN79" s="2041">
        <f>_xlfn.IFERROR(AN55*1000/(AN74+AN76),0)</f>
        <v>0</v>
      </c>
      <c r="AO79" s="2041">
        <f>_xlfn.IFERROR(AO55*1000/(AO74+AO76),0)</f>
        <v>0</v>
      </c>
      <c r="AP79" s="2041">
        <f>_xlfn.IFERROR(AP55*1000/(AP74+AP76),0)</f>
        <v>0</v>
      </c>
      <c r="AQ79" s="2041">
        <f>_xlfn.IFERROR(AQ55*1000/(AQ74+AQ76),0)</f>
        <v>0</v>
      </c>
      <c r="AR79" s="2041">
        <f>_xlfn.IFERROR(AR55*1000/(AR74+AR76),0)</f>
        <v>0</v>
      </c>
      <c r="AS79" s="2041">
        <f>_xlfn.IFERROR(AS55*1000/(AS74+AS76),0)</f>
        <v>0</v>
      </c>
      <c r="AT79" s="2041">
        <f>_xlfn.IFERROR(AT55*1000/(AT74+AT76),0)</f>
        <v>0</v>
      </c>
      <c r="AU79" s="2041">
        <f>_xlfn.IFERROR(AU55*1000/(AU74+AU76),0)</f>
        <v>0</v>
      </c>
      <c r="AV79" s="2041">
        <f>_xlfn.IFERROR(AV55*1000/(AV74+AV76),0)</f>
        <v>0</v>
      </c>
      <c r="AW79" s="2041">
        <f>_xlfn.IFERROR(AW55*1000/(AW74+AW76),0)</f>
        <v>0</v>
      </c>
      <c r="AX79" s="2041">
        <f>_xlfn.IFERROR(AX55*1000/(AX74+AX76),0)</f>
        <v>0</v>
      </c>
      <c r="AY79" s="1719"/>
      <c r="AZ79" s="1719"/>
      <c r="BA79" s="1719"/>
      <c r="BB79" s="230"/>
      <c r="BC79" s="230"/>
      <c r="BD79" s="1235" t="s">
        <v>2044</v>
      </c>
      <c r="BE79" s="1235"/>
      <c r="BF79" s="1235"/>
      <c r="BG79" s="1236"/>
      <c r="BH79" s="1236"/>
      <c r="BI79" s="1271"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M10552::ТЭ.42.28873685.0002::Неопределено::Неопределено::Неопределено::Неопределено::Неопределено::Неопределено::Неопределено</v>
      </c>
    </row>
    <row s="1632" customFormat="1" customHeight="1" ht="33.75">
      <c r="A80" s="1186"/>
      <c r="B80" s="927"/>
      <c r="C80" s="1301" t="s">
        <v>1789</v>
      </c>
      <c r="D80" s="1320" t="s">
        <v>1790</v>
      </c>
      <c r="E80" s="797">
        <v>35</v>
      </c>
      <c r="F80" s="739" cm="1" t="str">
        <f t="array" ref="F80:F80">OFFSET(G80,-1,-1)</f>
        <v>1</v>
      </c>
      <c r="G80" s="230"/>
      <c r="H80" s="230"/>
      <c r="I80" s="230"/>
      <c r="J80" s="230"/>
      <c r="K80" s="230"/>
      <c r="L80" s="1287"/>
      <c r="M80" s="1287" cm="1" t="str">
        <f t="array" ref="M80:M80">OFFSET(L80,-1,1)</f>
        <v>ТЭ.42.28873685.0002</v>
      </c>
      <c r="N80" s="1287"/>
      <c r="O80" s="1287"/>
      <c r="P80" s="1287"/>
      <c r="Q80" s="1289"/>
      <c r="R80" s="1289"/>
      <c r="S80" s="1287"/>
      <c r="T80" s="808">
        <f>AND(F80&gt;0,OR(ISBLANK(Y80),Y80&gt;0))</f>
        <v>1</v>
      </c>
      <c r="U80" s="1582"/>
      <c r="V80" s="1582"/>
      <c r="W80" s="1582"/>
      <c r="X80" s="1582"/>
      <c r="Y80" s="1582"/>
      <c r="Z80" s="1582"/>
      <c r="AA80" s="230"/>
      <c r="AB80" s="173" t="s">
        <v>429</v>
      </c>
      <c r="AC80" s="323" t="s">
        <v>1792</v>
      </c>
      <c r="AD80" s="574" t="s">
        <v>1402</v>
      </c>
      <c r="AE80" s="1868"/>
      <c r="AF80" s="1868"/>
      <c r="AG80" s="1868"/>
      <c r="AH80" s="1868"/>
      <c r="AI80" s="1868"/>
      <c r="AJ80" s="1868"/>
      <c r="AK80" s="1868"/>
      <c r="AL80" s="1868"/>
      <c r="AM80" s="1868"/>
      <c r="AN80" s="1868"/>
      <c r="AO80" s="1868"/>
      <c r="AP80" s="1868"/>
      <c r="AQ80" s="1868"/>
      <c r="AR80" s="1868"/>
      <c r="AS80" s="1868"/>
      <c r="AT80" s="1868"/>
      <c r="AU80" s="1868"/>
      <c r="AV80" s="1868"/>
      <c r="AW80" s="1868"/>
      <c r="AX80" s="1868"/>
      <c r="AY80" s="1719"/>
      <c r="AZ80" s="1719"/>
      <c r="BA80" s="1719"/>
      <c r="BB80" s="230"/>
      <c r="BC80" s="230"/>
      <c r="BD80" s="1235" t="s">
        <v>1793</v>
      </c>
      <c r="BE80" s="1235"/>
      <c r="BF80" s="1235"/>
      <c r="BG80" s="1236"/>
      <c r="BH80" s="1236"/>
      <c r="BI80" s="1271"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M10591::ТЭ.42.28873685.0002::Неопределено::Неопределено::Неопределено::Неопределено::Неопределено::Неопределено::Неопределено</v>
      </c>
    </row>
    <row customHeight="1" ht="9.945">
      <c r="E81" s="797">
        <v>10.2</v>
      </c>
      <c r="U81" s="179" t="s">
        <v>236</v>
      </c>
      <c r="V81" s="171" t="s">
        <v>2045</v>
      </c>
      <c r="AE81" s="230"/>
      <c r="AF81" s="230"/>
      <c r="AG81" s="230"/>
      <c r="AH81" s="230"/>
      <c r="AI81" s="230"/>
      <c r="AJ81" s="230"/>
      <c r="AK81" s="230"/>
      <c r="AL81" s="230"/>
      <c r="AM81" s="230"/>
      <c r="AN81" s="230"/>
      <c r="AO81" s="230"/>
      <c r="AP81" s="230"/>
      <c r="AQ81" s="230"/>
      <c r="AR81" s="230"/>
      <c r="AS81" s="230"/>
      <c r="AT81" s="230"/>
      <c r="AU81" s="230"/>
      <c r="AV81" s="230"/>
      <c r="AW81" s="230"/>
      <c r="AX81" s="230"/>
    </row>
    <row customHeight="1" ht="11.25" hidden="1">
      <c r="E82" s="797">
        <v>0</v>
      </c>
      <c r="AE82" s="230"/>
      <c r="AF82" s="230"/>
      <c r="AG82" s="230"/>
      <c r="AH82" s="230"/>
      <c r="AI82" s="230"/>
      <c r="AJ82" s="230"/>
      <c r="AK82" s="230"/>
      <c r="AL82" s="230"/>
      <c r="AM82" s="230"/>
      <c r="AN82" s="230"/>
      <c r="AO82" s="230"/>
      <c r="AP82" s="230"/>
      <c r="AQ82" s="230"/>
      <c r="AR82" s="230"/>
      <c r="AS82" s="230"/>
      <c r="AT82" s="230"/>
      <c r="AU82" s="230"/>
      <c r="AV82" s="230"/>
      <c r="AW82" s="230"/>
      <c r="AX82" s="230"/>
    </row>
    <row customHeight="1" ht="14.625">
      <c r="E83" s="797">
        <v>15</v>
      </c>
      <c r="AB83" s="1530" t="s">
        <v>705</v>
      </c>
      <c r="AC83" s="1530"/>
      <c r="AD83" s="1530"/>
      <c r="AE83" s="1530"/>
      <c r="AF83" s="1530"/>
      <c r="AG83" s="1530"/>
      <c r="AH83" s="1530"/>
      <c r="AI83" s="1530"/>
      <c r="AJ83" s="1530"/>
      <c r="AK83" s="1530"/>
      <c r="AL83" s="1530"/>
      <c r="AM83" s="1530"/>
      <c r="AN83" s="1530"/>
      <c r="AO83" s="1530"/>
      <c r="AP83" s="1530"/>
      <c r="AQ83" s="1530"/>
      <c r="AR83" s="1530"/>
      <c r="AS83" s="1530"/>
      <c r="AT83" s="1530"/>
      <c r="AU83" s="1530"/>
      <c r="AV83" s="1530"/>
      <c r="AW83" s="1530"/>
      <c r="AX83" s="1530"/>
      <c r="AY83" s="1530"/>
      <c r="AZ83" s="1530"/>
      <c r="BA83" s="1530"/>
    </row>
    <row customHeight="1" ht="14.625">
      <c r="E84" s="797">
        <v>15</v>
      </c>
      <c r="AA84" s="921"/>
      <c r="AB84" s="1543"/>
      <c r="AC84" s="1544"/>
      <c r="AD84" s="1544"/>
      <c r="AE84" s="1544"/>
      <c r="AF84" s="1544"/>
      <c r="AG84" s="1544"/>
      <c r="AH84" s="1544"/>
      <c r="AI84" s="1544"/>
      <c r="AJ84" s="1544"/>
      <c r="AK84" s="1544"/>
      <c r="AL84" s="1544"/>
      <c r="AM84" s="1544"/>
      <c r="AN84" s="1544"/>
      <c r="AO84" s="1544"/>
      <c r="AP84" s="1544"/>
      <c r="AQ84" s="1544"/>
      <c r="AR84" s="1544"/>
      <c r="AS84" s="1544"/>
      <c r="AT84" s="1544"/>
      <c r="AU84" s="1544"/>
      <c r="AV84" s="1544"/>
      <c r="AW84" s="1544"/>
      <c r="AX84" s="1544"/>
      <c r="AY84" s="1544"/>
      <c r="AZ84" s="1544"/>
      <c r="BA84" s="1544"/>
    </row>
    <row customHeight="1" ht="14.625" hidden="1">
      <c r="A85" s="1186"/>
      <c r="B85" s="927"/>
      <c r="C85" s="1306"/>
      <c r="D85" s="1292"/>
      <c r="E85" s="797">
        <v>15</v>
      </c>
      <c r="F85" s="230"/>
      <c r="G85" s="230"/>
      <c r="H85" s="230"/>
      <c r="I85" s="230"/>
      <c r="J85" s="230"/>
      <c r="K85" s="230"/>
      <c r="L85" s="1333"/>
      <c r="M85" s="1333"/>
      <c r="N85" s="1333"/>
      <c r="O85" s="1333"/>
      <c r="P85" s="1333"/>
      <c r="Q85" s="1331"/>
      <c r="R85" s="1331"/>
      <c r="S85" s="1333"/>
      <c r="T85" s="808">
        <f>ROW(W85)&gt;ROW(W$85)</f>
        <v>0</v>
      </c>
      <c r="U85" s="1582"/>
      <c r="V85" s="1582"/>
      <c r="W85" s="175" t="s">
        <v>234</v>
      </c>
      <c r="X85" s="1582"/>
      <c r="Y85" s="1582"/>
      <c r="Z85" s="1582"/>
      <c r="AA85" s="917" t="s">
        <v>218</v>
      </c>
      <c r="AB85" s="1932"/>
      <c r="AC85" s="1544"/>
      <c r="AD85" s="1544"/>
      <c r="AE85" s="1544"/>
      <c r="AF85" s="1544"/>
      <c r="AG85" s="1544"/>
      <c r="AH85" s="1544"/>
      <c r="AI85" s="1544"/>
      <c r="AJ85" s="1544"/>
      <c r="AK85" s="1544"/>
      <c r="AL85" s="1544"/>
      <c r="AM85" s="1544"/>
      <c r="AN85" s="1544"/>
      <c r="AO85" s="1544"/>
      <c r="AP85" s="1544"/>
      <c r="AQ85" s="1544"/>
      <c r="AR85" s="1544"/>
      <c r="AS85" s="1544"/>
      <c r="AT85" s="1544"/>
      <c r="AU85" s="1544"/>
      <c r="AV85" s="1544"/>
      <c r="AW85" s="1544"/>
      <c r="AX85" s="1544"/>
      <c r="AY85" s="1544"/>
      <c r="AZ85" s="1544"/>
      <c r="BA85" s="1544"/>
      <c r="BB85" s="230"/>
      <c r="BC85" s="230"/>
      <c r="BD85" s="1235"/>
      <c r="BE85" s="1235"/>
      <c r="BF85" s="1235"/>
      <c r="BG85" s="1236"/>
      <c r="BH85" s="1236"/>
      <c r="BI85" s="1333"/>
    </row>
    <row customHeight="1" ht="14.625">
      <c r="E86" s="797">
        <v>15</v>
      </c>
      <c r="W86" s="171" t="s">
        <v>1205</v>
      </c>
      <c r="AA86" s="213"/>
      <c r="AB86" s="1478" t="s">
        <v>706</v>
      </c>
      <c r="AC86" s="1479"/>
      <c r="AD86" s="383"/>
      <c r="AE86" s="383"/>
      <c r="AF86" s="383"/>
      <c r="AG86" s="383"/>
      <c r="AH86" s="383"/>
      <c r="AI86" s="383"/>
      <c r="AJ86" s="383"/>
      <c r="AK86" s="383"/>
      <c r="AL86" s="383"/>
      <c r="AM86" s="383"/>
      <c r="AN86" s="383"/>
      <c r="AO86" s="383"/>
      <c r="AP86" s="383"/>
      <c r="AQ86" s="383"/>
      <c r="AR86" s="383"/>
      <c r="AS86" s="383"/>
      <c r="AT86" s="383"/>
      <c r="AU86" s="383"/>
      <c r="AV86" s="383"/>
      <c r="AW86" s="383"/>
      <c r="AX86" s="383"/>
      <c r="AY86" s="383"/>
      <c r="AZ86" s="383"/>
      <c r="BA86" s="350"/>
    </row>
    <row customHeight="1" ht="11.25">
      <c r="AE87" s="230"/>
      <c r="AF87" s="230"/>
      <c r="AG87" s="230"/>
      <c r="AH87" s="230"/>
      <c r="AI87" s="230"/>
      <c r="AJ87" s="230"/>
      <c r="AK87" s="230"/>
      <c r="AL87" s="230"/>
      <c r="AM87" s="230"/>
      <c r="AN87" s="230"/>
      <c r="AO87" s="230"/>
      <c r="AP87" s="230"/>
      <c r="AQ87" s="230"/>
      <c r="AR87" s="230"/>
      <c r="AS87" s="230"/>
      <c r="AT87" s="230"/>
      <c r="AU87" s="230"/>
      <c r="AV87" s="230"/>
      <c r="AW87" s="230"/>
      <c r="AX87" s="230"/>
      <c r="BB87" s="230"/>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D74E9-0948-EF18-1CD8-8D9020FDD13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28125" hidden="1" customWidth="1"/>
    <col min="7" max="7" style="500" width="8.140625" hidden="1" customWidth="1"/>
    <col min="8" max="19" style="500" width="3.57421875" hidden="1" customWidth="1"/>
    <col min="20" max="20" style="1582" width="8.281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220" width="3.00390625" customWidth="1"/>
    <col min="28" max="28" style="220" width="7.3828125" customWidth="1"/>
    <col min="29" max="29" style="220" width="54.1328125" customWidth="1"/>
    <col min="30" max="30" style="220" width="11.25390625" customWidth="1"/>
    <col min="31" max="31" style="220" width="23.00390625" customWidth="1"/>
    <col min="32" max="32" style="220" width="12.6328125" customWidth="1"/>
    <col min="33" max="33" style="220" width="23.75390625" customWidth="1"/>
    <col min="34" max="35" style="220" width="12.6328125" customWidth="1"/>
    <col min="36" max="44" style="220" width="12.6328125" hidden="1" customWidth="1"/>
    <col min="45" max="45" style="220" width="12.6328125" customWidth="1"/>
    <col min="46" max="54" style="220" width="12.6328125" hidden="1" customWidth="1"/>
    <col min="55" max="55" style="220" width="20.6328125" customWidth="1"/>
    <col min="56" max="56" style="220" width="3.00390625" customWidth="1"/>
    <col min="57" max="57" style="220" width="8.8515625" hidden="1"/>
    <col min="58" max="58" style="1219" width="8.8515625" hidden="1"/>
  </cols>
  <sheetData>
    <row s="1582" customFormat="1" customHeight="1" ht="12" hidden="1">
      <c r="B1" s="788"/>
      <c r="E1" s="788"/>
      <c r="F1" s="819" t="s">
        <v>83</v>
      </c>
      <c r="G1" s="213"/>
      <c r="H1" s="213"/>
      <c r="I1" s="213"/>
      <c r="J1" s="213"/>
      <c r="K1" s="213"/>
      <c r="L1" s="213"/>
      <c r="M1" s="213"/>
      <c r="N1" s="213"/>
      <c r="O1" s="213"/>
      <c r="P1" s="213"/>
      <c r="Q1" s="213"/>
      <c r="R1" s="213"/>
      <c r="S1" s="213"/>
      <c r="T1" s="808" t="s">
        <v>86</v>
      </c>
      <c r="U1" s="808" t="s">
        <v>91</v>
      </c>
      <c r="V1" s="808" t="s">
        <v>87</v>
      </c>
      <c r="W1" s="808" t="s">
        <v>88</v>
      </c>
      <c r="X1" s="808" t="s">
        <v>89</v>
      </c>
      <c r="Y1" s="819" t="s">
        <v>372</v>
      </c>
      <c r="Z1" s="808" t="s">
        <v>93</v>
      </c>
      <c r="AA1" s="819" t="s">
        <v>90</v>
      </c>
      <c r="AB1" s="819" t="s">
        <v>92</v>
      </c>
      <c r="AI1" s="1582"/>
      <c r="AJ1" s="1582"/>
      <c r="AK1" s="1582"/>
      <c r="AL1" s="1582"/>
      <c r="AM1" s="1582"/>
      <c r="AN1" s="1582"/>
      <c r="AO1" s="1582"/>
      <c r="AP1" s="1582"/>
      <c r="AQ1" s="1582"/>
      <c r="AR1" s="1582"/>
      <c r="AS1" s="1582"/>
      <c r="AT1" s="1582"/>
      <c r="AU1" s="1582"/>
      <c r="AV1" s="1582"/>
      <c r="AW1" s="1582"/>
      <c r="AX1" s="1582"/>
      <c r="AY1" s="1582"/>
      <c r="AZ1" s="1582"/>
      <c r="BA1" s="1582"/>
      <c r="BB1" s="1582"/>
      <c r="BF1" s="1184" t="s">
        <v>373</v>
      </c>
    </row>
    <row s="927" customFormat="1" customHeight="1" ht="12" hidden="1">
      <c r="B2" s="910" t="s">
        <v>15</v>
      </c>
      <c r="G2" s="930"/>
      <c r="H2" s="930"/>
      <c r="I2" s="930"/>
      <c r="J2" s="930"/>
      <c r="K2" s="930"/>
      <c r="L2" s="930"/>
      <c r="M2" s="930"/>
      <c r="N2" s="930"/>
      <c r="O2" s="930"/>
      <c r="P2" s="930"/>
      <c r="Q2" s="930"/>
      <c r="R2" s="930"/>
      <c r="S2" s="930"/>
      <c r="AI2" s="809">
        <f>AI6&lt;=last_year_vis</f>
        <v>1</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1</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F2" s="1176"/>
    </row>
    <row s="1582" customFormat="1" customHeight="1" ht="12" hidden="1">
      <c r="B3" s="788"/>
      <c r="E3" s="788"/>
      <c r="G3" s="213"/>
      <c r="H3" s="213"/>
      <c r="I3" s="213"/>
      <c r="J3" s="213"/>
      <c r="K3" s="213"/>
      <c r="L3" s="213"/>
      <c r="M3" s="213"/>
      <c r="N3" s="213"/>
      <c r="O3" s="213"/>
      <c r="P3" s="213"/>
      <c r="Q3" s="213"/>
      <c r="R3" s="213"/>
      <c r="S3" s="213"/>
      <c r="AI3" s="1582"/>
      <c r="AJ3" s="1582"/>
      <c r="AK3" s="1582"/>
      <c r="AL3" s="1582"/>
      <c r="AM3" s="1582"/>
      <c r="AN3" s="1582"/>
      <c r="AO3" s="1582"/>
      <c r="AP3" s="1582"/>
      <c r="AQ3" s="1582"/>
      <c r="AR3" s="1582"/>
      <c r="AS3" s="1582"/>
      <c r="AT3" s="1582"/>
      <c r="AU3" s="1582"/>
      <c r="AV3" s="1582"/>
      <c r="AW3" s="1582"/>
      <c r="AX3" s="1582"/>
      <c r="AY3" s="1582"/>
      <c r="AZ3" s="1582"/>
      <c r="BA3" s="1582"/>
      <c r="BB3" s="1582"/>
      <c r="BF3" s="1184"/>
    </row>
    <row s="1582" customFormat="1" customHeight="1" ht="12" hidden="1">
      <c r="B4" s="788"/>
      <c r="E4" s="788"/>
      <c r="G4" s="213"/>
      <c r="H4" s="213"/>
      <c r="I4" s="213"/>
      <c r="J4" s="213"/>
      <c r="K4" s="213"/>
      <c r="L4" s="213"/>
      <c r="M4" s="213"/>
      <c r="N4" s="213"/>
      <c r="O4" s="213"/>
      <c r="P4" s="213"/>
      <c r="Q4" s="213"/>
      <c r="R4" s="213"/>
      <c r="S4" s="213"/>
      <c r="AI4" s="1582"/>
      <c r="AJ4" s="1582"/>
      <c r="AK4" s="1582"/>
      <c r="AL4" s="1582"/>
      <c r="AM4" s="1582"/>
      <c r="AN4" s="1582"/>
      <c r="AO4" s="1582"/>
      <c r="AP4" s="1582"/>
      <c r="AQ4" s="1582"/>
      <c r="AR4" s="1582"/>
      <c r="AS4" s="1582"/>
      <c r="AT4" s="1582"/>
      <c r="AU4" s="1582"/>
      <c r="AV4" s="1582"/>
      <c r="AW4" s="1582"/>
      <c r="AX4" s="1582"/>
      <c r="AY4" s="1582"/>
      <c r="AZ4" s="1582"/>
      <c r="BA4" s="1582"/>
      <c r="BB4" s="1582"/>
      <c r="BF4" s="1184"/>
    </row>
    <row s="925" customFormat="1" customHeight="1" ht="12" hidden="1">
      <c r="A5" s="788"/>
      <c r="B5" s="788"/>
      <c r="C5" s="788"/>
      <c r="D5" s="788"/>
      <c r="E5" s="797" t="s">
        <v>16</v>
      </c>
      <c r="G5" s="931"/>
      <c r="H5" s="931"/>
      <c r="I5" s="931"/>
      <c r="J5" s="931"/>
      <c r="K5" s="931"/>
      <c r="L5" s="931"/>
      <c r="M5" s="931"/>
      <c r="N5" s="931"/>
      <c r="O5" s="931"/>
      <c r="P5" s="931"/>
      <c r="Q5" s="931"/>
      <c r="R5" s="931"/>
      <c r="S5" s="931"/>
      <c r="AA5" s="797">
        <v>3</v>
      </c>
      <c r="AB5" s="797">
        <v>7.38</v>
      </c>
      <c r="AC5" s="797">
        <v>54.13</v>
      </c>
      <c r="AD5" s="797">
        <v>11.25</v>
      </c>
      <c r="AE5" s="797">
        <v>23</v>
      </c>
      <c r="AF5" s="797">
        <v>12.63</v>
      </c>
      <c r="AG5" s="797">
        <v>23.75</v>
      </c>
      <c r="AH5" s="797">
        <v>12.63</v>
      </c>
      <c r="AI5" s="797">
        <v>12.63</v>
      </c>
      <c r="AJ5" s="797">
        <v>12.63</v>
      </c>
      <c r="AK5" s="797">
        <v>12.63</v>
      </c>
      <c r="AL5" s="797">
        <v>12.63</v>
      </c>
      <c r="AM5" s="797">
        <v>12.63</v>
      </c>
      <c r="AN5" s="797">
        <v>12.63</v>
      </c>
      <c r="AO5" s="797">
        <v>12.63</v>
      </c>
      <c r="AP5" s="797">
        <v>12.63</v>
      </c>
      <c r="AQ5" s="797">
        <v>12.63</v>
      </c>
      <c r="AR5" s="797">
        <v>12.63</v>
      </c>
      <c r="AS5" s="797">
        <v>12.63</v>
      </c>
      <c r="AT5" s="797">
        <v>12.63</v>
      </c>
      <c r="AU5" s="797">
        <v>12.63</v>
      </c>
      <c r="AV5" s="797">
        <v>12.63</v>
      </c>
      <c r="AW5" s="797">
        <v>12.63</v>
      </c>
      <c r="AX5" s="797">
        <v>12.63</v>
      </c>
      <c r="AY5" s="797">
        <v>12.63</v>
      </c>
      <c r="AZ5" s="797">
        <v>12.63</v>
      </c>
      <c r="BA5" s="797">
        <v>12.63</v>
      </c>
      <c r="BB5" s="797">
        <v>12.63</v>
      </c>
      <c r="BC5" s="797">
        <v>20.63</v>
      </c>
      <c r="BD5" s="797">
        <v>3</v>
      </c>
      <c r="BF5" s="1176"/>
    </row>
    <row s="1582" customFormat="1" customHeight="1" ht="12" hidden="1">
      <c r="B6" s="788"/>
      <c r="E6" s="797"/>
      <c r="G6" s="213"/>
      <c r="H6" s="213"/>
      <c r="I6" s="213"/>
      <c r="J6" s="213"/>
      <c r="K6" s="213"/>
      <c r="L6" s="213"/>
      <c r="M6" s="213"/>
      <c r="N6" s="213"/>
      <c r="O6" s="213"/>
      <c r="P6" s="213"/>
      <c r="Q6" s="213"/>
      <c r="R6" s="213"/>
      <c r="S6" s="213"/>
      <c r="AE6" s="175">
        <f>god-2</f>
        <v>2024</v>
      </c>
      <c r="AF6" s="175">
        <f>god-2</f>
        <v>2024</v>
      </c>
      <c r="AG6" s="175">
        <f>god-1</f>
        <v>2025</v>
      </c>
      <c r="AH6" s="175">
        <f>god-1</f>
        <v>2025</v>
      </c>
      <c r="AI6" s="175" cm="1" t="str">
        <f t="array" ref="AI6:AI6">god</f>
        <v>2026</v>
      </c>
      <c r="AJ6" s="175">
        <f>god+1</f>
        <v>2027</v>
      </c>
      <c r="AK6" s="175">
        <f>god+2</f>
        <v>2028</v>
      </c>
      <c r="AL6" s="175">
        <f>god+3</f>
        <v>2029</v>
      </c>
      <c r="AM6" s="175">
        <f>god+4</f>
        <v>2030</v>
      </c>
      <c r="AN6" s="175">
        <f>god+5</f>
        <v>2031</v>
      </c>
      <c r="AO6" s="175">
        <f>god+6</f>
        <v>2032</v>
      </c>
      <c r="AP6" s="175">
        <f>god+7</f>
        <v>2033</v>
      </c>
      <c r="AQ6" s="175">
        <f>god+8</f>
        <v>2034</v>
      </c>
      <c r="AR6" s="175">
        <f>god+9</f>
        <v>2035</v>
      </c>
      <c r="AS6" s="175" cm="1" t="str">
        <f t="array" ref="AS6:AS6">god</f>
        <v>2026</v>
      </c>
      <c r="AT6" s="175">
        <f>god+1</f>
        <v>2027</v>
      </c>
      <c r="AU6" s="175">
        <f>god+2</f>
        <v>2028</v>
      </c>
      <c r="AV6" s="175">
        <f>god+3</f>
        <v>2029</v>
      </c>
      <c r="AW6" s="175">
        <f>god+4</f>
        <v>2030</v>
      </c>
      <c r="AX6" s="175">
        <f>god+5</f>
        <v>2031</v>
      </c>
      <c r="AY6" s="175">
        <f>god+6</f>
        <v>2032</v>
      </c>
      <c r="AZ6" s="175">
        <f>god+7</f>
        <v>2033</v>
      </c>
      <c r="BA6" s="175">
        <f>god+8</f>
        <v>2034</v>
      </c>
      <c r="BB6" s="175">
        <f>god+9</f>
        <v>2035</v>
      </c>
      <c r="BF6" s="1184"/>
    </row>
    <row s="500" customFormat="1" customHeight="1" ht="12" hidden="1">
      <c r="A7" s="175"/>
      <c r="B7" s="788"/>
      <c r="C7" s="175"/>
      <c r="D7" s="175"/>
      <c r="E7" s="797"/>
      <c r="AE7" s="213" cm="1" t="str">
        <f t="array" ref="AE7:AE7">AE27</f>
        <v>Капитальные вложения в соответствии с инвестиционной программой, утвержденной в установленном порядке</v>
      </c>
      <c r="AF7" s="213" cm="1" t="str">
        <f t="array" ref="AF7:AF7">AF27</f>
        <v>Принято органом регулирования</v>
      </c>
      <c r="AG7" s="213" cm="1" t="str">
        <f t="array" ref="AG7:AG7">AG27</f>
        <v>Капитальные вложения в соответствии с инвестиционной программой, утвержденной в установленном порядке</v>
      </c>
      <c r="AH7" s="213" cm="1" t="str">
        <f t="array" ref="AH7:AH7">AH27</f>
        <v>Принято органом регулирования</v>
      </c>
      <c r="AI7" s="213" cm="1" t="str">
        <f t="array" ref="AI7:AI7">AI27</f>
        <v>Предложение организации</v>
      </c>
      <c r="AJ7" s="213" cm="1" t="str">
        <f t="array" ref="AJ7:AJ7">AJ27</f>
        <v>Предложение организации</v>
      </c>
      <c r="AK7" s="213" cm="1" t="str">
        <f t="array" ref="AK7:AK7">AK27</f>
        <v>Предложение организации</v>
      </c>
      <c r="AL7" s="213" cm="1" t="str">
        <f t="array" ref="AL7:AL7">AL27</f>
        <v>Предложение организации</v>
      </c>
      <c r="AM7" s="213" cm="1" t="str">
        <f t="array" ref="AM7:AM7">AM27</f>
        <v>Предложение организации</v>
      </c>
      <c r="AN7" s="213" cm="1" t="str">
        <f t="array" ref="AN7:AN7">AN27</f>
        <v>Предложение организации</v>
      </c>
      <c r="AO7" s="213" cm="1" t="str">
        <f t="array" ref="AO7:AO7">AO27</f>
        <v>Предложение организации</v>
      </c>
      <c r="AP7" s="213" cm="1" t="str">
        <f t="array" ref="AP7:AP7">AP27</f>
        <v>Предложение организации</v>
      </c>
      <c r="AQ7" s="213" cm="1" t="str">
        <f t="array" ref="AQ7:AQ7">AQ27</f>
        <v>Предложение организации</v>
      </c>
      <c r="AR7" s="213" cm="1" t="str">
        <f t="array" ref="AR7:AR7">AR27</f>
        <v>Предложение организации</v>
      </c>
      <c r="AS7" s="213" cm="1" t="str">
        <f t="array" ref="AS7:AS7">AS27</f>
        <v>Принято органом регулирования</v>
      </c>
      <c r="AT7" s="213" cm="1" t="str">
        <f t="array" ref="AT7:AT7">AT27</f>
        <v>Принято органом регулирования</v>
      </c>
      <c r="AU7" s="213" cm="1" t="str">
        <f t="array" ref="AU7:AU7">AU27</f>
        <v>Принято органом регулирования</v>
      </c>
      <c r="AV7" s="213" cm="1" t="str">
        <f t="array" ref="AV7:AV7">AV27</f>
        <v>Принято органом регулирования</v>
      </c>
      <c r="AW7" s="213" cm="1" t="str">
        <f t="array" ref="AW7:AW7">AW27</f>
        <v>Принято органом регулирования</v>
      </c>
      <c r="AX7" s="213" cm="1" t="str">
        <f t="array" ref="AX7:AX7">AX27</f>
        <v>Принято органом регулирования</v>
      </c>
      <c r="AY7" s="213" cm="1" t="str">
        <f t="array" ref="AY7:AY7">AY27</f>
        <v>Принято органом регулирования</v>
      </c>
      <c r="AZ7" s="213" cm="1" t="str">
        <f t="array" ref="AZ7:AZ7">AZ27</f>
        <v>Принято органом регулирования</v>
      </c>
      <c r="BA7" s="213" cm="1" t="str">
        <f t="array" ref="BA7:BA7">BA27</f>
        <v>Принято органом регулирования</v>
      </c>
      <c r="BB7" s="213" cm="1" t="str">
        <f t="array" ref="BB7:BB7">BB27</f>
        <v>Принято органом регулирования</v>
      </c>
      <c r="BF7" s="1184"/>
    </row>
    <row s="500" customFormat="1" customHeight="1" ht="12" hidden="1">
      <c r="A8" s="175"/>
      <c r="B8" s="788"/>
      <c r="C8" s="175"/>
      <c r="D8" s="175"/>
      <c r="E8" s="797"/>
      <c r="AI8" s="500"/>
      <c r="AJ8" s="500"/>
      <c r="AK8" s="500"/>
      <c r="AL8" s="500"/>
      <c r="AM8" s="500"/>
      <c r="AN8" s="500"/>
      <c r="AO8" s="500"/>
      <c r="AP8" s="500"/>
      <c r="AQ8" s="500"/>
      <c r="AR8" s="500"/>
      <c r="AS8" s="500"/>
      <c r="AT8" s="500"/>
      <c r="AU8" s="500"/>
      <c r="AV8" s="500"/>
      <c r="AW8" s="500"/>
      <c r="AX8" s="500"/>
      <c r="AY8" s="500"/>
      <c r="AZ8" s="500"/>
      <c r="BA8" s="500"/>
      <c r="BB8" s="500"/>
      <c r="BF8" s="1184"/>
    </row>
    <row s="1217" customFormat="1" customHeight="1" ht="12" hidden="1">
      <c r="A9" s="1161" t="s">
        <v>437</v>
      </c>
      <c r="B9" s="1154"/>
      <c r="E9" s="1154"/>
      <c r="AE9" s="1162">
        <f>god-2</f>
        <v>2024</v>
      </c>
      <c r="AF9" s="1162">
        <f>god-2</f>
        <v>2024</v>
      </c>
      <c r="AG9" s="1162">
        <f>god-1</f>
        <v>2025</v>
      </c>
      <c r="AH9" s="1162">
        <f>god-1</f>
        <v>2025</v>
      </c>
      <c r="AI9" s="1162" cm="1" t="str">
        <f t="array" ref="AI9:AI9">god</f>
        <v>2026</v>
      </c>
      <c r="AJ9" s="1162">
        <f>god+1</f>
        <v>2027</v>
      </c>
      <c r="AK9" s="1162">
        <f>god+2</f>
        <v>2028</v>
      </c>
      <c r="AL9" s="1162">
        <f>god+3</f>
        <v>2029</v>
      </c>
      <c r="AM9" s="1162">
        <f>god+4</f>
        <v>2030</v>
      </c>
      <c r="AN9" s="1162">
        <f>god+5</f>
        <v>2031</v>
      </c>
      <c r="AO9" s="1162">
        <f>god+6</f>
        <v>2032</v>
      </c>
      <c r="AP9" s="1162">
        <f>god+7</f>
        <v>2033</v>
      </c>
      <c r="AQ9" s="1162">
        <f>god+8</f>
        <v>2034</v>
      </c>
      <c r="AR9" s="1162">
        <f>god+9</f>
        <v>2035</v>
      </c>
      <c r="AS9" s="1162" cm="1" t="str">
        <f t="array" ref="AS9:AS9">god</f>
        <v>2026</v>
      </c>
      <c r="AT9" s="1162">
        <f>god+1</f>
        <v>2027</v>
      </c>
      <c r="AU9" s="1162">
        <f>god+2</f>
        <v>2028</v>
      </c>
      <c r="AV9" s="1162">
        <f>god+3</f>
        <v>2029</v>
      </c>
      <c r="AW9" s="1162">
        <f>god+4</f>
        <v>2030</v>
      </c>
      <c r="AX9" s="1162">
        <f>god+5</f>
        <v>2031</v>
      </c>
      <c r="AY9" s="1162">
        <f>god+6</f>
        <v>2032</v>
      </c>
      <c r="AZ9" s="1162">
        <f>god+7</f>
        <v>2033</v>
      </c>
      <c r="BA9" s="1162">
        <f>god+8</f>
        <v>2034</v>
      </c>
      <c r="BB9" s="1162">
        <f>god+9</f>
        <v>2035</v>
      </c>
      <c r="BF9" s="1184"/>
    </row>
    <row s="1217" customFormat="1" customHeight="1" ht="12" hidden="1">
      <c r="A10" s="1161" t="s">
        <v>438</v>
      </c>
      <c r="B10" s="1154"/>
      <c r="E10" s="1154"/>
      <c r="AE10" s="1162" cm="1" t="str">
        <f t="array" ref="AE10:AE10">AE27</f>
        <v>Капитальные вложения в соответствии с инвестиционной программой, утвержденной в установленном порядке</v>
      </c>
      <c r="AF10" s="1162" cm="1" t="str">
        <f t="array" ref="AF10:AF10">AF27</f>
        <v>Принято органом регулирования</v>
      </c>
      <c r="AG10" s="1162" cm="1" t="str">
        <f t="array" ref="AG10:AG10">AG27</f>
        <v>Капитальные вложения в соответствии с инвестиционной программой, утвержденной в установленном порядке</v>
      </c>
      <c r="AH10" s="1162" cm="1" t="str">
        <f t="array" ref="AH10:AH10">AH27</f>
        <v>Принято органом регулирования</v>
      </c>
      <c r="AI10" s="1162" cm="1" t="str">
        <f t="array" ref="AI10:AI10">AI27</f>
        <v>Предложение организации</v>
      </c>
      <c r="AJ10" s="1162" cm="1" t="str">
        <f t="array" ref="AJ10:AJ10">AJ27</f>
        <v>Предложение организации</v>
      </c>
      <c r="AK10" s="1162" cm="1" t="str">
        <f t="array" ref="AK10:AK10">AK27</f>
        <v>Предложение организации</v>
      </c>
      <c r="AL10" s="1162" cm="1" t="str">
        <f t="array" ref="AL10:AL10">AL27</f>
        <v>Предложение организации</v>
      </c>
      <c r="AM10" s="1162" cm="1" t="str">
        <f t="array" ref="AM10:AM10">AM27</f>
        <v>Предложение организации</v>
      </c>
      <c r="AN10" s="1162" cm="1" t="str">
        <f t="array" ref="AN10:AN10">AN27</f>
        <v>Предложение организации</v>
      </c>
      <c r="AO10" s="1162" cm="1" t="str">
        <f t="array" ref="AO10:AO10">AO27</f>
        <v>Предложение организации</v>
      </c>
      <c r="AP10" s="1162" cm="1" t="str">
        <f t="array" ref="AP10:AP10">AP27</f>
        <v>Предложение организации</v>
      </c>
      <c r="AQ10" s="1162" cm="1" t="str">
        <f t="array" ref="AQ10:AQ10">AQ27</f>
        <v>Предложение организации</v>
      </c>
      <c r="AR10" s="1162" cm="1" t="str">
        <f t="array" ref="AR10:AR10">AR27</f>
        <v>Предложение организации</v>
      </c>
      <c r="AS10" s="1162" cm="1" t="str">
        <f t="array" ref="AS10:AS10">AS27</f>
        <v>Принято органом регулирования</v>
      </c>
      <c r="AT10" s="1162" cm="1" t="str">
        <f t="array" ref="AT10:AT10">AT27</f>
        <v>Принято органом регулирования</v>
      </c>
      <c r="AU10" s="1162" cm="1" t="str">
        <f t="array" ref="AU10:AU10">AU27</f>
        <v>Принято органом регулирования</v>
      </c>
      <c r="AV10" s="1162" cm="1" t="str">
        <f t="array" ref="AV10:AV10">AV27</f>
        <v>Принято органом регулирования</v>
      </c>
      <c r="AW10" s="1162" cm="1" t="str">
        <f t="array" ref="AW10:AW10">AW27</f>
        <v>Принято органом регулирования</v>
      </c>
      <c r="AX10" s="1162" cm="1" t="str">
        <f t="array" ref="AX10:AX10">AX27</f>
        <v>Принято органом регулирования</v>
      </c>
      <c r="AY10" s="1162" cm="1" t="str">
        <f t="array" ref="AY10:AY10">AY27</f>
        <v>Принято органом регулирования</v>
      </c>
      <c r="AZ10" s="1162" cm="1" t="str">
        <f t="array" ref="AZ10:AZ10">AZ27</f>
        <v>Принято органом регулирования</v>
      </c>
      <c r="BA10" s="1162" cm="1" t="str">
        <f t="array" ref="BA10:BA10">BA27</f>
        <v>Принято органом регулирования</v>
      </c>
      <c r="BB10" s="1162" cm="1" t="str">
        <f t="array" ref="BB10:BB10">BB27</f>
        <v>Принято органом регулирования</v>
      </c>
      <c r="BF10" s="1184"/>
    </row>
    <row s="1217" customFormat="1" customHeight="1" ht="12" hidden="1">
      <c r="A11" s="1161" t="s">
        <v>439</v>
      </c>
      <c r="B11" s="1154"/>
      <c r="E11" s="1154"/>
      <c r="G11" s="1170"/>
      <c r="H11" s="1170"/>
      <c r="I11" s="1170"/>
      <c r="J11" s="1170"/>
      <c r="K11" s="1170"/>
      <c r="L11" s="1170"/>
      <c r="M11" s="1170"/>
      <c r="N11" s="1170"/>
      <c r="O11" s="1170"/>
      <c r="P11" s="1170"/>
      <c r="Q11" s="1170"/>
      <c r="R11" s="1170"/>
      <c r="S11" s="1170"/>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162" cm="1" t="str">
        <f t="array" ref="BC11:BC11">BC26</f>
        <v>Ссылка на правовую норму (основание для принятия показателя в расчет тарифа)</v>
      </c>
      <c r="BF11" s="1184"/>
    </row>
    <row s="1582" customFormat="1" customHeight="1" ht="12" hidden="1">
      <c r="B12" s="788"/>
      <c r="E12" s="797"/>
      <c r="G12" s="213"/>
      <c r="H12" s="213"/>
      <c r="I12" s="213"/>
      <c r="J12" s="213"/>
      <c r="K12" s="213"/>
      <c r="L12" s="213"/>
      <c r="M12" s="213"/>
      <c r="N12" s="213"/>
      <c r="O12" s="213"/>
      <c r="P12" s="213"/>
      <c r="Q12" s="213"/>
      <c r="R12" s="213"/>
      <c r="S12" s="213"/>
      <c r="AI12" s="1582"/>
      <c r="AJ12" s="1582"/>
      <c r="AK12" s="1582"/>
      <c r="AL12" s="1582"/>
      <c r="AM12" s="1582"/>
      <c r="AN12" s="1582"/>
      <c r="AO12" s="1582"/>
      <c r="AP12" s="1582"/>
      <c r="AQ12" s="1582"/>
      <c r="AR12" s="1582"/>
      <c r="AS12" s="1582"/>
      <c r="AT12" s="1582"/>
      <c r="AU12" s="1582"/>
      <c r="AV12" s="1582"/>
      <c r="AW12" s="1582"/>
      <c r="AX12" s="1582"/>
      <c r="AY12" s="1582"/>
      <c r="AZ12" s="1582"/>
      <c r="BA12" s="1582"/>
      <c r="BB12" s="1582"/>
      <c r="BF12" s="1184"/>
    </row>
    <row s="1582" customFormat="1" customHeight="1" ht="12" hidden="1">
      <c r="B13" s="788"/>
      <c r="E13" s="797"/>
      <c r="G13" s="213"/>
      <c r="H13" s="213"/>
      <c r="I13" s="213"/>
      <c r="J13" s="213"/>
      <c r="K13" s="213"/>
      <c r="L13" s="213"/>
      <c r="M13" s="213"/>
      <c r="N13" s="213"/>
      <c r="O13" s="213"/>
      <c r="P13" s="213"/>
      <c r="Q13" s="213"/>
      <c r="R13" s="213"/>
      <c r="S13" s="213"/>
      <c r="AI13" s="1582"/>
      <c r="AJ13" s="1582"/>
      <c r="AK13" s="1582"/>
      <c r="AL13" s="1582"/>
      <c r="AM13" s="1582"/>
      <c r="AN13" s="1582"/>
      <c r="AO13" s="1582"/>
      <c r="AP13" s="1582"/>
      <c r="AQ13" s="1582"/>
      <c r="AR13" s="1582"/>
      <c r="AS13" s="1582"/>
      <c r="AT13" s="1582"/>
      <c r="AU13" s="1582"/>
      <c r="AV13" s="1582"/>
      <c r="AW13" s="1582"/>
      <c r="AX13" s="1582"/>
      <c r="AY13" s="1582"/>
      <c r="AZ13" s="1582"/>
      <c r="BA13" s="1582"/>
      <c r="BB13" s="1582"/>
      <c r="BF13" s="1184"/>
    </row>
    <row s="1582" customFormat="1" customHeight="1" ht="12" hidden="1">
      <c r="B14" s="788"/>
      <c r="E14" s="797"/>
      <c r="G14" s="213"/>
      <c r="H14" s="213"/>
      <c r="I14" s="213"/>
      <c r="J14" s="213"/>
      <c r="K14" s="213"/>
      <c r="L14" s="213"/>
      <c r="M14" s="213"/>
      <c r="N14" s="213"/>
      <c r="O14" s="213"/>
      <c r="P14" s="213"/>
      <c r="Q14" s="213"/>
      <c r="R14" s="213"/>
      <c r="S14" s="213"/>
      <c r="AI14" s="1582"/>
      <c r="AJ14" s="1582"/>
      <c r="AK14" s="1582"/>
      <c r="AL14" s="1582"/>
      <c r="AM14" s="1582"/>
      <c r="AN14" s="1582"/>
      <c r="AO14" s="1582"/>
      <c r="AP14" s="1582"/>
      <c r="AQ14" s="1582"/>
      <c r="AR14" s="1582"/>
      <c r="AS14" s="1582"/>
      <c r="AT14" s="1582"/>
      <c r="AU14" s="1582"/>
      <c r="AV14" s="1582"/>
      <c r="AW14" s="1582"/>
      <c r="AX14" s="1582"/>
      <c r="AY14" s="1582"/>
      <c r="AZ14" s="1582"/>
      <c r="BA14" s="1582"/>
      <c r="BB14" s="1582"/>
      <c r="BF14" s="1184"/>
    </row>
    <row s="1582" customFormat="1" customHeight="1" ht="12" hidden="1">
      <c r="B15" s="788"/>
      <c r="E15" s="797"/>
      <c r="G15" s="213"/>
      <c r="H15" s="213"/>
      <c r="I15" s="213"/>
      <c r="J15" s="213"/>
      <c r="K15" s="213"/>
      <c r="L15" s="213"/>
      <c r="M15" s="213"/>
      <c r="N15" s="213"/>
      <c r="O15" s="213"/>
      <c r="P15" s="213"/>
      <c r="Q15" s="213"/>
      <c r="R15" s="213"/>
      <c r="S15" s="213"/>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F15" s="1184"/>
    </row>
    <row s="1582" customFormat="1" customHeight="1" ht="12" hidden="1">
      <c r="B16" s="788"/>
      <c r="E16" s="797"/>
      <c r="G16" s="213"/>
      <c r="H16" s="213"/>
      <c r="I16" s="213"/>
      <c r="J16" s="213"/>
      <c r="K16" s="213"/>
      <c r="L16" s="213"/>
      <c r="M16" s="213"/>
      <c r="N16" s="213"/>
      <c r="O16" s="213"/>
      <c r="P16" s="213"/>
      <c r="Q16" s="213"/>
      <c r="R16" s="213"/>
      <c r="S16" s="213"/>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F16" s="1184"/>
    </row>
    <row s="1582" customFormat="1" customHeight="1" ht="12" hidden="1">
      <c r="B17" s="788"/>
      <c r="E17" s="797"/>
      <c r="G17" s="213"/>
      <c r="H17" s="213"/>
      <c r="I17" s="213"/>
      <c r="J17" s="213"/>
      <c r="K17" s="213"/>
      <c r="L17" s="213"/>
      <c r="M17" s="213"/>
      <c r="N17" s="213"/>
      <c r="O17" s="213"/>
      <c r="P17" s="213"/>
      <c r="Q17" s="213"/>
      <c r="R17" s="213"/>
      <c r="S17" s="213"/>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F17" s="1184"/>
    </row>
    <row s="1582" customFormat="1" customHeight="1" ht="12" hidden="1">
      <c r="B18" s="788"/>
      <c r="E18" s="797"/>
      <c r="G18" s="213"/>
      <c r="H18" s="213"/>
      <c r="I18" s="213"/>
      <c r="J18" s="213"/>
      <c r="K18" s="213"/>
      <c r="L18" s="213"/>
      <c r="M18" s="213"/>
      <c r="N18" s="213"/>
      <c r="O18" s="213"/>
      <c r="P18" s="213"/>
      <c r="Q18" s="213"/>
      <c r="R18" s="213"/>
      <c r="S18" s="213"/>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F18" s="1184"/>
    </row>
    <row s="1582" customFormat="1" customHeight="1" ht="12" hidden="1">
      <c r="B19" s="788"/>
      <c r="E19" s="797"/>
      <c r="G19" s="213"/>
      <c r="H19" s="213"/>
      <c r="I19" s="213"/>
      <c r="J19" s="213"/>
      <c r="K19" s="213"/>
      <c r="L19" s="213"/>
      <c r="M19" s="213"/>
      <c r="N19" s="213"/>
      <c r="O19" s="213"/>
      <c r="P19" s="213"/>
      <c r="Q19" s="213"/>
      <c r="R19" s="213"/>
      <c r="S19" s="213"/>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F19" s="1184"/>
    </row>
    <row s="1582" customFormat="1" customHeight="1" ht="12" hidden="1">
      <c r="B20" s="788"/>
      <c r="E20" s="797"/>
      <c r="G20" s="213"/>
      <c r="H20" s="213"/>
      <c r="I20" s="213"/>
      <c r="J20" s="213"/>
      <c r="K20" s="213"/>
      <c r="L20" s="213"/>
      <c r="M20" s="213"/>
      <c r="N20" s="213"/>
      <c r="O20" s="213"/>
      <c r="P20" s="213"/>
      <c r="Q20" s="213"/>
      <c r="R20" s="213"/>
      <c r="S20" s="213"/>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F20" s="1184"/>
    </row>
    <row customHeight="1" ht="14.625">
      <c r="E21" s="797">
        <v>15</v>
      </c>
      <c r="AA21" s="820"/>
      <c r="AC21" s="403" cm="1" t="str">
        <f t="array" ref="AC21:AC21">tpl_title</f>
        <v>Кемеровская область / 2026 / ООО "ВЕЛЕС" (ИНН:4212036655, КПП:421201001) / ДПР: 2016-2025</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7">
        <v>20.1</v>
      </c>
      <c r="AB22" s="392" t="s">
        <v>75</v>
      </c>
      <c r="AC22" s="307"/>
      <c r="AD22" s="307"/>
      <c r="AE22" s="307"/>
      <c r="AF22" s="307"/>
      <c r="AG22" s="307"/>
      <c r="AH22" s="307"/>
      <c r="AI22" s="307"/>
      <c r="AJ22" s="307"/>
      <c r="AK22" s="307"/>
      <c r="AL22" s="307"/>
      <c r="AM22" s="307"/>
      <c r="AN22" s="307"/>
      <c r="AO22" s="307"/>
      <c r="AP22" s="307"/>
      <c r="AQ22" s="307"/>
      <c r="AR22" s="307"/>
      <c r="AS22" s="307"/>
      <c r="AT22" s="308"/>
      <c r="AU22" s="308"/>
      <c r="AV22" s="308"/>
      <c r="AW22" s="308"/>
      <c r="AX22" s="308"/>
      <c r="AY22" s="308"/>
      <c r="AZ22" s="308"/>
      <c r="BA22" s="308"/>
      <c r="BB22" s="308"/>
      <c r="BC22" s="308"/>
    </row>
    <row customHeight="1" ht="11.0175">
      <c r="E23" s="797">
        <v>11.3</v>
      </c>
      <c r="AI23" s="220"/>
      <c r="AJ23" s="220"/>
      <c r="AK23" s="220"/>
      <c r="AL23" s="220"/>
      <c r="AM23" s="220"/>
      <c r="AN23" s="220"/>
      <c r="AO23" s="220"/>
      <c r="AP23" s="220"/>
      <c r="AQ23" s="220"/>
      <c r="AR23" s="220"/>
      <c r="AS23" s="220"/>
      <c r="AT23" s="220"/>
      <c r="AU23" s="220"/>
      <c r="AV23" s="220"/>
      <c r="AW23" s="220"/>
      <c r="AX23" s="220"/>
      <c r="AY23" s="220"/>
      <c r="AZ23" s="220"/>
      <c r="BA23" s="220"/>
      <c r="BB23" s="220"/>
    </row>
    <row customHeight="1" ht="21.9375">
      <c r="E24" s="797">
        <v>22.5</v>
      </c>
      <c r="AB24" s="1567" t="s">
        <v>2046</v>
      </c>
      <c r="AC24" s="1567"/>
      <c r="AD24" s="402" t="str">
        <f>"нет"</f>
        <v>нет</v>
      </c>
      <c r="AI24" s="220"/>
      <c r="AJ24" s="220"/>
      <c r="AK24" s="220"/>
      <c r="AL24" s="220"/>
      <c r="AM24" s="220"/>
      <c r="AN24" s="220"/>
      <c r="AO24" s="220"/>
      <c r="AP24" s="220"/>
      <c r="AQ24" s="220"/>
      <c r="AR24" s="220"/>
      <c r="AS24" s="220"/>
      <c r="AT24" s="220"/>
      <c r="AU24" s="220"/>
      <c r="AV24" s="220"/>
      <c r="AW24" s="220"/>
      <c r="AX24" s="220"/>
      <c r="AY24" s="220"/>
      <c r="AZ24" s="220"/>
      <c r="BA24" s="220"/>
      <c r="BB24" s="220"/>
    </row>
    <row customHeight="1" ht="11.0175">
      <c r="E25" s="797">
        <v>11.3</v>
      </c>
      <c r="AI25" s="220"/>
      <c r="AJ25" s="220"/>
      <c r="AK25" s="220"/>
      <c r="AL25" s="220"/>
      <c r="AM25" s="220"/>
      <c r="AN25" s="220"/>
      <c r="AO25" s="220"/>
      <c r="AP25" s="220"/>
      <c r="AQ25" s="220"/>
      <c r="AR25" s="220"/>
      <c r="AS25" s="220"/>
      <c r="AT25" s="220"/>
      <c r="AU25" s="220"/>
      <c r="AV25" s="220"/>
      <c r="AW25" s="220"/>
      <c r="AX25" s="220"/>
      <c r="AY25" s="220"/>
      <c r="AZ25" s="220"/>
      <c r="BA25" s="220"/>
      <c r="BB25" s="220"/>
    </row>
    <row customHeight="1" ht="14.625">
      <c r="E26" s="797">
        <v>15</v>
      </c>
      <c r="AB26" s="1468" t="s">
        <v>386</v>
      </c>
      <c r="AC26" s="1475" t="s">
        <v>2047</v>
      </c>
      <c r="AD26" s="1475" t="s">
        <v>441</v>
      </c>
      <c r="AE26" s="169" t="str">
        <f>god-2&amp;" год"</f>
        <v>2024 год</v>
      </c>
      <c r="AF26" s="169" t="str">
        <f>god-2&amp;" год"</f>
        <v>2024 год</v>
      </c>
      <c r="AG26" s="414" t="str">
        <f>god-1&amp;" год"</f>
        <v>2025 год</v>
      </c>
      <c r="AH26" s="414" t="str">
        <f>god-1&amp;" год"</f>
        <v>2025 год</v>
      </c>
      <c r="AI26" s="1356" t="str">
        <f>god&amp;" год"</f>
        <v>2026 год</v>
      </c>
      <c r="AJ26" s="1356" t="str">
        <f>god+1&amp;" год"</f>
        <v>2027 год</v>
      </c>
      <c r="AK26" s="1356" t="str">
        <f>god+2&amp;" год"</f>
        <v>2028 год</v>
      </c>
      <c r="AL26" s="1356" t="str">
        <f>god+3&amp;" год"</f>
        <v>2029 год</v>
      </c>
      <c r="AM26" s="1356" t="str">
        <f>god+4&amp;" год"</f>
        <v>2030 год</v>
      </c>
      <c r="AN26" s="1356" t="str">
        <f>god+5&amp;" год"</f>
        <v>2031 год</v>
      </c>
      <c r="AO26" s="1356" t="str">
        <f>god+6&amp;" год"</f>
        <v>2032 год</v>
      </c>
      <c r="AP26" s="1356" t="str">
        <f>god+7&amp;" год"</f>
        <v>2033 год</v>
      </c>
      <c r="AQ26" s="1356" t="str">
        <f>god+8&amp;" год"</f>
        <v>2034 год</v>
      </c>
      <c r="AR26" s="1356" t="str">
        <f>god+9&amp;" год"</f>
        <v>2035 год</v>
      </c>
      <c r="AS26" s="170" t="str">
        <f>god&amp;" год"</f>
        <v>2026 год</v>
      </c>
      <c r="AT26" s="170" t="str">
        <f>god+1&amp;" год"</f>
        <v>2027 год</v>
      </c>
      <c r="AU26" s="170" t="str">
        <f>god+2&amp;" год"</f>
        <v>2028 год</v>
      </c>
      <c r="AV26" s="170" t="str">
        <f>god+3&amp;" год"</f>
        <v>2029 год</v>
      </c>
      <c r="AW26" s="170" t="str">
        <f>god+4&amp;" год"</f>
        <v>2030 год</v>
      </c>
      <c r="AX26" s="170" t="str">
        <f>god+5&amp;" год"</f>
        <v>2031 год</v>
      </c>
      <c r="AY26" s="170" t="str">
        <f>god+6&amp;" год"</f>
        <v>2032 год</v>
      </c>
      <c r="AZ26" s="170" t="str">
        <f>god+7&amp;" год"</f>
        <v>2033 год</v>
      </c>
      <c r="BA26" s="170" t="str">
        <f>god+8&amp;" год"</f>
        <v>2034 год</v>
      </c>
      <c r="BB26" s="170" t="str">
        <f>god+9&amp;" год"</f>
        <v>2035 год</v>
      </c>
      <c r="BC26" s="1475" t="s">
        <v>595</v>
      </c>
    </row>
    <row s="1462" customFormat="1" customHeight="1" ht="74.5875">
      <c r="B27" s="792"/>
      <c r="E27" s="803">
        <v>76.5</v>
      </c>
      <c r="G27" s="215"/>
      <c r="H27" s="215"/>
      <c r="I27" s="215"/>
      <c r="J27" s="215"/>
      <c r="K27" s="215"/>
      <c r="L27" s="215"/>
      <c r="M27" s="215"/>
      <c r="N27" s="215"/>
      <c r="O27" s="215"/>
      <c r="P27" s="215"/>
      <c r="Q27" s="215"/>
      <c r="R27" s="215"/>
      <c r="S27" s="215"/>
      <c r="AB27" s="1468"/>
      <c r="AC27" s="1475"/>
      <c r="AD27" s="1475"/>
      <c r="AE27" s="169" t="s">
        <v>2048</v>
      </c>
      <c r="AF27" s="169" t="s">
        <v>402</v>
      </c>
      <c r="AG27" s="169" t="s">
        <v>2048</v>
      </c>
      <c r="AH27" s="322" t="s">
        <v>402</v>
      </c>
      <c r="AI27" s="1357" t="s">
        <v>403</v>
      </c>
      <c r="AJ27" s="1357" t="s">
        <v>403</v>
      </c>
      <c r="AK27" s="1357" t="s">
        <v>403</v>
      </c>
      <c r="AL27" s="1357" t="s">
        <v>403</v>
      </c>
      <c r="AM27" s="1357" t="s">
        <v>403</v>
      </c>
      <c r="AN27" s="1357" t="s">
        <v>403</v>
      </c>
      <c r="AO27" s="1357" t="s">
        <v>403</v>
      </c>
      <c r="AP27" s="1357" t="s">
        <v>403</v>
      </c>
      <c r="AQ27" s="1357" t="s">
        <v>403</v>
      </c>
      <c r="AR27" s="1357" t="s">
        <v>403</v>
      </c>
      <c r="AS27" s="413" t="s">
        <v>402</v>
      </c>
      <c r="AT27" s="413" t="s">
        <v>402</v>
      </c>
      <c r="AU27" s="413" t="s">
        <v>402</v>
      </c>
      <c r="AV27" s="413" t="s">
        <v>402</v>
      </c>
      <c r="AW27" s="413" t="s">
        <v>402</v>
      </c>
      <c r="AX27" s="413" t="s">
        <v>402</v>
      </c>
      <c r="AY27" s="413" t="s">
        <v>402</v>
      </c>
      <c r="AZ27" s="413" t="s">
        <v>402</v>
      </c>
      <c r="BA27" s="413" t="s">
        <v>402</v>
      </c>
      <c r="BB27" s="413" t="s">
        <v>402</v>
      </c>
      <c r="BC27" s="1475"/>
      <c r="BF27" s="1184"/>
    </row>
    <row s="1462" customFormat="1" customHeight="1" ht="16.5" hidden="1">
      <c r="B28" s="792"/>
      <c r="E28" s="803">
        <v>0</v>
      </c>
      <c r="G28" s="215"/>
      <c r="H28" s="215"/>
      <c r="I28" s="215"/>
      <c r="J28" s="215"/>
      <c r="K28" s="215"/>
      <c r="L28" s="215"/>
      <c r="M28" s="215"/>
      <c r="N28" s="215"/>
      <c r="O28" s="215"/>
      <c r="P28" s="215"/>
      <c r="Q28" s="215"/>
      <c r="R28" s="215"/>
      <c r="S28" s="215"/>
      <c r="AB28" s="374"/>
      <c r="AD28" s="521"/>
      <c r="AE28" s="521"/>
      <c r="AF28" s="521"/>
      <c r="AG28" s="521"/>
      <c r="AH28" s="521"/>
      <c r="AI28" s="1462"/>
      <c r="AJ28" s="1462"/>
      <c r="AK28" s="1462"/>
      <c r="AL28" s="1462"/>
      <c r="AM28" s="1462"/>
      <c r="AN28" s="1462"/>
      <c r="AO28" s="1462"/>
      <c r="AP28" s="1462"/>
      <c r="AQ28" s="1462"/>
      <c r="AR28" s="1462"/>
      <c r="AS28" s="1462"/>
      <c r="AT28" s="1462"/>
      <c r="AU28" s="1462"/>
      <c r="AV28" s="1462"/>
      <c r="AW28" s="1462"/>
      <c r="AX28" s="1462"/>
      <c r="AY28" s="1462"/>
      <c r="AZ28" s="1462"/>
      <c r="BA28" s="1462"/>
      <c r="BB28" s="1462"/>
      <c r="BC28" s="521"/>
      <c r="BF28" s="1184"/>
    </row>
    <row customHeight="1" ht="11.115" hidden="1">
      <c r="E29" s="797">
        <v>11.4</v>
      </c>
      <c r="F29" s="922" cm="1" t="str">
        <f t="array" ref="F29:F29">X29</f>
        <v>0</v>
      </c>
      <c r="T29" s="808">
        <f>X29&gt;0</f>
        <v>0</v>
      </c>
      <c r="V29" s="175" t="s">
        <v>310</v>
      </c>
      <c r="X29" s="175">
        <v>0</v>
      </c>
      <c r="AB29" s="330" cm="1" t="str">
        <f t="array" ref="AB29:AB29">INDEX('Общие сведения'!$AG$169:$AG$202,MATCH($F29,'Общие сведения'!$Z$169:$Z$202,0))</f>
        <v>Тариф 0 (Теплоснабжение) - </v>
      </c>
      <c r="AC29" s="33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row>
    <row s="319" customFormat="1" customHeight="1" ht="22.23" hidden="1">
      <c r="E30" s="797">
        <v>22.8</v>
      </c>
      <c r="F30" s="922" cm="1" t="str">
        <f t="array" ref="F30:F30">OFFSET(G30,-1,-1)</f>
        <v>0</v>
      </c>
      <c r="T30" s="808" cm="1" t="str">
        <f t="array" ref="T30:T30">T29</f>
        <v>false</v>
      </c>
      <c r="AB30" s="317"/>
      <c r="AC30" s="313" t="s">
        <v>2049</v>
      </c>
      <c r="AD30" s="318" t="s">
        <v>810</v>
      </c>
      <c r="AE30" s="309">
        <f>AE31+AE40+AE44+AE48+AE39</f>
        <v>0</v>
      </c>
      <c r="AF30" s="309">
        <f>AF31+AF40+AF44+AF48+AF39</f>
        <v>0</v>
      </c>
      <c r="AG30" s="309">
        <f>AG31+AG40+AG44+AG48+AG39</f>
        <v>0</v>
      </c>
      <c r="AH30" s="309">
        <f>AH31+AH40+AH44+AH48+AH39</f>
        <v>0</v>
      </c>
      <c r="AI30" s="309">
        <f>AI31+AI40+AI44+AI48+AI39</f>
        <v>0</v>
      </c>
      <c r="AJ30" s="309">
        <f>AJ31+AJ40+AJ44+AJ48+AJ39</f>
        <v>0</v>
      </c>
      <c r="AK30" s="309">
        <f>AK31+AK40+AK44+AK48+AK39</f>
        <v>0</v>
      </c>
      <c r="AL30" s="309">
        <f>AL31+AL40+AL44+AL48+AL39</f>
        <v>0</v>
      </c>
      <c r="AM30" s="309">
        <f>AM31+AM40+AM44+AM48+AM39</f>
        <v>0</v>
      </c>
      <c r="AN30" s="309">
        <f>AN31+AN40+AN44+AN48+AN39</f>
        <v>0</v>
      </c>
      <c r="AO30" s="309">
        <f>AO31+AO40+AO44+AO48+AO39</f>
        <v>0</v>
      </c>
      <c r="AP30" s="309">
        <f>AP31+AP40+AP44+AP48+AP39</f>
        <v>0</v>
      </c>
      <c r="AQ30" s="309">
        <f>AQ31+AQ40+AQ44+AQ48+AQ39</f>
        <v>0</v>
      </c>
      <c r="AR30" s="309">
        <f>AR31+AR40+AR44+AR48+AR39</f>
        <v>0</v>
      </c>
      <c r="AS30" s="309">
        <f>AS31+AS40+AS44+AS48+AS39</f>
        <v>0</v>
      </c>
      <c r="AT30" s="309">
        <f>AT31+AT40+AT44+AT48+AT39</f>
        <v>0</v>
      </c>
      <c r="AU30" s="309">
        <f>AU31+AU40+AU44+AU48+AU39</f>
        <v>0</v>
      </c>
      <c r="AV30" s="309">
        <f>AV31+AV40+AV44+AV48+AV39</f>
        <v>0</v>
      </c>
      <c r="AW30" s="309">
        <f>AW31+AW40+AW44+AW48+AW39</f>
        <v>0</v>
      </c>
      <c r="AX30" s="309">
        <f>AX31+AX40+AX44+AX48+AX39</f>
        <v>0</v>
      </c>
      <c r="AY30" s="309">
        <f>AY31+AY40+AY44+AY48+AY39</f>
        <v>0</v>
      </c>
      <c r="AZ30" s="309">
        <f>AZ31+AZ40+AZ44+AZ48+AZ39</f>
        <v>0</v>
      </c>
      <c r="BA30" s="309">
        <f>BA31+BA40+BA44+BA48+BA39</f>
        <v>0</v>
      </c>
      <c r="BB30" s="309">
        <f>BB31+BB40+BB44+BB48+BB39</f>
        <v>0</v>
      </c>
      <c r="BC30" s="73"/>
      <c r="BF30" s="1184" t="s">
        <v>600</v>
      </c>
    </row>
    <row customHeight="1" ht="16.672500000000003" hidden="1">
      <c r="E31" s="797">
        <v>17.1</v>
      </c>
      <c r="F31" s="922" cm="1" t="str">
        <f t="array" ref="F31:F31">OFFSET(G31,-1,-1)</f>
        <v>0</v>
      </c>
      <c r="T31" s="808" cm="1" t="str">
        <f t="array" ref="T31:T31">T30</f>
        <v>false</v>
      </c>
      <c r="AB31" s="169">
        <v>1</v>
      </c>
      <c r="AC31" s="315" t="s">
        <v>2050</v>
      </c>
      <c r="AD31" s="312" t="s">
        <v>810</v>
      </c>
      <c r="AE31" s="310">
        <f>AE32+AE33+AE34+AE37+AE38</f>
        <v>0</v>
      </c>
      <c r="AF31" s="310">
        <f>AF32+AF33+AF34+AF37+AF38</f>
        <v>0</v>
      </c>
      <c r="AG31" s="310">
        <f>AG32+AG33+AG34+AG37+AG38</f>
        <v>0</v>
      </c>
      <c r="AH31" s="310">
        <f>AH32+AH33+AH34+AH37+AH38</f>
        <v>0</v>
      </c>
      <c r="AI31" s="310">
        <f>AI32+AI33+AI34+AI37+AI38</f>
        <v>0</v>
      </c>
      <c r="AJ31" s="310">
        <f>AJ32+AJ33+AJ34+AJ37+AJ38</f>
        <v>0</v>
      </c>
      <c r="AK31" s="310">
        <f>AK32+AK33+AK34+AK37+AK38</f>
        <v>0</v>
      </c>
      <c r="AL31" s="310">
        <f>AL32+AL33+AL34+AL37+AL38</f>
        <v>0</v>
      </c>
      <c r="AM31" s="310">
        <f>AM32+AM33+AM34+AM37+AM38</f>
        <v>0</v>
      </c>
      <c r="AN31" s="310">
        <f>AN32+AN33+AN34+AN37+AN38</f>
        <v>0</v>
      </c>
      <c r="AO31" s="310">
        <f>AO32+AO33+AO34+AO37+AO38</f>
        <v>0</v>
      </c>
      <c r="AP31" s="310">
        <f>AP32+AP33+AP34+AP37+AP38</f>
        <v>0</v>
      </c>
      <c r="AQ31" s="310">
        <f>AQ32+AQ33+AQ34+AQ37+AQ38</f>
        <v>0</v>
      </c>
      <c r="AR31" s="310">
        <f>AR32+AR33+AR34+AR37+AR38</f>
        <v>0</v>
      </c>
      <c r="AS31" s="310">
        <f>AS32+AS33+AS34+AS37+AS38</f>
        <v>0</v>
      </c>
      <c r="AT31" s="310">
        <f>AT32+AT33+AT34+AT37+AT38</f>
        <v>0</v>
      </c>
      <c r="AU31" s="310">
        <f>AU32+AU33+AU34+AU37+AU38</f>
        <v>0</v>
      </c>
      <c r="AV31" s="310">
        <f>AV32+AV33+AV34+AV37+AV38</f>
        <v>0</v>
      </c>
      <c r="AW31" s="310">
        <f>AW32+AW33+AW34+AW37+AW38</f>
        <v>0</v>
      </c>
      <c r="AX31" s="310">
        <f>AX32+AX33+AX34+AX37+AX38</f>
        <v>0</v>
      </c>
      <c r="AY31" s="310">
        <f>AY32+AY33+AY34+AY37+AY38</f>
        <v>0</v>
      </c>
      <c r="AZ31" s="310">
        <f>AZ32+AZ33+AZ34+AZ37+AZ38</f>
        <v>0</v>
      </c>
      <c r="BA31" s="310">
        <f>BA32+BA33+BA34+BA37+BA38</f>
        <v>0</v>
      </c>
      <c r="BB31" s="310">
        <f>BB32+BB33+BB34+BB37+BB38</f>
        <v>0</v>
      </c>
      <c r="BC31" s="73"/>
      <c r="BF31" s="1184" t="s">
        <v>614</v>
      </c>
    </row>
    <row customHeight="1" ht="22.23" hidden="1">
      <c r="E32" s="797">
        <v>22.8</v>
      </c>
      <c r="F32" s="922" cm="1" t="str">
        <f t="array" ref="F32:F32">OFFSET(G32,-1,-1)</f>
        <v>0</v>
      </c>
      <c r="T32" s="808" cm="1" t="str">
        <f t="array" ref="T32:T32">T31</f>
        <v>false</v>
      </c>
      <c r="AB32" s="314" t="s">
        <v>449</v>
      </c>
      <c r="AC32" s="315" t="s">
        <v>2051</v>
      </c>
      <c r="AD32" s="312" t="s">
        <v>810</v>
      </c>
      <c r="AE32" s="98"/>
      <c r="AF32" s="98"/>
      <c r="AG32" s="98"/>
      <c r="AH32" s="98"/>
      <c r="AI32" s="1868"/>
      <c r="AJ32" s="98"/>
      <c r="AK32" s="98"/>
      <c r="AL32" s="98"/>
      <c r="AM32" s="98"/>
      <c r="AN32" s="98"/>
      <c r="AO32" s="98"/>
      <c r="AP32" s="98"/>
      <c r="AQ32" s="98"/>
      <c r="AR32" s="98"/>
      <c r="AS32" s="1868"/>
      <c r="AT32" s="98"/>
      <c r="AU32" s="98"/>
      <c r="AV32" s="98"/>
      <c r="AW32" s="98"/>
      <c r="AX32" s="98"/>
      <c r="AY32" s="98"/>
      <c r="AZ32" s="98"/>
      <c r="BA32" s="98"/>
      <c r="BB32" s="98"/>
      <c r="BC32" s="73"/>
      <c r="BF32" s="1184" t="s">
        <v>1372</v>
      </c>
    </row>
    <row customHeight="1" ht="33.345000000000006" hidden="1">
      <c r="E33" s="797">
        <v>34.2</v>
      </c>
      <c r="F33" s="922" cm="1" t="str">
        <f t="array" ref="F33:F33">OFFSET(G33,-1,-1)</f>
        <v>0</v>
      </c>
      <c r="T33" s="808" cm="1" t="str">
        <f t="array" ref="T33:T33">T32</f>
        <v>false</v>
      </c>
      <c r="AB33" s="314" t="s">
        <v>935</v>
      </c>
      <c r="AC33" s="315" t="s">
        <v>2052</v>
      </c>
      <c r="AD33" s="312" t="s">
        <v>810</v>
      </c>
      <c r="AE33" s="98"/>
      <c r="AF33" s="98"/>
      <c r="AG33" s="98"/>
      <c r="AH33" s="98"/>
      <c r="AI33" s="1868"/>
      <c r="AJ33" s="98"/>
      <c r="AK33" s="98"/>
      <c r="AL33" s="98"/>
      <c r="AM33" s="98"/>
      <c r="AN33" s="98"/>
      <c r="AO33" s="98"/>
      <c r="AP33" s="98"/>
      <c r="AQ33" s="98"/>
      <c r="AR33" s="98"/>
      <c r="AS33" s="1868"/>
      <c r="AT33" s="98"/>
      <c r="AU33" s="98"/>
      <c r="AV33" s="98"/>
      <c r="AW33" s="98"/>
      <c r="AX33" s="98"/>
      <c r="AY33" s="98"/>
      <c r="AZ33" s="98"/>
      <c r="BA33" s="98"/>
      <c r="BB33" s="98"/>
      <c r="BC33" s="73"/>
      <c r="BF33" s="1184" t="s">
        <v>2053</v>
      </c>
    </row>
    <row customHeight="1" ht="16.672500000000003" hidden="1">
      <c r="E34" s="797">
        <v>17.1</v>
      </c>
      <c r="F34" s="922" cm="1" t="str">
        <f t="array" ref="F34:F34">OFFSET(G34,-1,-1)</f>
        <v>0</v>
      </c>
      <c r="T34" s="808" cm="1" t="str">
        <f t="array" ref="T34:T34">T33</f>
        <v>false</v>
      </c>
      <c r="AB34" s="314" t="s">
        <v>937</v>
      </c>
      <c r="AC34" s="315" t="s">
        <v>2054</v>
      </c>
      <c r="AD34" s="312" t="s">
        <v>810</v>
      </c>
      <c r="AE34" s="98"/>
      <c r="AF34" s="98"/>
      <c r="AG34" s="98"/>
      <c r="AH34" s="98"/>
      <c r="AI34" s="1868"/>
      <c r="AJ34" s="98"/>
      <c r="AK34" s="98"/>
      <c r="AL34" s="98"/>
      <c r="AM34" s="98"/>
      <c r="AN34" s="98"/>
      <c r="AO34" s="98"/>
      <c r="AP34" s="98"/>
      <c r="AQ34" s="98"/>
      <c r="AR34" s="98"/>
      <c r="AS34" s="1868"/>
      <c r="AT34" s="98"/>
      <c r="AU34" s="98"/>
      <c r="AV34" s="98"/>
      <c r="AW34" s="98"/>
      <c r="AX34" s="98"/>
      <c r="AY34" s="98"/>
      <c r="AZ34" s="98"/>
      <c r="BA34" s="98"/>
      <c r="BB34" s="98"/>
      <c r="BC34" s="73"/>
      <c r="BF34" s="1184" t="s">
        <v>1380</v>
      </c>
    </row>
    <row customHeight="1" ht="22.23" hidden="1">
      <c r="E35" s="797">
        <v>22.8</v>
      </c>
      <c r="F35" s="922" cm="1" t="str">
        <f t="array" ref="F35:F35">OFFSET(G35,-1,-1)</f>
        <v>0</v>
      </c>
      <c r="T35" s="808" cm="1" t="str">
        <f t="array" ref="T35:T35">T34</f>
        <v>false</v>
      </c>
      <c r="AB35" s="314" t="s">
        <v>1169</v>
      </c>
      <c r="AC35" s="315" t="s">
        <v>2055</v>
      </c>
      <c r="AD35" s="312" t="s">
        <v>810</v>
      </c>
      <c r="AE35" s="98"/>
      <c r="AF35" s="98"/>
      <c r="AG35" s="98"/>
      <c r="AH35" s="98"/>
      <c r="AI35" s="1868"/>
      <c r="AJ35" s="98"/>
      <c r="AK35" s="98"/>
      <c r="AL35" s="98"/>
      <c r="AM35" s="98"/>
      <c r="AN35" s="98"/>
      <c r="AO35" s="98"/>
      <c r="AP35" s="98"/>
      <c r="AQ35" s="98"/>
      <c r="AR35" s="98"/>
      <c r="AS35" s="1868"/>
      <c r="AT35" s="98"/>
      <c r="AU35" s="98"/>
      <c r="AV35" s="98"/>
      <c r="AW35" s="98"/>
      <c r="AX35" s="98"/>
      <c r="AY35" s="98"/>
      <c r="AZ35" s="98"/>
      <c r="BA35" s="98"/>
      <c r="BB35" s="98"/>
      <c r="BC35" s="73"/>
      <c r="BF35" s="1184" t="s">
        <v>2056</v>
      </c>
    </row>
    <row customHeight="1" ht="55.57500000000001" hidden="1">
      <c r="E36" s="797">
        <v>57</v>
      </c>
      <c r="F36" s="922" cm="1" t="str">
        <f t="array" ref="F36:F36">OFFSET(G36,-1,-1)</f>
        <v>0</v>
      </c>
      <c r="T36" s="808" cm="1" t="str">
        <f t="array" ref="T36:T36">T35</f>
        <v>false</v>
      </c>
      <c r="AB36" s="314" t="s">
        <v>1173</v>
      </c>
      <c r="AC36" s="315" t="s">
        <v>2057</v>
      </c>
      <c r="AD36" s="312" t="s">
        <v>810</v>
      </c>
      <c r="AE36" s="98"/>
      <c r="AF36" s="98"/>
      <c r="AG36" s="98"/>
      <c r="AH36" s="98"/>
      <c r="AI36" s="1868"/>
      <c r="AJ36" s="98"/>
      <c r="AK36" s="98"/>
      <c r="AL36" s="98"/>
      <c r="AM36" s="98"/>
      <c r="AN36" s="98"/>
      <c r="AO36" s="98"/>
      <c r="AP36" s="98"/>
      <c r="AQ36" s="98"/>
      <c r="AR36" s="98"/>
      <c r="AS36" s="1868"/>
      <c r="AT36" s="98"/>
      <c r="AU36" s="98"/>
      <c r="AV36" s="98"/>
      <c r="AW36" s="98"/>
      <c r="AX36" s="98"/>
      <c r="AY36" s="98"/>
      <c r="AZ36" s="98"/>
      <c r="BA36" s="98"/>
      <c r="BB36" s="98"/>
      <c r="BC36" s="73"/>
      <c r="BF36" s="1184" t="s">
        <v>2058</v>
      </c>
    </row>
    <row customHeight="1" ht="44.46" hidden="1">
      <c r="E37" s="797">
        <v>45.6</v>
      </c>
      <c r="F37" s="922" cm="1" t="str">
        <f t="array" ref="F37:F37">OFFSET(G37,-1,-1)</f>
        <v>0</v>
      </c>
      <c r="T37" s="808" cm="1" t="str">
        <f t="array" ref="T37:T37">T36</f>
        <v>false</v>
      </c>
      <c r="AB37" s="314" t="s">
        <v>941</v>
      </c>
      <c r="AC37" s="315" t="s">
        <v>2059</v>
      </c>
      <c r="AD37" s="312" t="s">
        <v>810</v>
      </c>
      <c r="AE37" s="98"/>
      <c r="AF37" s="98"/>
      <c r="AG37" s="98"/>
      <c r="AH37" s="98"/>
      <c r="AI37" s="1868"/>
      <c r="AJ37" s="98"/>
      <c r="AK37" s="98"/>
      <c r="AL37" s="98"/>
      <c r="AM37" s="98"/>
      <c r="AN37" s="98"/>
      <c r="AO37" s="98"/>
      <c r="AP37" s="98"/>
      <c r="AQ37" s="98"/>
      <c r="AR37" s="98"/>
      <c r="AS37" s="1868"/>
      <c r="AT37" s="98"/>
      <c r="AU37" s="98"/>
      <c r="AV37" s="98"/>
      <c r="AW37" s="98"/>
      <c r="AX37" s="98"/>
      <c r="AY37" s="98"/>
      <c r="AZ37" s="98"/>
      <c r="BA37" s="98"/>
      <c r="BB37" s="98"/>
      <c r="BC37" s="73"/>
      <c r="BF37" s="1184" t="s">
        <v>2060</v>
      </c>
    </row>
    <row customHeight="1" ht="22.23" hidden="1">
      <c r="E38" s="797">
        <v>22.8</v>
      </c>
      <c r="F38" s="922" cm="1" t="str">
        <f t="array" ref="F38:F38">OFFSET(G38,-1,-1)</f>
        <v>0</v>
      </c>
      <c r="T38" s="808" cm="1" t="str">
        <f t="array" ref="T38:T38">T37</f>
        <v>false</v>
      </c>
      <c r="AB38" s="314" t="s">
        <v>1046</v>
      </c>
      <c r="AC38" s="315" t="s">
        <v>2061</v>
      </c>
      <c r="AD38" s="312" t="s">
        <v>810</v>
      </c>
      <c r="AE38" s="98"/>
      <c r="AF38" s="98"/>
      <c r="AG38" s="98"/>
      <c r="AH38" s="98"/>
      <c r="AI38" s="1868"/>
      <c r="AJ38" s="98"/>
      <c r="AK38" s="98"/>
      <c r="AL38" s="98"/>
      <c r="AM38" s="98"/>
      <c r="AN38" s="98"/>
      <c r="AO38" s="98"/>
      <c r="AP38" s="98"/>
      <c r="AQ38" s="98"/>
      <c r="AR38" s="98"/>
      <c r="AS38" s="1868"/>
      <c r="AT38" s="98"/>
      <c r="AU38" s="98"/>
      <c r="AV38" s="98"/>
      <c r="AW38" s="98"/>
      <c r="AX38" s="98"/>
      <c r="AY38" s="98"/>
      <c r="AZ38" s="98"/>
      <c r="BA38" s="98"/>
      <c r="BB38" s="98"/>
      <c r="BC38" s="73"/>
      <c r="BF38" s="1184" t="s">
        <v>1167</v>
      </c>
    </row>
    <row customHeight="1" ht="22.23" hidden="1">
      <c r="E39" s="797">
        <v>22.8</v>
      </c>
      <c r="F39" s="922" cm="1" t="str">
        <f t="array" ref="F39:F39">OFFSET(G39,-1,-1)</f>
        <v>0</v>
      </c>
      <c r="T39" s="808" cm="1" t="str">
        <f t="array" ref="T39:T39">T38</f>
        <v>false</v>
      </c>
      <c r="AB39" s="314" t="s">
        <v>426</v>
      </c>
      <c r="AC39" s="315" t="s">
        <v>2062</v>
      </c>
      <c r="AD39" s="312" t="s">
        <v>810</v>
      </c>
      <c r="AE39" s="98"/>
      <c r="AF39" s="98"/>
      <c r="AG39" s="98"/>
      <c r="AH39" s="98"/>
      <c r="AI39" s="1868"/>
      <c r="AJ39" s="98"/>
      <c r="AK39" s="98"/>
      <c r="AL39" s="98"/>
      <c r="AM39" s="98"/>
      <c r="AN39" s="98"/>
      <c r="AO39" s="98"/>
      <c r="AP39" s="98"/>
      <c r="AQ39" s="98"/>
      <c r="AR39" s="98"/>
      <c r="AS39" s="1868"/>
      <c r="AT39" s="98"/>
      <c r="AU39" s="98"/>
      <c r="AV39" s="98"/>
      <c r="AW39" s="98"/>
      <c r="AX39" s="98"/>
      <c r="AY39" s="98"/>
      <c r="AZ39" s="98"/>
      <c r="BA39" s="98"/>
      <c r="BB39" s="98"/>
      <c r="BC39" s="73"/>
      <c r="BF39" s="1184" t="s">
        <v>1270</v>
      </c>
    </row>
    <row customHeight="1" ht="16.672500000000003" hidden="1">
      <c r="E40" s="797">
        <v>17.1</v>
      </c>
      <c r="F40" s="922" cm="1" t="str">
        <f t="array" ref="F40:F40">OFFSET(G40,-1,-1)</f>
        <v>0</v>
      </c>
      <c r="T40" s="808" cm="1" t="str">
        <f t="array" ref="T40:T40">T39</f>
        <v>false</v>
      </c>
      <c r="AB40" s="314" t="s">
        <v>429</v>
      </c>
      <c r="AC40" s="315" t="s">
        <v>2063</v>
      </c>
      <c r="AD40" s="312" t="s">
        <v>810</v>
      </c>
      <c r="AE40" s="310">
        <f>AE41+AE42+AE43</f>
        <v>0</v>
      </c>
      <c r="AF40" s="310">
        <f>AF41+AF42+AF43</f>
        <v>0</v>
      </c>
      <c r="AG40" s="310">
        <f>AG41+AG42+AG43</f>
        <v>0</v>
      </c>
      <c r="AH40" s="310">
        <f>AH41+AH42+AH43</f>
        <v>0</v>
      </c>
      <c r="AI40" s="310">
        <f>AI41+AI42+AI43</f>
        <v>0</v>
      </c>
      <c r="AJ40" s="310">
        <f>AJ41+AJ42+AJ43</f>
        <v>0</v>
      </c>
      <c r="AK40" s="310">
        <f>AK41+AK42+AK43</f>
        <v>0</v>
      </c>
      <c r="AL40" s="310">
        <f>AL41+AL42+AL43</f>
        <v>0</v>
      </c>
      <c r="AM40" s="310">
        <f>AM41+AM42+AM43</f>
        <v>0</v>
      </c>
      <c r="AN40" s="310">
        <f>AN41+AN42+AN43</f>
        <v>0</v>
      </c>
      <c r="AO40" s="310">
        <f>AO41+AO42+AO43</f>
        <v>0</v>
      </c>
      <c r="AP40" s="310">
        <f>AP41+AP42+AP43</f>
        <v>0</v>
      </c>
      <c r="AQ40" s="310">
        <f>AQ41+AQ42+AQ43</f>
        <v>0</v>
      </c>
      <c r="AR40" s="310">
        <f>AR41+AR42+AR43</f>
        <v>0</v>
      </c>
      <c r="AS40" s="310">
        <f>AS41+AS42+AS43</f>
        <v>0</v>
      </c>
      <c r="AT40" s="310">
        <f>AT41+AT42+AT43</f>
        <v>0</v>
      </c>
      <c r="AU40" s="310">
        <f>AU41+AU42+AU43</f>
        <v>0</v>
      </c>
      <c r="AV40" s="310">
        <f>AV41+AV42+AV43</f>
        <v>0</v>
      </c>
      <c r="AW40" s="310">
        <f>AW41+AW42+AW43</f>
        <v>0</v>
      </c>
      <c r="AX40" s="310">
        <f>AX41+AX42+AX43</f>
        <v>0</v>
      </c>
      <c r="AY40" s="310">
        <f>AY41+AY42+AY43</f>
        <v>0</v>
      </c>
      <c r="AZ40" s="310">
        <f>AZ41+AZ42+AZ43</f>
        <v>0</v>
      </c>
      <c r="BA40" s="310">
        <f>BA41+BA42+BA43</f>
        <v>0</v>
      </c>
      <c r="BB40" s="310">
        <f>BB41+BB42+BB43</f>
        <v>0</v>
      </c>
      <c r="BC40" s="73"/>
      <c r="BF40" s="1184" t="s">
        <v>2064</v>
      </c>
    </row>
    <row customHeight="1" ht="16.672500000000003" hidden="1">
      <c r="E41" s="797">
        <v>17.1</v>
      </c>
      <c r="F41" s="922" cm="1" t="str">
        <f t="array" ref="F41:F41">OFFSET(G41,-1,-1)</f>
        <v>0</v>
      </c>
      <c r="T41" s="808" cm="1" t="str">
        <f t="array" ref="T41:T41">T40</f>
        <v>false</v>
      </c>
      <c r="AB41" s="314" t="s">
        <v>715</v>
      </c>
      <c r="AC41" s="316" t="s">
        <v>2065</v>
      </c>
      <c r="AD41" s="312" t="s">
        <v>810</v>
      </c>
      <c r="AE41" s="98"/>
      <c r="AF41" s="98"/>
      <c r="AG41" s="98"/>
      <c r="AH41" s="98"/>
      <c r="AI41" s="1868"/>
      <c r="AJ41" s="98"/>
      <c r="AK41" s="98"/>
      <c r="AL41" s="98"/>
      <c r="AM41" s="98"/>
      <c r="AN41" s="98"/>
      <c r="AO41" s="98"/>
      <c r="AP41" s="98"/>
      <c r="AQ41" s="98"/>
      <c r="AR41" s="98"/>
      <c r="AS41" s="1868"/>
      <c r="AT41" s="98"/>
      <c r="AU41" s="98"/>
      <c r="AV41" s="98"/>
      <c r="AW41" s="98"/>
      <c r="AX41" s="98"/>
      <c r="AY41" s="98"/>
      <c r="AZ41" s="98"/>
      <c r="BA41" s="98"/>
      <c r="BB41" s="98"/>
      <c r="BC41" s="73"/>
      <c r="BF41" s="1184" t="s">
        <v>1374</v>
      </c>
    </row>
    <row customHeight="1" ht="16.672500000000003" hidden="1">
      <c r="E42" s="797">
        <v>17.1</v>
      </c>
      <c r="F42" s="922" cm="1" t="str">
        <f t="array" ref="F42:F42">OFFSET(G42,-1,-1)</f>
        <v>0</v>
      </c>
      <c r="T42" s="808" cm="1" t="str">
        <f t="array" ref="T42:T42">T41</f>
        <v>false</v>
      </c>
      <c r="AB42" s="314" t="s">
        <v>718</v>
      </c>
      <c r="AC42" s="316" t="s">
        <v>2066</v>
      </c>
      <c r="AD42" s="312" t="s">
        <v>810</v>
      </c>
      <c r="AE42" s="98"/>
      <c r="AF42" s="98"/>
      <c r="AG42" s="98"/>
      <c r="AH42" s="98"/>
      <c r="AI42" s="1868"/>
      <c r="AJ42" s="98"/>
      <c r="AK42" s="98"/>
      <c r="AL42" s="98"/>
      <c r="AM42" s="98"/>
      <c r="AN42" s="98"/>
      <c r="AO42" s="98"/>
      <c r="AP42" s="98"/>
      <c r="AQ42" s="98"/>
      <c r="AR42" s="98"/>
      <c r="AS42" s="1868"/>
      <c r="AT42" s="98"/>
      <c r="AU42" s="98"/>
      <c r="AV42" s="98"/>
      <c r="AW42" s="98"/>
      <c r="AX42" s="98"/>
      <c r="AY42" s="98"/>
      <c r="AZ42" s="98"/>
      <c r="BA42" s="98"/>
      <c r="BB42" s="98"/>
      <c r="BC42" s="73"/>
      <c r="BF42" s="1184" t="s">
        <v>2067</v>
      </c>
    </row>
    <row customHeight="1" ht="16.672500000000003" hidden="1">
      <c r="E43" s="797">
        <v>17.1</v>
      </c>
      <c r="F43" s="922" cm="1" t="str">
        <f t="array" ref="F43:F43">OFFSET(G43,-1,-1)</f>
        <v>0</v>
      </c>
      <c r="T43" s="808" cm="1" t="str">
        <f t="array" ref="T43:T43">T42</f>
        <v>false</v>
      </c>
      <c r="AB43" s="314" t="s">
        <v>1908</v>
      </c>
      <c r="AC43" s="316" t="s">
        <v>2068</v>
      </c>
      <c r="AD43" s="312" t="s">
        <v>810</v>
      </c>
      <c r="AE43" s="98"/>
      <c r="AF43" s="98"/>
      <c r="AG43" s="98"/>
      <c r="AH43" s="98"/>
      <c r="AI43" s="1868"/>
      <c r="AJ43" s="98"/>
      <c r="AK43" s="98"/>
      <c r="AL43" s="98"/>
      <c r="AM43" s="98"/>
      <c r="AN43" s="98"/>
      <c r="AO43" s="98"/>
      <c r="AP43" s="98"/>
      <c r="AQ43" s="98"/>
      <c r="AR43" s="98"/>
      <c r="AS43" s="1868"/>
      <c r="AT43" s="98"/>
      <c r="AU43" s="98"/>
      <c r="AV43" s="98"/>
      <c r="AW43" s="98"/>
      <c r="AX43" s="98"/>
      <c r="AY43" s="98"/>
      <c r="AZ43" s="98"/>
      <c r="BA43" s="98"/>
      <c r="BB43" s="98"/>
      <c r="BC43" s="73"/>
      <c r="BF43" s="1184" t="s">
        <v>2069</v>
      </c>
    </row>
    <row customHeight="1" ht="16.672500000000003" hidden="1">
      <c r="E44" s="797">
        <v>17.1</v>
      </c>
      <c r="F44" s="922" cm="1" t="str">
        <f t="array" ref="F44:F44">OFFSET(G44,-1,-1)</f>
        <v>0</v>
      </c>
      <c r="T44" s="808" cm="1" t="str">
        <f t="array" ref="T44:T44">T43</f>
        <v>false</v>
      </c>
      <c r="AB44" s="314" t="s">
        <v>432</v>
      </c>
      <c r="AC44" s="315" t="s">
        <v>2070</v>
      </c>
      <c r="AD44" s="312" t="s">
        <v>810</v>
      </c>
      <c r="AE44" s="310">
        <f>AE45+AE46+AE47</f>
        <v>0</v>
      </c>
      <c r="AF44" s="310">
        <f>AF45+AF46+AF47</f>
        <v>0</v>
      </c>
      <c r="AG44" s="310">
        <f>AG45+AG46+AG47</f>
        <v>0</v>
      </c>
      <c r="AH44" s="310">
        <f>AH45+AH46+AH47</f>
        <v>0</v>
      </c>
      <c r="AI44" s="310">
        <f>AI45+AI46+AI47</f>
        <v>0</v>
      </c>
      <c r="AJ44" s="310">
        <f>AJ45+AJ46+AJ47</f>
        <v>0</v>
      </c>
      <c r="AK44" s="310">
        <f>AK45+AK46+AK47</f>
        <v>0</v>
      </c>
      <c r="AL44" s="310">
        <f>AL45+AL46+AL47</f>
        <v>0</v>
      </c>
      <c r="AM44" s="310">
        <f>AM45+AM46+AM47</f>
        <v>0</v>
      </c>
      <c r="AN44" s="310">
        <f>AN45+AN46+AN47</f>
        <v>0</v>
      </c>
      <c r="AO44" s="310">
        <f>AO45+AO46+AO47</f>
        <v>0</v>
      </c>
      <c r="AP44" s="310">
        <f>AP45+AP46+AP47</f>
        <v>0</v>
      </c>
      <c r="AQ44" s="310">
        <f>AQ45+AQ46+AQ47</f>
        <v>0</v>
      </c>
      <c r="AR44" s="310">
        <f>AR45+AR46+AR47</f>
        <v>0</v>
      </c>
      <c r="AS44" s="310">
        <f>AS45+AS46+AS47</f>
        <v>0</v>
      </c>
      <c r="AT44" s="310">
        <f>AT45+AT46+AT47</f>
        <v>0</v>
      </c>
      <c r="AU44" s="310">
        <f>AU45+AU46+AU47</f>
        <v>0</v>
      </c>
      <c r="AV44" s="310">
        <f>AV45+AV46+AV47</f>
        <v>0</v>
      </c>
      <c r="AW44" s="310">
        <f>AW45+AW46+AW47</f>
        <v>0</v>
      </c>
      <c r="AX44" s="310">
        <f>AX45+AX46+AX47</f>
        <v>0</v>
      </c>
      <c r="AY44" s="310">
        <f>AY45+AY46+AY47</f>
        <v>0</v>
      </c>
      <c r="AZ44" s="310">
        <f>AZ45+AZ46+AZ47</f>
        <v>0</v>
      </c>
      <c r="BA44" s="310">
        <f>BA45+BA46+BA47</f>
        <v>0</v>
      </c>
      <c r="BB44" s="310">
        <f>BB45+BB46+BB47</f>
        <v>0</v>
      </c>
      <c r="BC44" s="73"/>
      <c r="BF44" s="1184" t="s">
        <v>1793</v>
      </c>
    </row>
    <row customHeight="1" ht="16.672500000000003" hidden="1">
      <c r="E45" s="797">
        <v>17.1</v>
      </c>
      <c r="F45" s="922" cm="1" t="str">
        <f t="array" ref="F45:F45">OFFSET(G45,-1,-1)</f>
        <v>0</v>
      </c>
      <c r="T45" s="808" cm="1" t="str">
        <f t="array" ref="T45:T45">T44</f>
        <v>false</v>
      </c>
      <c r="AB45" s="314" t="s">
        <v>751</v>
      </c>
      <c r="AC45" s="316" t="s">
        <v>2071</v>
      </c>
      <c r="AD45" s="312" t="s">
        <v>810</v>
      </c>
      <c r="AE45" s="98"/>
      <c r="AF45" s="98"/>
      <c r="AG45" s="98"/>
      <c r="AH45" s="98"/>
      <c r="AI45" s="1868"/>
      <c r="AJ45" s="98"/>
      <c r="AK45" s="98"/>
      <c r="AL45" s="98"/>
      <c r="AM45" s="98"/>
      <c r="AN45" s="98"/>
      <c r="AO45" s="98"/>
      <c r="AP45" s="98"/>
      <c r="AQ45" s="98"/>
      <c r="AR45" s="98"/>
      <c r="AS45" s="1868"/>
      <c r="AT45" s="98"/>
      <c r="AU45" s="98"/>
      <c r="AV45" s="98"/>
      <c r="AW45" s="98"/>
      <c r="AX45" s="98"/>
      <c r="AY45" s="98"/>
      <c r="AZ45" s="98"/>
      <c r="BA45" s="98"/>
      <c r="BB45" s="98"/>
      <c r="BC45" s="73"/>
      <c r="BF45" s="1184" t="s">
        <v>2072</v>
      </c>
    </row>
    <row customHeight="1" ht="16.672500000000003" hidden="1">
      <c r="E46" s="797">
        <v>17.1</v>
      </c>
      <c r="F46" s="922" cm="1" t="str">
        <f t="array" ref="F46:F46">OFFSET(G46,-1,-1)</f>
        <v>0</v>
      </c>
      <c r="T46" s="808" cm="1" t="str">
        <f t="array" ref="T46:T46">T45</f>
        <v>false</v>
      </c>
      <c r="AB46" s="314" t="s">
        <v>1609</v>
      </c>
      <c r="AC46" s="316" t="s">
        <v>2073</v>
      </c>
      <c r="AD46" s="312" t="s">
        <v>810</v>
      </c>
      <c r="AE46" s="98"/>
      <c r="AF46" s="98"/>
      <c r="AG46" s="98"/>
      <c r="AH46" s="98"/>
      <c r="AI46" s="1868"/>
      <c r="AJ46" s="98"/>
      <c r="AK46" s="98"/>
      <c r="AL46" s="98"/>
      <c r="AM46" s="98"/>
      <c r="AN46" s="98"/>
      <c r="AO46" s="98"/>
      <c r="AP46" s="98"/>
      <c r="AQ46" s="98"/>
      <c r="AR46" s="98"/>
      <c r="AS46" s="1868"/>
      <c r="AT46" s="98"/>
      <c r="AU46" s="98"/>
      <c r="AV46" s="98"/>
      <c r="AW46" s="98"/>
      <c r="AX46" s="98"/>
      <c r="AY46" s="98"/>
      <c r="AZ46" s="98"/>
      <c r="BA46" s="98"/>
      <c r="BB46" s="98"/>
      <c r="BC46" s="73"/>
      <c r="BF46" s="1184" t="s">
        <v>2074</v>
      </c>
    </row>
    <row customHeight="1" ht="16.672500000000003" hidden="1">
      <c r="E47" s="797">
        <v>17.1</v>
      </c>
      <c r="F47" s="922" cm="1" t="str">
        <f t="array" ref="F47:F47">OFFSET(G47,-1,-1)</f>
        <v>0</v>
      </c>
      <c r="T47" s="808" cm="1" t="str">
        <f t="array" ref="T47:T47">T46</f>
        <v>false</v>
      </c>
      <c r="AB47" s="314" t="s">
        <v>1664</v>
      </c>
      <c r="AC47" s="316" t="s">
        <v>2075</v>
      </c>
      <c r="AD47" s="312" t="s">
        <v>810</v>
      </c>
      <c r="AE47" s="98"/>
      <c r="AF47" s="98"/>
      <c r="AG47" s="98"/>
      <c r="AH47" s="98"/>
      <c r="AI47" s="1868"/>
      <c r="AJ47" s="98"/>
      <c r="AK47" s="98"/>
      <c r="AL47" s="98"/>
      <c r="AM47" s="98"/>
      <c r="AN47" s="98"/>
      <c r="AO47" s="98"/>
      <c r="AP47" s="98"/>
      <c r="AQ47" s="98"/>
      <c r="AR47" s="98"/>
      <c r="AS47" s="1868"/>
      <c r="AT47" s="98"/>
      <c r="AU47" s="98"/>
      <c r="AV47" s="98"/>
      <c r="AW47" s="98"/>
      <c r="AX47" s="98"/>
      <c r="AY47" s="98"/>
      <c r="AZ47" s="98"/>
      <c r="BA47" s="98"/>
      <c r="BB47" s="98"/>
      <c r="BC47" s="73"/>
      <c r="BF47" s="1184" t="s">
        <v>2076</v>
      </c>
    </row>
    <row customHeight="1" ht="16.672500000000003" hidden="1">
      <c r="E48" s="797">
        <v>17.1</v>
      </c>
      <c r="F48" s="922" cm="1" t="str">
        <f t="array" ref="F48:F48">OFFSET(G48,-1,-1)</f>
        <v>0</v>
      </c>
      <c r="T48" s="808" cm="1" t="str">
        <f t="array" ref="T48:T48">T47</f>
        <v>false</v>
      </c>
      <c r="AB48" s="314" t="s">
        <v>435</v>
      </c>
      <c r="AC48" s="316" t="s">
        <v>2077</v>
      </c>
      <c r="AD48" s="312" t="s">
        <v>810</v>
      </c>
      <c r="AE48" s="98"/>
      <c r="AF48" s="98"/>
      <c r="AG48" s="98"/>
      <c r="AH48" s="98"/>
      <c r="AI48" s="1868"/>
      <c r="AJ48" s="98"/>
      <c r="AK48" s="98"/>
      <c r="AL48" s="98"/>
      <c r="AM48" s="98"/>
      <c r="AN48" s="98"/>
      <c r="AO48" s="98"/>
      <c r="AP48" s="98"/>
      <c r="AQ48" s="98"/>
      <c r="AR48" s="98"/>
      <c r="AS48" s="1868"/>
      <c r="AT48" s="98"/>
      <c r="AU48" s="98"/>
      <c r="AV48" s="98"/>
      <c r="AW48" s="98"/>
      <c r="AX48" s="98"/>
      <c r="AY48" s="98"/>
      <c r="AZ48" s="98"/>
      <c r="BA48" s="98"/>
      <c r="BB48" s="98"/>
      <c r="BC48" s="73"/>
      <c r="BF48" s="1184" t="s">
        <v>2078</v>
      </c>
    </row>
    <row s="1632" customFormat="1" customHeight="1" ht="10.5">
      <c r="A49" s="1582"/>
      <c r="B49" s="927"/>
      <c r="C49" s="1582"/>
      <c r="D49" s="1582"/>
      <c r="E49" s="797">
        <v>11.4</v>
      </c>
      <c r="F49" s="922" cm="1" t="str">
        <f t="array" ref="F49:F49">X49</f>
        <v>1</v>
      </c>
      <c r="G49" s="500"/>
      <c r="H49" s="500"/>
      <c r="I49" s="500"/>
      <c r="J49" s="500"/>
      <c r="K49" s="500"/>
      <c r="L49" s="500"/>
      <c r="M49" s="500"/>
      <c r="N49" s="500"/>
      <c r="O49" s="500"/>
      <c r="P49" s="500"/>
      <c r="Q49" s="500"/>
      <c r="R49" s="500"/>
      <c r="S49" s="500"/>
      <c r="T49" s="808">
        <f>X49&gt;0</f>
        <v>1</v>
      </c>
      <c r="U49" s="1582"/>
      <c r="V49" s="175" cm="1" t="str">
        <f t="array" ref="V49:V49">'Калькуляция (МСА)'!$AB$54</f>
        <v>Тариф 1 (Теплоснабжение) - Тариф на тепловую энергию (мощность), поставляемую потребителям (Не определено)</v>
      </c>
      <c r="W49" s="1582"/>
      <c r="X49" s="175" t="s">
        <v>336</v>
      </c>
      <c r="Y49" s="1582"/>
      <c r="Z49" s="1582"/>
      <c r="AA49" s="220"/>
      <c r="AB49" s="330"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220"/>
      <c r="BE49" s="220"/>
      <c r="BF49" s="1219"/>
    </row>
    <row s="2046" customFormat="1" customHeight="1" ht="21.75">
      <c r="A50" s="319"/>
      <c r="B50" s="319"/>
      <c r="C50" s="319"/>
      <c r="D50" s="319"/>
      <c r="E50" s="797">
        <v>22.8</v>
      </c>
      <c r="F50" s="922" cm="1" t="str">
        <f t="array" ref="F50:F50">OFFSET(G50,-1,-1)</f>
        <v>1</v>
      </c>
      <c r="G50" s="319"/>
      <c r="H50" s="319"/>
      <c r="I50" s="319"/>
      <c r="J50" s="319"/>
      <c r="K50" s="319"/>
      <c r="L50" s="319"/>
      <c r="M50" s="319"/>
      <c r="N50" s="319"/>
      <c r="O50" s="319"/>
      <c r="P50" s="319"/>
      <c r="Q50" s="319"/>
      <c r="R50" s="319"/>
      <c r="S50" s="319"/>
      <c r="T50" s="808" cm="1" t="str">
        <f t="array" ref="T50:T50">T49</f>
        <v>true</v>
      </c>
      <c r="U50" s="319"/>
      <c r="V50" s="319"/>
      <c r="W50" s="319"/>
      <c r="X50" s="319"/>
      <c r="Y50" s="319"/>
      <c r="Z50" s="319"/>
      <c r="AA50" s="319"/>
      <c r="AB50" s="317"/>
      <c r="AC50" s="313" t="s">
        <v>2049</v>
      </c>
      <c r="AD50" s="318" t="s">
        <v>810</v>
      </c>
      <c r="AE50" s="309">
        <f>AE51+AE60+AE64+AE68+AE59</f>
        <v>0</v>
      </c>
      <c r="AF50" s="309">
        <f>AF51+AF60+AF64+AF68+AF59</f>
        <v>0</v>
      </c>
      <c r="AG50" s="309">
        <f>AG51+AG60+AG64+AG68+AG59</f>
        <v>0</v>
      </c>
      <c r="AH50" s="309">
        <f>AH51+AH60+AH64+AH68+AH59</f>
        <v>0</v>
      </c>
      <c r="AI50" s="309">
        <f>AI51+AI60+AI64+AI68+AI59</f>
        <v>0</v>
      </c>
      <c r="AJ50" s="309">
        <f>AJ51+AJ60+AJ64+AJ68+AJ59</f>
        <v>0</v>
      </c>
      <c r="AK50" s="309">
        <f>AK51+AK60+AK64+AK68+AK59</f>
        <v>0</v>
      </c>
      <c r="AL50" s="309">
        <f>AL51+AL60+AL64+AL68+AL59</f>
        <v>0</v>
      </c>
      <c r="AM50" s="309">
        <f>AM51+AM60+AM64+AM68+AM59</f>
        <v>0</v>
      </c>
      <c r="AN50" s="309">
        <f>AN51+AN60+AN64+AN68+AN59</f>
        <v>0</v>
      </c>
      <c r="AO50" s="309">
        <f>AO51+AO60+AO64+AO68+AO59</f>
        <v>0</v>
      </c>
      <c r="AP50" s="309">
        <f>AP51+AP60+AP64+AP68+AP59</f>
        <v>0</v>
      </c>
      <c r="AQ50" s="309">
        <f>AQ51+AQ60+AQ64+AQ68+AQ59</f>
        <v>0</v>
      </c>
      <c r="AR50" s="309">
        <f>AR51+AR60+AR64+AR68+AR59</f>
        <v>0</v>
      </c>
      <c r="AS50" s="309">
        <f>AS51+AS60+AS64+AS68+AS59</f>
        <v>0</v>
      </c>
      <c r="AT50" s="309">
        <f>AT51+AT60+AT64+AT68+AT59</f>
        <v>0</v>
      </c>
      <c r="AU50" s="309">
        <f>AU51+AU60+AU64+AU68+AU59</f>
        <v>0</v>
      </c>
      <c r="AV50" s="309">
        <f>AV51+AV60+AV64+AV68+AV59</f>
        <v>0</v>
      </c>
      <c r="AW50" s="309">
        <f>AW51+AW60+AW64+AW68+AW59</f>
        <v>0</v>
      </c>
      <c r="AX50" s="309">
        <f>AX51+AX60+AX64+AX68+AX59</f>
        <v>0</v>
      </c>
      <c r="AY50" s="309">
        <f>AY51+AY60+AY64+AY68+AY59</f>
        <v>0</v>
      </c>
      <c r="AZ50" s="309">
        <f>AZ51+AZ60+AZ64+AZ68+AZ59</f>
        <v>0</v>
      </c>
      <c r="BA50" s="309">
        <f>BA51+BA60+BA64+BA68+BA59</f>
        <v>0</v>
      </c>
      <c r="BB50" s="309">
        <f>BB51+BB60+BB64+BB68+BB59</f>
        <v>0</v>
      </c>
      <c r="BC50" s="1719"/>
      <c r="BD50" s="319"/>
      <c r="BE50" s="319"/>
      <c r="BF50" s="1184" t="s">
        <v>600</v>
      </c>
    </row>
    <row s="1632" customFormat="1" customHeight="1" ht="16.5">
      <c r="A51" s="1582"/>
      <c r="B51" s="927"/>
      <c r="C51" s="1582"/>
      <c r="D51" s="1582"/>
      <c r="E51" s="797">
        <v>17.1</v>
      </c>
      <c r="F51" s="922" cm="1" t="str">
        <f t="array" ref="F51:F51">OFFSET(G51,-1,-1)</f>
        <v>1</v>
      </c>
      <c r="G51" s="500"/>
      <c r="H51" s="500"/>
      <c r="I51" s="500"/>
      <c r="J51" s="500"/>
      <c r="K51" s="500"/>
      <c r="L51" s="500"/>
      <c r="M51" s="500"/>
      <c r="N51" s="500"/>
      <c r="O51" s="500"/>
      <c r="P51" s="500"/>
      <c r="Q51" s="500"/>
      <c r="R51" s="500"/>
      <c r="S51" s="500"/>
      <c r="T51" s="808" cm="1" t="str">
        <f t="array" ref="T51:T51">T50</f>
        <v>true</v>
      </c>
      <c r="U51" s="1582"/>
      <c r="V51" s="1582"/>
      <c r="W51" s="1582"/>
      <c r="X51" s="1582"/>
      <c r="Y51" s="1582"/>
      <c r="Z51" s="1582"/>
      <c r="AA51" s="220"/>
      <c r="AB51" s="169">
        <v>1</v>
      </c>
      <c r="AC51" s="315" t="s">
        <v>2050</v>
      </c>
      <c r="AD51" s="312" t="s">
        <v>810</v>
      </c>
      <c r="AE51" s="310">
        <f>AE52+AE53+AE54+AE57+AE58</f>
        <v>0</v>
      </c>
      <c r="AF51" s="310">
        <f>AF52+AF53+AF54+AF57+AF58</f>
        <v>0</v>
      </c>
      <c r="AG51" s="310">
        <f>AG52+AG53+AG54+AG57+AG58</f>
        <v>0</v>
      </c>
      <c r="AH51" s="310">
        <f>AH52+AH53+AH54+AH57+AH58</f>
        <v>0</v>
      </c>
      <c r="AI51" s="310">
        <f>AI52+AI53+AI54+AI57+AI58</f>
        <v>0</v>
      </c>
      <c r="AJ51" s="310">
        <f>AJ52+AJ53+AJ54+AJ57+AJ58</f>
        <v>0</v>
      </c>
      <c r="AK51" s="310">
        <f>AK52+AK53+AK54+AK57+AK58</f>
        <v>0</v>
      </c>
      <c r="AL51" s="310">
        <f>AL52+AL53+AL54+AL57+AL58</f>
        <v>0</v>
      </c>
      <c r="AM51" s="310">
        <f>AM52+AM53+AM54+AM57+AM58</f>
        <v>0</v>
      </c>
      <c r="AN51" s="310">
        <f>AN52+AN53+AN54+AN57+AN58</f>
        <v>0</v>
      </c>
      <c r="AO51" s="310">
        <f>AO52+AO53+AO54+AO57+AO58</f>
        <v>0</v>
      </c>
      <c r="AP51" s="310">
        <f>AP52+AP53+AP54+AP57+AP58</f>
        <v>0</v>
      </c>
      <c r="AQ51" s="310">
        <f>AQ52+AQ53+AQ54+AQ57+AQ58</f>
        <v>0</v>
      </c>
      <c r="AR51" s="310">
        <f>AR52+AR53+AR54+AR57+AR58</f>
        <v>0</v>
      </c>
      <c r="AS51" s="310">
        <f>AS52+AS53+AS54+AS57+AS58</f>
        <v>0</v>
      </c>
      <c r="AT51" s="310">
        <f>AT52+AT53+AT54+AT57+AT58</f>
        <v>0</v>
      </c>
      <c r="AU51" s="310">
        <f>AU52+AU53+AU54+AU57+AU58</f>
        <v>0</v>
      </c>
      <c r="AV51" s="310">
        <f>AV52+AV53+AV54+AV57+AV58</f>
        <v>0</v>
      </c>
      <c r="AW51" s="310">
        <f>AW52+AW53+AW54+AW57+AW58</f>
        <v>0</v>
      </c>
      <c r="AX51" s="310">
        <f>AX52+AX53+AX54+AX57+AX58</f>
        <v>0</v>
      </c>
      <c r="AY51" s="310">
        <f>AY52+AY53+AY54+AY57+AY58</f>
        <v>0</v>
      </c>
      <c r="AZ51" s="310">
        <f>AZ52+AZ53+AZ54+AZ57+AZ58</f>
        <v>0</v>
      </c>
      <c r="BA51" s="310">
        <f>BA52+BA53+BA54+BA57+BA58</f>
        <v>0</v>
      </c>
      <c r="BB51" s="310">
        <f>BB52+BB53+BB54+BB57+BB58</f>
        <v>0</v>
      </c>
      <c r="BC51" s="1719"/>
      <c r="BD51" s="220"/>
      <c r="BE51" s="220"/>
      <c r="BF51" s="1184" t="s">
        <v>614</v>
      </c>
    </row>
    <row s="1632" customFormat="1" customHeight="1" ht="21.75">
      <c r="A52" s="1582"/>
      <c r="B52" s="927"/>
      <c r="C52" s="1582"/>
      <c r="D52" s="1582"/>
      <c r="E52" s="797">
        <v>22.8</v>
      </c>
      <c r="F52" s="922" cm="1" t="str">
        <f t="array" ref="F52:F52">OFFSET(G52,-1,-1)</f>
        <v>1</v>
      </c>
      <c r="G52" s="500"/>
      <c r="H52" s="500"/>
      <c r="I52" s="500"/>
      <c r="J52" s="500"/>
      <c r="K52" s="500"/>
      <c r="L52" s="500"/>
      <c r="M52" s="500"/>
      <c r="N52" s="500"/>
      <c r="O52" s="500"/>
      <c r="P52" s="500"/>
      <c r="Q52" s="500"/>
      <c r="R52" s="500"/>
      <c r="S52" s="500"/>
      <c r="T52" s="808" cm="1" t="str">
        <f t="array" ref="T52:T52">T51</f>
        <v>true</v>
      </c>
      <c r="U52" s="1582"/>
      <c r="V52" s="1582"/>
      <c r="W52" s="1582"/>
      <c r="X52" s="1582"/>
      <c r="Y52" s="1582"/>
      <c r="Z52" s="1582"/>
      <c r="AA52" s="220"/>
      <c r="AB52" s="314" t="s">
        <v>449</v>
      </c>
      <c r="AC52" s="315" t="s">
        <v>2051</v>
      </c>
      <c r="AD52" s="312" t="s">
        <v>810</v>
      </c>
      <c r="AE52" s="1868"/>
      <c r="AF52" s="1868"/>
      <c r="AG52" s="1868"/>
      <c r="AH52" s="1868"/>
      <c r="AI52" s="1868"/>
      <c r="AJ52" s="1868"/>
      <c r="AK52" s="1868"/>
      <c r="AL52" s="1868"/>
      <c r="AM52" s="1868"/>
      <c r="AN52" s="1868"/>
      <c r="AO52" s="1868"/>
      <c r="AP52" s="1868"/>
      <c r="AQ52" s="1868"/>
      <c r="AR52" s="1868"/>
      <c r="AS52" s="1868"/>
      <c r="AT52" s="1868"/>
      <c r="AU52" s="1868"/>
      <c r="AV52" s="1868"/>
      <c r="AW52" s="1868"/>
      <c r="AX52" s="1868"/>
      <c r="AY52" s="1868"/>
      <c r="AZ52" s="1868"/>
      <c r="BA52" s="1868"/>
      <c r="BB52" s="1868"/>
      <c r="BC52" s="1719"/>
      <c r="BD52" s="220"/>
      <c r="BE52" s="220"/>
      <c r="BF52" s="1184" t="s">
        <v>1372</v>
      </c>
    </row>
    <row s="1632" customFormat="1" customHeight="1" ht="33">
      <c r="A53" s="1582"/>
      <c r="B53" s="927"/>
      <c r="C53" s="1582"/>
      <c r="D53" s="1582"/>
      <c r="E53" s="797">
        <v>34.2</v>
      </c>
      <c r="F53" s="922" cm="1" t="str">
        <f t="array" ref="F53:F53">OFFSET(G53,-1,-1)</f>
        <v>1</v>
      </c>
      <c r="G53" s="500"/>
      <c r="H53" s="500"/>
      <c r="I53" s="500"/>
      <c r="J53" s="500"/>
      <c r="K53" s="500"/>
      <c r="L53" s="500"/>
      <c r="M53" s="500"/>
      <c r="N53" s="500"/>
      <c r="O53" s="500"/>
      <c r="P53" s="500"/>
      <c r="Q53" s="500"/>
      <c r="R53" s="500"/>
      <c r="S53" s="500"/>
      <c r="T53" s="808" cm="1" t="str">
        <f t="array" ref="T53:T53">T52</f>
        <v>true</v>
      </c>
      <c r="U53" s="1582"/>
      <c r="V53" s="1582"/>
      <c r="W53" s="1582"/>
      <c r="X53" s="1582"/>
      <c r="Y53" s="1582"/>
      <c r="Z53" s="1582"/>
      <c r="AA53" s="220"/>
      <c r="AB53" s="314" t="s">
        <v>935</v>
      </c>
      <c r="AC53" s="315" t="s">
        <v>2052</v>
      </c>
      <c r="AD53" s="312" t="s">
        <v>810</v>
      </c>
      <c r="AE53" s="1868"/>
      <c r="AF53" s="1868"/>
      <c r="AG53" s="1868"/>
      <c r="AH53" s="1868"/>
      <c r="AI53" s="1868"/>
      <c r="AJ53" s="1868"/>
      <c r="AK53" s="1868"/>
      <c r="AL53" s="1868"/>
      <c r="AM53" s="1868"/>
      <c r="AN53" s="1868"/>
      <c r="AO53" s="1868"/>
      <c r="AP53" s="1868"/>
      <c r="AQ53" s="1868"/>
      <c r="AR53" s="1868"/>
      <c r="AS53" s="1868"/>
      <c r="AT53" s="1868"/>
      <c r="AU53" s="1868"/>
      <c r="AV53" s="1868"/>
      <c r="AW53" s="1868"/>
      <c r="AX53" s="1868"/>
      <c r="AY53" s="1868"/>
      <c r="AZ53" s="1868"/>
      <c r="BA53" s="1868"/>
      <c r="BB53" s="1868"/>
      <c r="BC53" s="1719"/>
      <c r="BD53" s="220"/>
      <c r="BE53" s="220"/>
      <c r="BF53" s="1184" t="s">
        <v>2053</v>
      </c>
    </row>
    <row s="1632" customFormat="1" customHeight="1" ht="16.5">
      <c r="A54" s="1582"/>
      <c r="B54" s="927"/>
      <c r="C54" s="1582"/>
      <c r="D54" s="1582"/>
      <c r="E54" s="797">
        <v>17.1</v>
      </c>
      <c r="F54" s="922" cm="1" t="str">
        <f t="array" ref="F54:F54">OFFSET(G54,-1,-1)</f>
        <v>1</v>
      </c>
      <c r="G54" s="500"/>
      <c r="H54" s="500"/>
      <c r="I54" s="500"/>
      <c r="J54" s="500"/>
      <c r="K54" s="500"/>
      <c r="L54" s="500"/>
      <c r="M54" s="500"/>
      <c r="N54" s="500"/>
      <c r="O54" s="500"/>
      <c r="P54" s="500"/>
      <c r="Q54" s="500"/>
      <c r="R54" s="500"/>
      <c r="S54" s="500"/>
      <c r="T54" s="808" cm="1" t="str">
        <f t="array" ref="T54:T54">T53</f>
        <v>true</v>
      </c>
      <c r="U54" s="1582"/>
      <c r="V54" s="1582"/>
      <c r="W54" s="1582"/>
      <c r="X54" s="1582"/>
      <c r="Y54" s="1582"/>
      <c r="Z54" s="1582"/>
      <c r="AA54" s="220"/>
      <c r="AB54" s="314" t="s">
        <v>937</v>
      </c>
      <c r="AC54" s="315" t="s">
        <v>2054</v>
      </c>
      <c r="AD54" s="312" t="s">
        <v>810</v>
      </c>
      <c r="AE54" s="1868"/>
      <c r="AF54" s="1868"/>
      <c r="AG54" s="1868"/>
      <c r="AH54" s="1868"/>
      <c r="AI54" s="1868"/>
      <c r="AJ54" s="1868"/>
      <c r="AK54" s="1868"/>
      <c r="AL54" s="1868"/>
      <c r="AM54" s="1868"/>
      <c r="AN54" s="1868"/>
      <c r="AO54" s="1868"/>
      <c r="AP54" s="1868"/>
      <c r="AQ54" s="1868"/>
      <c r="AR54" s="1868"/>
      <c r="AS54" s="1868"/>
      <c r="AT54" s="1868"/>
      <c r="AU54" s="1868"/>
      <c r="AV54" s="1868"/>
      <c r="AW54" s="1868"/>
      <c r="AX54" s="1868"/>
      <c r="AY54" s="1868"/>
      <c r="AZ54" s="1868"/>
      <c r="BA54" s="1868"/>
      <c r="BB54" s="1868"/>
      <c r="BC54" s="1719"/>
      <c r="BD54" s="220"/>
      <c r="BE54" s="220"/>
      <c r="BF54" s="1184" t="s">
        <v>1380</v>
      </c>
    </row>
    <row s="1632" customFormat="1" customHeight="1" ht="21.75">
      <c r="A55" s="1582"/>
      <c r="B55" s="927"/>
      <c r="C55" s="1582"/>
      <c r="D55" s="1582"/>
      <c r="E55" s="797">
        <v>22.8</v>
      </c>
      <c r="F55" s="922" cm="1" t="str">
        <f t="array" ref="F55:F55">OFFSET(G55,-1,-1)</f>
        <v>1</v>
      </c>
      <c r="G55" s="500"/>
      <c r="H55" s="500"/>
      <c r="I55" s="500"/>
      <c r="J55" s="500"/>
      <c r="K55" s="500"/>
      <c r="L55" s="500"/>
      <c r="M55" s="500"/>
      <c r="N55" s="500"/>
      <c r="O55" s="500"/>
      <c r="P55" s="500"/>
      <c r="Q55" s="500"/>
      <c r="R55" s="500"/>
      <c r="S55" s="500"/>
      <c r="T55" s="808" cm="1" t="str">
        <f t="array" ref="T55:T55">T54</f>
        <v>true</v>
      </c>
      <c r="U55" s="1582"/>
      <c r="V55" s="1582"/>
      <c r="W55" s="1582"/>
      <c r="X55" s="1582"/>
      <c r="Y55" s="1582"/>
      <c r="Z55" s="1582"/>
      <c r="AA55" s="220"/>
      <c r="AB55" s="314" t="s">
        <v>1169</v>
      </c>
      <c r="AC55" s="315" t="s">
        <v>2055</v>
      </c>
      <c r="AD55" s="312" t="s">
        <v>810</v>
      </c>
      <c r="AE55" s="1868"/>
      <c r="AF55" s="1868"/>
      <c r="AG55" s="1868"/>
      <c r="AH55" s="1868"/>
      <c r="AI55" s="1868"/>
      <c r="AJ55" s="1868"/>
      <c r="AK55" s="1868"/>
      <c r="AL55" s="1868"/>
      <c r="AM55" s="1868"/>
      <c r="AN55" s="1868"/>
      <c r="AO55" s="1868"/>
      <c r="AP55" s="1868"/>
      <c r="AQ55" s="1868"/>
      <c r="AR55" s="1868"/>
      <c r="AS55" s="1868"/>
      <c r="AT55" s="1868"/>
      <c r="AU55" s="1868"/>
      <c r="AV55" s="1868"/>
      <c r="AW55" s="1868"/>
      <c r="AX55" s="1868"/>
      <c r="AY55" s="1868"/>
      <c r="AZ55" s="1868"/>
      <c r="BA55" s="1868"/>
      <c r="BB55" s="1868"/>
      <c r="BC55" s="1719"/>
      <c r="BD55" s="220"/>
      <c r="BE55" s="220"/>
      <c r="BF55" s="1184" t="s">
        <v>2056</v>
      </c>
    </row>
    <row s="1632" customFormat="1" customHeight="1" ht="55.5">
      <c r="A56" s="1582"/>
      <c r="B56" s="927"/>
      <c r="C56" s="1582"/>
      <c r="D56" s="1582"/>
      <c r="E56" s="797">
        <v>57</v>
      </c>
      <c r="F56" s="922" cm="1" t="str">
        <f t="array" ref="F56:F56">OFFSET(G56,-1,-1)</f>
        <v>1</v>
      </c>
      <c r="G56" s="500"/>
      <c r="H56" s="500"/>
      <c r="I56" s="500"/>
      <c r="J56" s="500"/>
      <c r="K56" s="500"/>
      <c r="L56" s="500"/>
      <c r="M56" s="500"/>
      <c r="N56" s="500"/>
      <c r="O56" s="500"/>
      <c r="P56" s="500"/>
      <c r="Q56" s="500"/>
      <c r="R56" s="500"/>
      <c r="S56" s="500"/>
      <c r="T56" s="808" cm="1" t="str">
        <f t="array" ref="T56:T56">T55</f>
        <v>true</v>
      </c>
      <c r="U56" s="1582"/>
      <c r="V56" s="1582"/>
      <c r="W56" s="1582"/>
      <c r="X56" s="1582"/>
      <c r="Y56" s="1582"/>
      <c r="Z56" s="1582"/>
      <c r="AA56" s="220"/>
      <c r="AB56" s="314" t="s">
        <v>1173</v>
      </c>
      <c r="AC56" s="315" t="s">
        <v>2057</v>
      </c>
      <c r="AD56" s="312" t="s">
        <v>810</v>
      </c>
      <c r="AE56" s="1868"/>
      <c r="AF56" s="1868"/>
      <c r="AG56" s="1868"/>
      <c r="AH56" s="1868"/>
      <c r="AI56" s="1868"/>
      <c r="AJ56" s="1868"/>
      <c r="AK56" s="1868"/>
      <c r="AL56" s="1868"/>
      <c r="AM56" s="1868"/>
      <c r="AN56" s="1868"/>
      <c r="AO56" s="1868"/>
      <c r="AP56" s="1868"/>
      <c r="AQ56" s="1868"/>
      <c r="AR56" s="1868"/>
      <c r="AS56" s="1868"/>
      <c r="AT56" s="1868"/>
      <c r="AU56" s="1868"/>
      <c r="AV56" s="1868"/>
      <c r="AW56" s="1868"/>
      <c r="AX56" s="1868"/>
      <c r="AY56" s="1868"/>
      <c r="AZ56" s="1868"/>
      <c r="BA56" s="1868"/>
      <c r="BB56" s="1868"/>
      <c r="BC56" s="1719"/>
      <c r="BD56" s="220"/>
      <c r="BE56" s="220"/>
      <c r="BF56" s="1184" t="s">
        <v>2058</v>
      </c>
    </row>
    <row s="1632" customFormat="1" customHeight="1" ht="44.25">
      <c r="A57" s="1582"/>
      <c r="B57" s="927"/>
      <c r="C57" s="1582"/>
      <c r="D57" s="1582"/>
      <c r="E57" s="797">
        <v>45.6</v>
      </c>
      <c r="F57" s="922" cm="1" t="str">
        <f t="array" ref="F57:F57">OFFSET(G57,-1,-1)</f>
        <v>1</v>
      </c>
      <c r="G57" s="500"/>
      <c r="H57" s="500"/>
      <c r="I57" s="500"/>
      <c r="J57" s="500"/>
      <c r="K57" s="500"/>
      <c r="L57" s="500"/>
      <c r="M57" s="500"/>
      <c r="N57" s="500"/>
      <c r="O57" s="500"/>
      <c r="P57" s="500"/>
      <c r="Q57" s="500"/>
      <c r="R57" s="500"/>
      <c r="S57" s="500"/>
      <c r="T57" s="808" cm="1" t="str">
        <f t="array" ref="T57:T57">T56</f>
        <v>true</v>
      </c>
      <c r="U57" s="1582"/>
      <c r="V57" s="1582"/>
      <c r="W57" s="1582"/>
      <c r="X57" s="1582"/>
      <c r="Y57" s="1582"/>
      <c r="Z57" s="1582"/>
      <c r="AA57" s="220"/>
      <c r="AB57" s="314" t="s">
        <v>941</v>
      </c>
      <c r="AC57" s="315" t="s">
        <v>2059</v>
      </c>
      <c r="AD57" s="312" t="s">
        <v>810</v>
      </c>
      <c r="AE57" s="1868"/>
      <c r="AF57" s="1868"/>
      <c r="AG57" s="1868"/>
      <c r="AH57" s="1868"/>
      <c r="AI57" s="1868"/>
      <c r="AJ57" s="1868"/>
      <c r="AK57" s="1868"/>
      <c r="AL57" s="1868"/>
      <c r="AM57" s="1868"/>
      <c r="AN57" s="1868"/>
      <c r="AO57" s="1868"/>
      <c r="AP57" s="1868"/>
      <c r="AQ57" s="1868"/>
      <c r="AR57" s="1868"/>
      <c r="AS57" s="1868"/>
      <c r="AT57" s="1868"/>
      <c r="AU57" s="1868"/>
      <c r="AV57" s="1868"/>
      <c r="AW57" s="1868"/>
      <c r="AX57" s="1868"/>
      <c r="AY57" s="1868"/>
      <c r="AZ57" s="1868"/>
      <c r="BA57" s="1868"/>
      <c r="BB57" s="1868"/>
      <c r="BC57" s="1719"/>
      <c r="BD57" s="220"/>
      <c r="BE57" s="220"/>
      <c r="BF57" s="1184" t="s">
        <v>2060</v>
      </c>
    </row>
    <row s="1632" customFormat="1" customHeight="1" ht="21.75">
      <c r="A58" s="1582"/>
      <c r="B58" s="927"/>
      <c r="C58" s="1582"/>
      <c r="D58" s="1582"/>
      <c r="E58" s="797">
        <v>22.8</v>
      </c>
      <c r="F58" s="922" cm="1" t="str">
        <f t="array" ref="F58:F58">OFFSET(G58,-1,-1)</f>
        <v>1</v>
      </c>
      <c r="G58" s="500"/>
      <c r="H58" s="500"/>
      <c r="I58" s="500"/>
      <c r="J58" s="500"/>
      <c r="K58" s="500"/>
      <c r="L58" s="500"/>
      <c r="M58" s="500"/>
      <c r="N58" s="500"/>
      <c r="O58" s="500"/>
      <c r="P58" s="500"/>
      <c r="Q58" s="500"/>
      <c r="R58" s="500"/>
      <c r="S58" s="500"/>
      <c r="T58" s="808" cm="1" t="str">
        <f t="array" ref="T58:T58">T57</f>
        <v>true</v>
      </c>
      <c r="U58" s="1582"/>
      <c r="V58" s="1582"/>
      <c r="W58" s="1582"/>
      <c r="X58" s="1582"/>
      <c r="Y58" s="1582"/>
      <c r="Z58" s="1582"/>
      <c r="AA58" s="220"/>
      <c r="AB58" s="314" t="s">
        <v>1046</v>
      </c>
      <c r="AC58" s="315" t="s">
        <v>2061</v>
      </c>
      <c r="AD58" s="312" t="s">
        <v>810</v>
      </c>
      <c r="AE58" s="1868"/>
      <c r="AF58" s="1868"/>
      <c r="AG58" s="1868"/>
      <c r="AH58" s="1868"/>
      <c r="AI58" s="1868"/>
      <c r="AJ58" s="1868"/>
      <c r="AK58" s="1868"/>
      <c r="AL58" s="1868"/>
      <c r="AM58" s="1868"/>
      <c r="AN58" s="1868"/>
      <c r="AO58" s="1868"/>
      <c r="AP58" s="1868"/>
      <c r="AQ58" s="1868"/>
      <c r="AR58" s="1868"/>
      <c r="AS58" s="1868"/>
      <c r="AT58" s="1868"/>
      <c r="AU58" s="1868"/>
      <c r="AV58" s="1868"/>
      <c r="AW58" s="1868"/>
      <c r="AX58" s="1868"/>
      <c r="AY58" s="1868"/>
      <c r="AZ58" s="1868"/>
      <c r="BA58" s="1868"/>
      <c r="BB58" s="1868"/>
      <c r="BC58" s="1719"/>
      <c r="BD58" s="220"/>
      <c r="BE58" s="220"/>
      <c r="BF58" s="1184" t="s">
        <v>1167</v>
      </c>
    </row>
    <row s="1632" customFormat="1" customHeight="1" ht="21.75">
      <c r="A59" s="1582"/>
      <c r="B59" s="927"/>
      <c r="C59" s="1582"/>
      <c r="D59" s="1582"/>
      <c r="E59" s="797">
        <v>22.8</v>
      </c>
      <c r="F59" s="922" cm="1" t="str">
        <f t="array" ref="F59:F59">OFFSET(G59,-1,-1)</f>
        <v>1</v>
      </c>
      <c r="G59" s="500"/>
      <c r="H59" s="500"/>
      <c r="I59" s="500"/>
      <c r="J59" s="500"/>
      <c r="K59" s="500"/>
      <c r="L59" s="500"/>
      <c r="M59" s="500"/>
      <c r="N59" s="500"/>
      <c r="O59" s="500"/>
      <c r="P59" s="500"/>
      <c r="Q59" s="500"/>
      <c r="R59" s="500"/>
      <c r="S59" s="500"/>
      <c r="T59" s="808" cm="1" t="str">
        <f t="array" ref="T59:T59">T58</f>
        <v>true</v>
      </c>
      <c r="U59" s="1582"/>
      <c r="V59" s="1582"/>
      <c r="W59" s="1582"/>
      <c r="X59" s="1582"/>
      <c r="Y59" s="1582"/>
      <c r="Z59" s="1582"/>
      <c r="AA59" s="220"/>
      <c r="AB59" s="314" t="s">
        <v>426</v>
      </c>
      <c r="AC59" s="315" t="s">
        <v>2062</v>
      </c>
      <c r="AD59" s="312" t="s">
        <v>810</v>
      </c>
      <c r="AE59" s="1868"/>
      <c r="AF59" s="1868"/>
      <c r="AG59" s="1868"/>
      <c r="AH59" s="1868"/>
      <c r="AI59" s="1868"/>
      <c r="AJ59" s="1868"/>
      <c r="AK59" s="1868"/>
      <c r="AL59" s="1868"/>
      <c r="AM59" s="1868"/>
      <c r="AN59" s="1868"/>
      <c r="AO59" s="1868"/>
      <c r="AP59" s="1868"/>
      <c r="AQ59" s="1868"/>
      <c r="AR59" s="1868"/>
      <c r="AS59" s="1868"/>
      <c r="AT59" s="1868"/>
      <c r="AU59" s="1868"/>
      <c r="AV59" s="1868"/>
      <c r="AW59" s="1868"/>
      <c r="AX59" s="1868"/>
      <c r="AY59" s="1868"/>
      <c r="AZ59" s="1868"/>
      <c r="BA59" s="1868"/>
      <c r="BB59" s="1868"/>
      <c r="BC59" s="1719"/>
      <c r="BD59" s="220"/>
      <c r="BE59" s="220"/>
      <c r="BF59" s="1184" t="s">
        <v>1270</v>
      </c>
    </row>
    <row s="1632" customFormat="1" customHeight="1" ht="16.5">
      <c r="A60" s="1582"/>
      <c r="B60" s="927"/>
      <c r="C60" s="1582"/>
      <c r="D60" s="1582"/>
      <c r="E60" s="797">
        <v>17.1</v>
      </c>
      <c r="F60" s="922" cm="1" t="str">
        <f t="array" ref="F60:F60">OFFSET(G60,-1,-1)</f>
        <v>1</v>
      </c>
      <c r="G60" s="500"/>
      <c r="H60" s="500"/>
      <c r="I60" s="500"/>
      <c r="J60" s="500"/>
      <c r="K60" s="500"/>
      <c r="L60" s="500"/>
      <c r="M60" s="500"/>
      <c r="N60" s="500"/>
      <c r="O60" s="500"/>
      <c r="P60" s="500"/>
      <c r="Q60" s="500"/>
      <c r="R60" s="500"/>
      <c r="S60" s="500"/>
      <c r="T60" s="808" cm="1" t="str">
        <f t="array" ref="T60:T60">T59</f>
        <v>true</v>
      </c>
      <c r="U60" s="1582"/>
      <c r="V60" s="1582"/>
      <c r="W60" s="1582"/>
      <c r="X60" s="1582"/>
      <c r="Y60" s="1582"/>
      <c r="Z60" s="1582"/>
      <c r="AA60" s="220"/>
      <c r="AB60" s="314" t="s">
        <v>429</v>
      </c>
      <c r="AC60" s="315" t="s">
        <v>2063</v>
      </c>
      <c r="AD60" s="312" t="s">
        <v>810</v>
      </c>
      <c r="AE60" s="310">
        <f>AE61+AE62+AE63</f>
        <v>0</v>
      </c>
      <c r="AF60" s="310">
        <f>AF61+AF62+AF63</f>
        <v>0</v>
      </c>
      <c r="AG60" s="310">
        <f>AG61+AG62+AG63</f>
        <v>0</v>
      </c>
      <c r="AH60" s="310">
        <f>AH61+AH62+AH63</f>
        <v>0</v>
      </c>
      <c r="AI60" s="310">
        <f>AI61+AI62+AI63</f>
        <v>0</v>
      </c>
      <c r="AJ60" s="310">
        <f>AJ61+AJ62+AJ63</f>
        <v>0</v>
      </c>
      <c r="AK60" s="310">
        <f>AK61+AK62+AK63</f>
        <v>0</v>
      </c>
      <c r="AL60" s="310">
        <f>AL61+AL62+AL63</f>
        <v>0</v>
      </c>
      <c r="AM60" s="310">
        <f>AM61+AM62+AM63</f>
        <v>0</v>
      </c>
      <c r="AN60" s="310">
        <f>AN61+AN62+AN63</f>
        <v>0</v>
      </c>
      <c r="AO60" s="310">
        <f>AO61+AO62+AO63</f>
        <v>0</v>
      </c>
      <c r="AP60" s="310">
        <f>AP61+AP62+AP63</f>
        <v>0</v>
      </c>
      <c r="AQ60" s="310">
        <f>AQ61+AQ62+AQ63</f>
        <v>0</v>
      </c>
      <c r="AR60" s="310">
        <f>AR61+AR62+AR63</f>
        <v>0</v>
      </c>
      <c r="AS60" s="310">
        <f>AS61+AS62+AS63</f>
        <v>0</v>
      </c>
      <c r="AT60" s="310">
        <f>AT61+AT62+AT63</f>
        <v>0</v>
      </c>
      <c r="AU60" s="310">
        <f>AU61+AU62+AU63</f>
        <v>0</v>
      </c>
      <c r="AV60" s="310">
        <f>AV61+AV62+AV63</f>
        <v>0</v>
      </c>
      <c r="AW60" s="310">
        <f>AW61+AW62+AW63</f>
        <v>0</v>
      </c>
      <c r="AX60" s="310">
        <f>AX61+AX62+AX63</f>
        <v>0</v>
      </c>
      <c r="AY60" s="310">
        <f>AY61+AY62+AY63</f>
        <v>0</v>
      </c>
      <c r="AZ60" s="310">
        <f>AZ61+AZ62+AZ63</f>
        <v>0</v>
      </c>
      <c r="BA60" s="310">
        <f>BA61+BA62+BA63</f>
        <v>0</v>
      </c>
      <c r="BB60" s="310">
        <f>BB61+BB62+BB63</f>
        <v>0</v>
      </c>
      <c r="BC60" s="1719"/>
      <c r="BD60" s="220"/>
      <c r="BE60" s="220"/>
      <c r="BF60" s="1184" t="s">
        <v>2064</v>
      </c>
    </row>
    <row s="1632" customFormat="1" customHeight="1" ht="16.5">
      <c r="A61" s="1582"/>
      <c r="B61" s="927"/>
      <c r="C61" s="1582"/>
      <c r="D61" s="1582"/>
      <c r="E61" s="797">
        <v>17.1</v>
      </c>
      <c r="F61" s="922" cm="1" t="str">
        <f t="array" ref="F61:F61">OFFSET(G61,-1,-1)</f>
        <v>1</v>
      </c>
      <c r="G61" s="500"/>
      <c r="H61" s="500"/>
      <c r="I61" s="500"/>
      <c r="J61" s="500"/>
      <c r="K61" s="500"/>
      <c r="L61" s="500"/>
      <c r="M61" s="500"/>
      <c r="N61" s="500"/>
      <c r="O61" s="500"/>
      <c r="P61" s="500"/>
      <c r="Q61" s="500"/>
      <c r="R61" s="500"/>
      <c r="S61" s="500"/>
      <c r="T61" s="808" cm="1" t="str">
        <f t="array" ref="T61:T61">T60</f>
        <v>true</v>
      </c>
      <c r="U61" s="1582"/>
      <c r="V61" s="1582"/>
      <c r="W61" s="1582"/>
      <c r="X61" s="1582"/>
      <c r="Y61" s="1582"/>
      <c r="Z61" s="1582"/>
      <c r="AA61" s="220"/>
      <c r="AB61" s="314" t="s">
        <v>715</v>
      </c>
      <c r="AC61" s="316" t="s">
        <v>2065</v>
      </c>
      <c r="AD61" s="312" t="s">
        <v>810</v>
      </c>
      <c r="AE61" s="1868"/>
      <c r="AF61" s="1868"/>
      <c r="AG61" s="1868"/>
      <c r="AH61" s="1868"/>
      <c r="AI61" s="1868"/>
      <c r="AJ61" s="1868"/>
      <c r="AK61" s="1868"/>
      <c r="AL61" s="1868"/>
      <c r="AM61" s="1868"/>
      <c r="AN61" s="1868"/>
      <c r="AO61" s="1868"/>
      <c r="AP61" s="1868"/>
      <c r="AQ61" s="1868"/>
      <c r="AR61" s="1868"/>
      <c r="AS61" s="1868"/>
      <c r="AT61" s="1868"/>
      <c r="AU61" s="1868"/>
      <c r="AV61" s="1868"/>
      <c r="AW61" s="1868"/>
      <c r="AX61" s="1868"/>
      <c r="AY61" s="1868"/>
      <c r="AZ61" s="1868"/>
      <c r="BA61" s="1868"/>
      <c r="BB61" s="1868"/>
      <c r="BC61" s="1719"/>
      <c r="BD61" s="220"/>
      <c r="BE61" s="220"/>
      <c r="BF61" s="1184" t="s">
        <v>1374</v>
      </c>
    </row>
    <row s="1632" customFormat="1" customHeight="1" ht="16.5">
      <c r="A62" s="1582"/>
      <c r="B62" s="927"/>
      <c r="C62" s="1582"/>
      <c r="D62" s="1582"/>
      <c r="E62" s="797">
        <v>17.1</v>
      </c>
      <c r="F62" s="922" cm="1" t="str">
        <f t="array" ref="F62:F62">OFFSET(G62,-1,-1)</f>
        <v>1</v>
      </c>
      <c r="G62" s="500"/>
      <c r="H62" s="500"/>
      <c r="I62" s="500"/>
      <c r="J62" s="500"/>
      <c r="K62" s="500"/>
      <c r="L62" s="500"/>
      <c r="M62" s="500"/>
      <c r="N62" s="500"/>
      <c r="O62" s="500"/>
      <c r="P62" s="500"/>
      <c r="Q62" s="500"/>
      <c r="R62" s="500"/>
      <c r="S62" s="500"/>
      <c r="T62" s="808" cm="1" t="str">
        <f t="array" ref="T62:T62">T61</f>
        <v>true</v>
      </c>
      <c r="U62" s="1582"/>
      <c r="V62" s="1582"/>
      <c r="W62" s="1582"/>
      <c r="X62" s="1582"/>
      <c r="Y62" s="1582"/>
      <c r="Z62" s="1582"/>
      <c r="AA62" s="220"/>
      <c r="AB62" s="314" t="s">
        <v>718</v>
      </c>
      <c r="AC62" s="316" t="s">
        <v>2066</v>
      </c>
      <c r="AD62" s="312" t="s">
        <v>810</v>
      </c>
      <c r="AE62" s="1868"/>
      <c r="AF62" s="1868"/>
      <c r="AG62" s="1868"/>
      <c r="AH62" s="1868"/>
      <c r="AI62" s="1868"/>
      <c r="AJ62" s="1868"/>
      <c r="AK62" s="1868"/>
      <c r="AL62" s="1868"/>
      <c r="AM62" s="1868"/>
      <c r="AN62" s="1868"/>
      <c r="AO62" s="1868"/>
      <c r="AP62" s="1868"/>
      <c r="AQ62" s="1868"/>
      <c r="AR62" s="1868"/>
      <c r="AS62" s="1868"/>
      <c r="AT62" s="1868"/>
      <c r="AU62" s="1868"/>
      <c r="AV62" s="1868"/>
      <c r="AW62" s="1868"/>
      <c r="AX62" s="1868"/>
      <c r="AY62" s="1868"/>
      <c r="AZ62" s="1868"/>
      <c r="BA62" s="1868"/>
      <c r="BB62" s="1868"/>
      <c r="BC62" s="1719"/>
      <c r="BD62" s="220"/>
      <c r="BE62" s="220"/>
      <c r="BF62" s="1184" t="s">
        <v>2067</v>
      </c>
    </row>
    <row s="1632" customFormat="1" customHeight="1" ht="16.5">
      <c r="A63" s="1582"/>
      <c r="B63" s="927"/>
      <c r="C63" s="1582"/>
      <c r="D63" s="1582"/>
      <c r="E63" s="797">
        <v>17.1</v>
      </c>
      <c r="F63" s="922" cm="1" t="str">
        <f t="array" ref="F63:F63">OFFSET(G63,-1,-1)</f>
        <v>1</v>
      </c>
      <c r="G63" s="500"/>
      <c r="H63" s="500"/>
      <c r="I63" s="500"/>
      <c r="J63" s="500"/>
      <c r="K63" s="500"/>
      <c r="L63" s="500"/>
      <c r="M63" s="500"/>
      <c r="N63" s="500"/>
      <c r="O63" s="500"/>
      <c r="P63" s="500"/>
      <c r="Q63" s="500"/>
      <c r="R63" s="500"/>
      <c r="S63" s="500"/>
      <c r="T63" s="808" cm="1" t="str">
        <f t="array" ref="T63:T63">T62</f>
        <v>true</v>
      </c>
      <c r="U63" s="1582"/>
      <c r="V63" s="1582"/>
      <c r="W63" s="1582"/>
      <c r="X63" s="1582"/>
      <c r="Y63" s="1582"/>
      <c r="Z63" s="1582"/>
      <c r="AA63" s="220"/>
      <c r="AB63" s="314" t="s">
        <v>1908</v>
      </c>
      <c r="AC63" s="316" t="s">
        <v>2068</v>
      </c>
      <c r="AD63" s="312" t="s">
        <v>810</v>
      </c>
      <c r="AE63" s="1868"/>
      <c r="AF63" s="1868"/>
      <c r="AG63" s="1868"/>
      <c r="AH63" s="1868"/>
      <c r="AI63" s="1868"/>
      <c r="AJ63" s="1868"/>
      <c r="AK63" s="1868"/>
      <c r="AL63" s="1868"/>
      <c r="AM63" s="1868"/>
      <c r="AN63" s="1868"/>
      <c r="AO63" s="1868"/>
      <c r="AP63" s="1868"/>
      <c r="AQ63" s="1868"/>
      <c r="AR63" s="1868"/>
      <c r="AS63" s="1868"/>
      <c r="AT63" s="1868"/>
      <c r="AU63" s="1868"/>
      <c r="AV63" s="1868"/>
      <c r="AW63" s="1868"/>
      <c r="AX63" s="1868"/>
      <c r="AY63" s="1868"/>
      <c r="AZ63" s="1868"/>
      <c r="BA63" s="1868"/>
      <c r="BB63" s="1868"/>
      <c r="BC63" s="1719"/>
      <c r="BD63" s="220"/>
      <c r="BE63" s="220"/>
      <c r="BF63" s="1184" t="s">
        <v>2069</v>
      </c>
    </row>
    <row s="1632" customFormat="1" customHeight="1" ht="16.5">
      <c r="A64" s="1582"/>
      <c r="B64" s="927"/>
      <c r="C64" s="1582"/>
      <c r="D64" s="1582"/>
      <c r="E64" s="797">
        <v>17.1</v>
      </c>
      <c r="F64" s="922" cm="1" t="str">
        <f t="array" ref="F64:F64">OFFSET(G64,-1,-1)</f>
        <v>1</v>
      </c>
      <c r="G64" s="500"/>
      <c r="H64" s="500"/>
      <c r="I64" s="500"/>
      <c r="J64" s="500"/>
      <c r="K64" s="500"/>
      <c r="L64" s="500"/>
      <c r="M64" s="500"/>
      <c r="N64" s="500"/>
      <c r="O64" s="500"/>
      <c r="P64" s="500"/>
      <c r="Q64" s="500"/>
      <c r="R64" s="500"/>
      <c r="S64" s="500"/>
      <c r="T64" s="808" cm="1" t="str">
        <f t="array" ref="T64:T64">T63</f>
        <v>true</v>
      </c>
      <c r="U64" s="1582"/>
      <c r="V64" s="1582"/>
      <c r="W64" s="1582"/>
      <c r="X64" s="1582"/>
      <c r="Y64" s="1582"/>
      <c r="Z64" s="1582"/>
      <c r="AA64" s="220"/>
      <c r="AB64" s="314" t="s">
        <v>432</v>
      </c>
      <c r="AC64" s="315" t="s">
        <v>2070</v>
      </c>
      <c r="AD64" s="312" t="s">
        <v>810</v>
      </c>
      <c r="AE64" s="310">
        <f>AE65+AE66+AE67</f>
        <v>0</v>
      </c>
      <c r="AF64" s="310">
        <f>AF65+AF66+AF67</f>
        <v>0</v>
      </c>
      <c r="AG64" s="310">
        <f>AG65+AG66+AG67</f>
        <v>0</v>
      </c>
      <c r="AH64" s="310">
        <f>AH65+AH66+AH67</f>
        <v>0</v>
      </c>
      <c r="AI64" s="310">
        <f>AI65+AI66+AI67</f>
        <v>0</v>
      </c>
      <c r="AJ64" s="310">
        <f>AJ65+AJ66+AJ67</f>
        <v>0</v>
      </c>
      <c r="AK64" s="310">
        <f>AK65+AK66+AK67</f>
        <v>0</v>
      </c>
      <c r="AL64" s="310">
        <f>AL65+AL66+AL67</f>
        <v>0</v>
      </c>
      <c r="AM64" s="310">
        <f>AM65+AM66+AM67</f>
        <v>0</v>
      </c>
      <c r="AN64" s="310">
        <f>AN65+AN66+AN67</f>
        <v>0</v>
      </c>
      <c r="AO64" s="310">
        <f>AO65+AO66+AO67</f>
        <v>0</v>
      </c>
      <c r="AP64" s="310">
        <f>AP65+AP66+AP67</f>
        <v>0</v>
      </c>
      <c r="AQ64" s="310">
        <f>AQ65+AQ66+AQ67</f>
        <v>0</v>
      </c>
      <c r="AR64" s="310">
        <f>AR65+AR66+AR67</f>
        <v>0</v>
      </c>
      <c r="AS64" s="310">
        <f>AS65+AS66+AS67</f>
        <v>0</v>
      </c>
      <c r="AT64" s="310">
        <f>AT65+AT66+AT67</f>
        <v>0</v>
      </c>
      <c r="AU64" s="310">
        <f>AU65+AU66+AU67</f>
        <v>0</v>
      </c>
      <c r="AV64" s="310">
        <f>AV65+AV66+AV67</f>
        <v>0</v>
      </c>
      <c r="AW64" s="310">
        <f>AW65+AW66+AW67</f>
        <v>0</v>
      </c>
      <c r="AX64" s="310">
        <f>AX65+AX66+AX67</f>
        <v>0</v>
      </c>
      <c r="AY64" s="310">
        <f>AY65+AY66+AY67</f>
        <v>0</v>
      </c>
      <c r="AZ64" s="310">
        <f>AZ65+AZ66+AZ67</f>
        <v>0</v>
      </c>
      <c r="BA64" s="310">
        <f>BA65+BA66+BA67</f>
        <v>0</v>
      </c>
      <c r="BB64" s="310">
        <f>BB65+BB66+BB67</f>
        <v>0</v>
      </c>
      <c r="BC64" s="1719"/>
      <c r="BD64" s="220"/>
      <c r="BE64" s="220"/>
      <c r="BF64" s="1184" t="s">
        <v>1793</v>
      </c>
    </row>
    <row s="1632" customFormat="1" customHeight="1" ht="16.5">
      <c r="A65" s="1582"/>
      <c r="B65" s="927"/>
      <c r="C65" s="1582"/>
      <c r="D65" s="1582"/>
      <c r="E65" s="797">
        <v>17.1</v>
      </c>
      <c r="F65" s="922" cm="1" t="str">
        <f t="array" ref="F65:F65">OFFSET(G65,-1,-1)</f>
        <v>1</v>
      </c>
      <c r="G65" s="500"/>
      <c r="H65" s="500"/>
      <c r="I65" s="500"/>
      <c r="J65" s="500"/>
      <c r="K65" s="500"/>
      <c r="L65" s="500"/>
      <c r="M65" s="500"/>
      <c r="N65" s="500"/>
      <c r="O65" s="500"/>
      <c r="P65" s="500"/>
      <c r="Q65" s="500"/>
      <c r="R65" s="500"/>
      <c r="S65" s="500"/>
      <c r="T65" s="808" cm="1" t="str">
        <f t="array" ref="T65:T65">T64</f>
        <v>true</v>
      </c>
      <c r="U65" s="1582"/>
      <c r="V65" s="1582"/>
      <c r="W65" s="1582"/>
      <c r="X65" s="1582"/>
      <c r="Y65" s="1582"/>
      <c r="Z65" s="1582"/>
      <c r="AA65" s="220"/>
      <c r="AB65" s="314" t="s">
        <v>751</v>
      </c>
      <c r="AC65" s="316" t="s">
        <v>2071</v>
      </c>
      <c r="AD65" s="312" t="s">
        <v>810</v>
      </c>
      <c r="AE65" s="1868"/>
      <c r="AF65" s="1868"/>
      <c r="AG65" s="1868"/>
      <c r="AH65" s="1868"/>
      <c r="AI65" s="1868"/>
      <c r="AJ65" s="1868"/>
      <c r="AK65" s="1868"/>
      <c r="AL65" s="1868"/>
      <c r="AM65" s="1868"/>
      <c r="AN65" s="1868"/>
      <c r="AO65" s="1868"/>
      <c r="AP65" s="1868"/>
      <c r="AQ65" s="1868"/>
      <c r="AR65" s="1868"/>
      <c r="AS65" s="1868"/>
      <c r="AT65" s="1868"/>
      <c r="AU65" s="1868"/>
      <c r="AV65" s="1868"/>
      <c r="AW65" s="1868"/>
      <c r="AX65" s="1868"/>
      <c r="AY65" s="1868"/>
      <c r="AZ65" s="1868"/>
      <c r="BA65" s="1868"/>
      <c r="BB65" s="1868"/>
      <c r="BC65" s="1719"/>
      <c r="BD65" s="220"/>
      <c r="BE65" s="220"/>
      <c r="BF65" s="1184" t="s">
        <v>2072</v>
      </c>
    </row>
    <row s="1632" customFormat="1" customHeight="1" ht="16.5">
      <c r="A66" s="1582"/>
      <c r="B66" s="927"/>
      <c r="C66" s="1582"/>
      <c r="D66" s="1582"/>
      <c r="E66" s="797">
        <v>17.1</v>
      </c>
      <c r="F66" s="922" cm="1" t="str">
        <f t="array" ref="F66:F66">OFFSET(G66,-1,-1)</f>
        <v>1</v>
      </c>
      <c r="G66" s="500"/>
      <c r="H66" s="500"/>
      <c r="I66" s="500"/>
      <c r="J66" s="500"/>
      <c r="K66" s="500"/>
      <c r="L66" s="500"/>
      <c r="M66" s="500"/>
      <c r="N66" s="500"/>
      <c r="O66" s="500"/>
      <c r="P66" s="500"/>
      <c r="Q66" s="500"/>
      <c r="R66" s="500"/>
      <c r="S66" s="500"/>
      <c r="T66" s="808" cm="1" t="str">
        <f t="array" ref="T66:T66">T65</f>
        <v>true</v>
      </c>
      <c r="U66" s="1582"/>
      <c r="V66" s="1582"/>
      <c r="W66" s="1582"/>
      <c r="X66" s="1582"/>
      <c r="Y66" s="1582"/>
      <c r="Z66" s="1582"/>
      <c r="AA66" s="220"/>
      <c r="AB66" s="314" t="s">
        <v>1609</v>
      </c>
      <c r="AC66" s="316" t="s">
        <v>2073</v>
      </c>
      <c r="AD66" s="312" t="s">
        <v>810</v>
      </c>
      <c r="AE66" s="1868"/>
      <c r="AF66" s="1868"/>
      <c r="AG66" s="1868"/>
      <c r="AH66" s="1868"/>
      <c r="AI66" s="1868"/>
      <c r="AJ66" s="1868"/>
      <c r="AK66" s="1868"/>
      <c r="AL66" s="1868"/>
      <c r="AM66" s="1868"/>
      <c r="AN66" s="1868"/>
      <c r="AO66" s="1868"/>
      <c r="AP66" s="1868"/>
      <c r="AQ66" s="1868"/>
      <c r="AR66" s="1868"/>
      <c r="AS66" s="1868"/>
      <c r="AT66" s="1868"/>
      <c r="AU66" s="1868"/>
      <c r="AV66" s="1868"/>
      <c r="AW66" s="1868"/>
      <c r="AX66" s="1868"/>
      <c r="AY66" s="1868"/>
      <c r="AZ66" s="1868"/>
      <c r="BA66" s="1868"/>
      <c r="BB66" s="1868"/>
      <c r="BC66" s="1719"/>
      <c r="BD66" s="220"/>
      <c r="BE66" s="220"/>
      <c r="BF66" s="1184" t="s">
        <v>2074</v>
      </c>
    </row>
    <row s="1632" customFormat="1" customHeight="1" ht="16.5">
      <c r="A67" s="1582"/>
      <c r="B67" s="927"/>
      <c r="C67" s="1582"/>
      <c r="D67" s="1582"/>
      <c r="E67" s="797">
        <v>17.1</v>
      </c>
      <c r="F67" s="922" cm="1" t="str">
        <f t="array" ref="F67:F67">OFFSET(G67,-1,-1)</f>
        <v>1</v>
      </c>
      <c r="G67" s="500"/>
      <c r="H67" s="500"/>
      <c r="I67" s="500"/>
      <c r="J67" s="500"/>
      <c r="K67" s="500"/>
      <c r="L67" s="500"/>
      <c r="M67" s="500"/>
      <c r="N67" s="500"/>
      <c r="O67" s="500"/>
      <c r="P67" s="500"/>
      <c r="Q67" s="500"/>
      <c r="R67" s="500"/>
      <c r="S67" s="500"/>
      <c r="T67" s="808" cm="1" t="str">
        <f t="array" ref="T67:T67">T66</f>
        <v>true</v>
      </c>
      <c r="U67" s="1582"/>
      <c r="V67" s="1582"/>
      <c r="W67" s="1582"/>
      <c r="X67" s="1582"/>
      <c r="Y67" s="1582"/>
      <c r="Z67" s="1582"/>
      <c r="AA67" s="220"/>
      <c r="AB67" s="314" t="s">
        <v>1664</v>
      </c>
      <c r="AC67" s="316" t="s">
        <v>2075</v>
      </c>
      <c r="AD67" s="312" t="s">
        <v>810</v>
      </c>
      <c r="AE67" s="1868"/>
      <c r="AF67" s="1868"/>
      <c r="AG67" s="1868"/>
      <c r="AH67" s="1868"/>
      <c r="AI67" s="1868"/>
      <c r="AJ67" s="1868"/>
      <c r="AK67" s="1868"/>
      <c r="AL67" s="1868"/>
      <c r="AM67" s="1868"/>
      <c r="AN67" s="1868"/>
      <c r="AO67" s="1868"/>
      <c r="AP67" s="1868"/>
      <c r="AQ67" s="1868"/>
      <c r="AR67" s="1868"/>
      <c r="AS67" s="1868"/>
      <c r="AT67" s="1868"/>
      <c r="AU67" s="1868"/>
      <c r="AV67" s="1868"/>
      <c r="AW67" s="1868"/>
      <c r="AX67" s="1868"/>
      <c r="AY67" s="1868"/>
      <c r="AZ67" s="1868"/>
      <c r="BA67" s="1868"/>
      <c r="BB67" s="1868"/>
      <c r="BC67" s="1719"/>
      <c r="BD67" s="220"/>
      <c r="BE67" s="220"/>
      <c r="BF67" s="1184" t="s">
        <v>2076</v>
      </c>
    </row>
    <row s="1632" customFormat="1" customHeight="1" ht="16.5">
      <c r="A68" s="1582"/>
      <c r="B68" s="927"/>
      <c r="C68" s="1582"/>
      <c r="D68" s="1582"/>
      <c r="E68" s="797">
        <v>17.1</v>
      </c>
      <c r="F68" s="922" cm="1" t="str">
        <f t="array" ref="F68:F68">OFFSET(G68,-1,-1)</f>
        <v>1</v>
      </c>
      <c r="G68" s="500"/>
      <c r="H68" s="500"/>
      <c r="I68" s="500"/>
      <c r="J68" s="500"/>
      <c r="K68" s="500"/>
      <c r="L68" s="500"/>
      <c r="M68" s="500"/>
      <c r="N68" s="500"/>
      <c r="O68" s="500"/>
      <c r="P68" s="500"/>
      <c r="Q68" s="500"/>
      <c r="R68" s="500"/>
      <c r="S68" s="500"/>
      <c r="T68" s="808" cm="1" t="str">
        <f t="array" ref="T68:T68">T67</f>
        <v>true</v>
      </c>
      <c r="U68" s="1582"/>
      <c r="V68" s="1582"/>
      <c r="W68" s="1582"/>
      <c r="X68" s="1582"/>
      <c r="Y68" s="1582"/>
      <c r="Z68" s="1582"/>
      <c r="AA68" s="220"/>
      <c r="AB68" s="314" t="s">
        <v>435</v>
      </c>
      <c r="AC68" s="316" t="s">
        <v>2077</v>
      </c>
      <c r="AD68" s="312" t="s">
        <v>810</v>
      </c>
      <c r="AE68" s="1868"/>
      <c r="AF68" s="1868"/>
      <c r="AG68" s="1868"/>
      <c r="AH68" s="1868"/>
      <c r="AI68" s="1868"/>
      <c r="AJ68" s="1868"/>
      <c r="AK68" s="1868"/>
      <c r="AL68" s="1868"/>
      <c r="AM68" s="1868"/>
      <c r="AN68" s="1868"/>
      <c r="AO68" s="1868"/>
      <c r="AP68" s="1868"/>
      <c r="AQ68" s="1868"/>
      <c r="AR68" s="1868"/>
      <c r="AS68" s="1868"/>
      <c r="AT68" s="1868"/>
      <c r="AU68" s="1868"/>
      <c r="AV68" s="1868"/>
      <c r="AW68" s="1868"/>
      <c r="AX68" s="1868"/>
      <c r="AY68" s="1868"/>
      <c r="AZ68" s="1868"/>
      <c r="BA68" s="1868"/>
      <c r="BB68" s="1868"/>
      <c r="BC68" s="1719"/>
      <c r="BD68" s="220"/>
      <c r="BE68" s="220"/>
      <c r="BF68" s="1184" t="s">
        <v>2078</v>
      </c>
    </row>
    <row customHeight="1" ht="11.700000000000001">
      <c r="E69" s="797">
        <v>12</v>
      </c>
      <c r="U69" s="179" t="s">
        <v>236</v>
      </c>
      <c r="V69" s="171" t="s">
        <v>2079</v>
      </c>
      <c r="AC69" s="213"/>
      <c r="AI69" s="220"/>
      <c r="AJ69" s="220"/>
      <c r="AK69" s="220"/>
      <c r="AL69" s="220"/>
      <c r="AM69" s="220"/>
      <c r="AN69" s="220"/>
      <c r="AO69" s="220"/>
      <c r="AP69" s="220"/>
      <c r="AQ69" s="220"/>
      <c r="AR69" s="220"/>
      <c r="AS69" s="220"/>
      <c r="AT69" s="220"/>
      <c r="AU69" s="220"/>
      <c r="AV69" s="220"/>
      <c r="AW69" s="220"/>
      <c r="AX69" s="220"/>
      <c r="AY69" s="220"/>
      <c r="AZ69" s="220"/>
      <c r="BA69" s="220"/>
      <c r="BB69" s="220"/>
    </row>
    <row customHeight="1" ht="12.75" hidden="1">
      <c r="E70" s="797">
        <v>0</v>
      </c>
      <c r="AC70" s="213"/>
      <c r="AI70" s="220"/>
      <c r="AJ70" s="220"/>
      <c r="AK70" s="220"/>
      <c r="AL70" s="220"/>
      <c r="AM70" s="220"/>
      <c r="AN70" s="220"/>
      <c r="AO70" s="220"/>
      <c r="AP70" s="220"/>
      <c r="AQ70" s="220"/>
      <c r="AR70" s="220"/>
      <c r="AS70" s="220"/>
      <c r="AT70" s="220"/>
      <c r="AU70" s="220"/>
      <c r="AV70" s="220"/>
      <c r="AW70" s="220"/>
      <c r="AX70" s="220"/>
      <c r="AY70" s="220"/>
      <c r="AZ70" s="220"/>
      <c r="BA70" s="220"/>
      <c r="BB70" s="220"/>
    </row>
    <row customHeight="1" ht="14.625">
      <c r="E71" s="797">
        <v>15</v>
      </c>
      <c r="AB71" s="1530" t="s">
        <v>705</v>
      </c>
      <c r="AC71" s="1568"/>
      <c r="AD71" s="1568"/>
      <c r="AE71" s="1568"/>
      <c r="AF71" s="1568"/>
      <c r="AG71" s="1568"/>
      <c r="AH71" s="1568"/>
      <c r="AI71" s="1568"/>
      <c r="AJ71" s="1568"/>
      <c r="AK71" s="1568"/>
      <c r="AL71" s="1568"/>
      <c r="AM71" s="1568"/>
      <c r="AN71" s="1568"/>
      <c r="AO71" s="1568"/>
      <c r="AP71" s="1568"/>
      <c r="AQ71" s="1568"/>
      <c r="AR71" s="1568"/>
      <c r="AS71" s="1568"/>
      <c r="AT71" s="1568"/>
      <c r="AU71" s="1568"/>
      <c r="AV71" s="1568"/>
      <c r="AW71" s="1568"/>
      <c r="AX71" s="1568"/>
      <c r="AY71" s="1568"/>
      <c r="AZ71" s="1568"/>
      <c r="BA71" s="1568"/>
      <c r="BB71" s="1568"/>
      <c r="BC71" s="1568"/>
    </row>
    <row customHeight="1" ht="14.625">
      <c r="E72" s="797">
        <v>15</v>
      </c>
      <c r="AA72" s="921"/>
      <c r="AB72" s="1543"/>
      <c r="AC72" s="1543"/>
      <c r="AD72" s="1543"/>
      <c r="AE72" s="1543"/>
      <c r="AF72" s="1543"/>
      <c r="AG72" s="1543"/>
      <c r="AH72" s="1543"/>
      <c r="AI72" s="1543"/>
      <c r="AJ72" s="1932"/>
      <c r="AK72" s="1932"/>
      <c r="AL72" s="1932"/>
      <c r="AM72" s="1932"/>
      <c r="AN72" s="1932"/>
      <c r="AO72" s="1932"/>
      <c r="AP72" s="1932"/>
      <c r="AQ72" s="1932"/>
      <c r="AR72" s="1932"/>
      <c r="AS72" s="1543"/>
      <c r="AT72" s="1932"/>
      <c r="AU72" s="1932"/>
      <c r="AV72" s="1932"/>
      <c r="AW72" s="1932"/>
      <c r="AX72" s="1932"/>
      <c r="AY72" s="1932"/>
      <c r="AZ72" s="1932"/>
      <c r="BA72" s="1932"/>
      <c r="BB72" s="1932"/>
      <c r="BC72" s="1543"/>
    </row>
    <row customHeight="1" ht="14.625" hidden="1">
      <c r="A73" s="1582"/>
      <c r="B73" s="927"/>
      <c r="C73" s="1582"/>
      <c r="D73" s="1582"/>
      <c r="E73" s="797">
        <v>15</v>
      </c>
      <c r="F73" s="1582"/>
      <c r="G73" s="500"/>
      <c r="H73" s="500"/>
      <c r="I73" s="500"/>
      <c r="J73" s="500"/>
      <c r="K73" s="500"/>
      <c r="L73" s="500"/>
      <c r="M73" s="500"/>
      <c r="N73" s="500"/>
      <c r="O73" s="500"/>
      <c r="P73" s="500"/>
      <c r="Q73" s="500"/>
      <c r="R73" s="500"/>
      <c r="S73" s="500"/>
      <c r="T73" s="808">
        <f>ROW(W73)&gt;ROW(W$73)</f>
        <v>0</v>
      </c>
      <c r="U73" s="1582"/>
      <c r="V73" s="1582"/>
      <c r="W73" s="175" t="s">
        <v>234</v>
      </c>
      <c r="X73" s="1582"/>
      <c r="Y73" s="1582"/>
      <c r="Z73" s="1582"/>
      <c r="AA73" s="917" t="s">
        <v>218</v>
      </c>
      <c r="AB73" s="1932"/>
      <c r="AC73" s="1932"/>
      <c r="AD73" s="1932"/>
      <c r="AE73" s="1932"/>
      <c r="AF73" s="1932"/>
      <c r="AG73" s="1932"/>
      <c r="AH73" s="1932"/>
      <c r="AI73" s="1543"/>
      <c r="AJ73" s="1932"/>
      <c r="AK73" s="1932"/>
      <c r="AL73" s="1932"/>
      <c r="AM73" s="1932"/>
      <c r="AN73" s="1932"/>
      <c r="AO73" s="1932"/>
      <c r="AP73" s="1932"/>
      <c r="AQ73" s="1932"/>
      <c r="AR73" s="1932"/>
      <c r="AS73" s="1543"/>
      <c r="AT73" s="1932"/>
      <c r="AU73" s="1932"/>
      <c r="AV73" s="1932"/>
      <c r="AW73" s="1932"/>
      <c r="AX73" s="1932"/>
      <c r="AY73" s="1932"/>
      <c r="AZ73" s="1932"/>
      <c r="BA73" s="1932"/>
      <c r="BB73" s="1932"/>
      <c r="BC73" s="1932"/>
      <c r="BD73" s="220"/>
      <c r="BE73" s="220"/>
      <c r="BF73" s="1219"/>
    </row>
    <row customHeight="1" ht="14.625">
      <c r="E74" s="797">
        <v>15</v>
      </c>
      <c r="W74" s="171" t="s">
        <v>235</v>
      </c>
      <c r="AA74" s="213"/>
      <c r="AB74" s="1478" t="s">
        <v>706</v>
      </c>
      <c r="AC74" s="1479"/>
      <c r="AD74" s="383"/>
      <c r="AE74" s="383"/>
      <c r="AF74" s="383"/>
      <c r="AG74" s="383"/>
      <c r="AH74" s="383"/>
      <c r="AI74" s="383"/>
      <c r="AJ74" s="383"/>
      <c r="AK74" s="383"/>
      <c r="AL74" s="383"/>
      <c r="AM74" s="383"/>
      <c r="AN74" s="383"/>
      <c r="AO74" s="383"/>
      <c r="AP74" s="383"/>
      <c r="AQ74" s="383"/>
      <c r="AR74" s="383"/>
      <c r="AS74" s="383"/>
      <c r="AT74" s="383"/>
      <c r="AU74" s="383"/>
      <c r="AV74" s="383"/>
      <c r="AW74" s="383"/>
      <c r="AX74" s="383"/>
      <c r="AY74" s="383"/>
      <c r="AZ74" s="383"/>
      <c r="BA74" s="383"/>
      <c r="BB74" s="383"/>
      <c r="BC74" s="350"/>
    </row>
    <row customHeight="1" ht="11.25">
      <c r="AI75" s="220"/>
      <c r="AJ75" s="220"/>
      <c r="AK75" s="220"/>
      <c r="AL75" s="220"/>
      <c r="AM75" s="220"/>
      <c r="AN75" s="220"/>
      <c r="AO75" s="220"/>
      <c r="AP75" s="220"/>
      <c r="AQ75" s="220"/>
      <c r="AR75" s="220"/>
      <c r="AS75" s="220"/>
      <c r="AT75" s="220"/>
      <c r="AU75" s="220"/>
      <c r="AV75" s="220"/>
      <c r="AW75" s="220"/>
      <c r="AX75" s="220"/>
      <c r="AY75" s="220"/>
      <c r="AZ75" s="220"/>
      <c r="BA75" s="220"/>
      <c r="BB75" s="220"/>
      <c r="BD75" s="201"/>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4FEA5-706F-49D7-7978-9A9AB313A708}"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D89" sqref="AD89:AD90"/>
    </sheetView>
  </sheetViews>
  <sheetFormatPr defaultColWidth="9.140625" customHeight="1" defaultRowHeight="11.25"/>
  <cols>
    <col min="1" max="1" style="1582" width="3.57421875" hidden="1" customWidth="1"/>
    <col min="2" max="2" style="927" width="8.57421875" hidden="1" customWidth="1"/>
    <col min="3" max="3" style="1325" width="13.28125" hidden="1" customWidth="1"/>
    <col min="4" max="4" style="1294" width="12.28125" hidden="1" customWidth="1"/>
    <col min="5" max="5" style="925" width="8.421875" hidden="1" customWidth="1"/>
    <col min="6" max="6" style="1582" width="6.421875" hidden="1" customWidth="1"/>
    <col min="7" max="9" style="500" width="3.57421875" hidden="1" customWidth="1"/>
    <col min="10" max="16" style="1317" width="14.421875" hidden="1" customWidth="1"/>
    <col min="17" max="17" style="1391" width="14.421875" hidden="1" customWidth="1"/>
    <col min="18" max="18" style="928" width="14.140625" hidden="1" customWidth="1"/>
    <col min="19" max="19" style="500" width="8.140625" hidden="1" customWidth="1"/>
    <col min="20" max="20" style="1582" width="8.00390625" hidden="1" customWidth="1"/>
    <col min="21" max="21" style="1582" width="6.00390625" hidden="1" customWidth="1"/>
    <col min="22" max="23" style="1582" width="6.28125" hidden="1" customWidth="1"/>
    <col min="24" max="24" style="1582" width="5.8515625" hidden="1" customWidth="1"/>
    <col min="25" max="25" style="1582" width="5.7109375" hidden="1" customWidth="1"/>
    <col min="26" max="26" style="1582" width="5.421875" hidden="1" customWidth="1"/>
    <col min="27" max="27" style="500" width="3.00390625" customWidth="1"/>
    <col min="28" max="28" style="332" width="90.00390625" customWidth="1"/>
    <col min="29" max="29" style="215" width="23.6328125" customWidth="1"/>
    <col min="30" max="32" style="500" width="14.25390625" customWidth="1"/>
    <col min="33" max="179" style="500" width="14.25390625" hidden="1" customWidth="1"/>
    <col min="180" max="180" style="500" width="3.00390625" customWidth="1"/>
    <col min="181" max="181" style="500" width="9.140625" hidden="1"/>
    <col min="182" max="182" style="1219" width="8.57421875" hidden="1" customWidth="1"/>
    <col min="183" max="186" style="1395" width="8.57421875" hidden="1" customWidth="1"/>
  </cols>
  <sheetData>
    <row s="1582" customFormat="1" customHeight="1" ht="12" hidden="1">
      <c r="B1" s="788"/>
      <c r="C1" s="1325" t="s">
        <v>84</v>
      </c>
      <c r="D1" s="1294" t="s">
        <v>85</v>
      </c>
      <c r="E1" s="788"/>
      <c r="F1" s="819" t="s">
        <v>83</v>
      </c>
      <c r="G1" s="213"/>
      <c r="H1" s="213"/>
      <c r="I1" s="213"/>
      <c r="J1" s="1299" t="s">
        <v>2080</v>
      </c>
      <c r="K1" s="1299" t="s">
        <v>1568</v>
      </c>
      <c r="L1" s="1299" t="s">
        <v>2081</v>
      </c>
      <c r="M1" s="1299" t="s">
        <v>1569</v>
      </c>
      <c r="N1" s="1299" t="s">
        <v>2082</v>
      </c>
      <c r="O1" s="1299" t="s">
        <v>1997</v>
      </c>
      <c r="P1" s="1299" t="s">
        <v>2083</v>
      </c>
      <c r="Q1" s="1317" t="s">
        <v>94</v>
      </c>
      <c r="R1" s="739"/>
      <c r="S1" s="213"/>
      <c r="T1" s="808" t="s">
        <v>86</v>
      </c>
      <c r="U1" s="808" t="s">
        <v>91</v>
      </c>
      <c r="V1" s="808" t="s">
        <v>87</v>
      </c>
      <c r="W1" s="808" t="s">
        <v>88</v>
      </c>
      <c r="X1" s="808" t="s">
        <v>89</v>
      </c>
      <c r="Y1" s="819" t="s">
        <v>372</v>
      </c>
      <c r="Z1" s="808" t="s">
        <v>93</v>
      </c>
      <c r="AA1" s="819" t="s">
        <v>90</v>
      </c>
      <c r="AB1" s="819" t="s">
        <v>92</v>
      </c>
      <c r="AC1" s="171"/>
      <c r="AG1" s="1582"/>
      <c r="AH1" s="1582"/>
      <c r="AI1" s="1582"/>
      <c r="AJ1" s="1582"/>
      <c r="AK1" s="1582"/>
      <c r="AL1" s="1582"/>
      <c r="AM1" s="1582"/>
      <c r="AN1" s="1582"/>
      <c r="AO1" s="1582"/>
      <c r="AP1" s="1582"/>
      <c r="AQ1" s="1582"/>
      <c r="AR1" s="1582"/>
      <c r="AS1" s="1582"/>
      <c r="AT1" s="1582"/>
      <c r="AU1" s="1582"/>
      <c r="AV1" s="1582"/>
      <c r="AW1" s="1582"/>
      <c r="AX1" s="1582"/>
      <c r="AY1" s="1582"/>
      <c r="AZ1" s="1582"/>
      <c r="BA1" s="1582"/>
      <c r="BB1" s="1582"/>
      <c r="BC1" s="1582"/>
      <c r="BD1" s="1582"/>
      <c r="BE1" s="1582"/>
      <c r="BF1" s="1582"/>
      <c r="BG1" s="1582"/>
      <c r="BH1" s="1582"/>
      <c r="BI1" s="1582"/>
      <c r="BJ1" s="1582"/>
      <c r="BK1" s="1582"/>
      <c r="BL1" s="1582"/>
      <c r="BM1" s="1582"/>
      <c r="BN1" s="1582"/>
      <c r="BO1" s="1582"/>
      <c r="BP1" s="1582"/>
      <c r="BQ1" s="1582"/>
      <c r="BR1" s="1582"/>
      <c r="BS1" s="1582"/>
      <c r="BT1" s="1582"/>
      <c r="BU1" s="1582"/>
      <c r="BV1" s="1582"/>
      <c r="BW1" s="1582"/>
      <c r="BX1" s="1582"/>
      <c r="BY1" s="1582"/>
      <c r="BZ1" s="1582"/>
      <c r="CA1" s="1582"/>
      <c r="CB1" s="1582"/>
      <c r="CC1" s="1582"/>
      <c r="CD1" s="1582"/>
      <c r="CE1" s="1582"/>
      <c r="CF1" s="1582"/>
      <c r="CG1" s="1582"/>
      <c r="CH1" s="1582"/>
      <c r="CI1" s="1582"/>
      <c r="CJ1" s="1582"/>
      <c r="CK1" s="1582"/>
      <c r="CL1" s="1582"/>
      <c r="CM1" s="1582"/>
      <c r="CN1" s="1582"/>
      <c r="CO1" s="1582"/>
      <c r="CP1" s="1582"/>
      <c r="CQ1" s="1582"/>
      <c r="CR1" s="1582"/>
      <c r="CS1" s="1582"/>
      <c r="CT1" s="1582"/>
      <c r="CU1" s="1582"/>
      <c r="CV1" s="1582"/>
      <c r="CW1" s="1582"/>
      <c r="CX1" s="1582"/>
      <c r="CY1" s="1582"/>
      <c r="CZ1" s="1582"/>
      <c r="DA1" s="1582"/>
      <c r="DB1" s="1582"/>
      <c r="DC1" s="1582"/>
      <c r="DD1" s="1582"/>
      <c r="DE1" s="1582"/>
      <c r="DF1" s="1582"/>
      <c r="DG1" s="1582"/>
      <c r="DH1" s="1582"/>
      <c r="DI1" s="1582"/>
      <c r="DJ1" s="1582"/>
      <c r="DK1" s="1582"/>
      <c r="DL1" s="1582"/>
      <c r="DM1" s="1582"/>
      <c r="DN1" s="1582"/>
      <c r="DO1" s="1582"/>
      <c r="DP1" s="1582"/>
      <c r="DQ1" s="1582"/>
      <c r="DR1" s="1582"/>
      <c r="DS1" s="1582"/>
      <c r="DT1" s="1582"/>
      <c r="DU1" s="1582"/>
      <c r="DV1" s="1582"/>
      <c r="DW1" s="1582"/>
      <c r="DX1" s="1582"/>
      <c r="DY1" s="1582"/>
      <c r="DZ1" s="1582"/>
      <c r="EA1" s="1582"/>
      <c r="EB1" s="1582"/>
      <c r="EC1" s="1582"/>
      <c r="ED1" s="1582"/>
      <c r="EE1" s="1582"/>
      <c r="EF1" s="1582"/>
      <c r="EG1" s="1582"/>
      <c r="EH1" s="1582"/>
      <c r="EI1" s="1582"/>
      <c r="EJ1" s="1582"/>
      <c r="EK1" s="1582"/>
      <c r="EL1" s="1582"/>
      <c r="EM1" s="1582"/>
      <c r="EN1" s="1582"/>
      <c r="EO1" s="1582"/>
      <c r="EP1" s="1582"/>
      <c r="EQ1" s="1582"/>
      <c r="ER1" s="1582"/>
      <c r="ES1" s="1582"/>
      <c r="ET1" s="1582"/>
      <c r="EU1" s="1582"/>
      <c r="EV1" s="1582"/>
      <c r="EW1" s="1582"/>
      <c r="EX1" s="1582"/>
      <c r="EY1" s="1582"/>
      <c r="EZ1" s="1582"/>
      <c r="FA1" s="1582"/>
      <c r="FB1" s="1582"/>
      <c r="FC1" s="1582"/>
      <c r="FD1" s="1582"/>
      <c r="FE1" s="1582"/>
      <c r="FF1" s="1582"/>
      <c r="FG1" s="1582"/>
      <c r="FH1" s="1582"/>
      <c r="FI1" s="1582"/>
      <c r="FJ1" s="1582"/>
      <c r="FK1" s="1582"/>
      <c r="FL1" s="1582"/>
      <c r="FM1" s="1582"/>
      <c r="FN1" s="1582"/>
      <c r="FO1" s="1582"/>
      <c r="FP1" s="1582"/>
      <c r="FQ1" s="1582"/>
      <c r="FR1" s="1582"/>
      <c r="FS1" s="1582"/>
      <c r="FT1" s="1582"/>
      <c r="FU1" s="1582"/>
      <c r="FV1" s="1582"/>
      <c r="FW1" s="1582"/>
      <c r="FZ1" s="1184" t="s">
        <v>373</v>
      </c>
      <c r="GA1" s="1219" t="s">
        <v>374</v>
      </c>
      <c r="GB1" s="1219" t="s">
        <v>375</v>
      </c>
      <c r="GC1" s="1219" t="s">
        <v>378</v>
      </c>
      <c r="GD1" s="1219" t="s">
        <v>379</v>
      </c>
    </row>
    <row s="927" customFormat="1" customHeight="1" ht="12" hidden="1">
      <c r="B2" s="910" t="s">
        <v>15</v>
      </c>
      <c r="C2" s="1326"/>
      <c r="D2" s="1257"/>
      <c r="G2" s="930"/>
      <c r="H2" s="930"/>
      <c r="I2" s="930"/>
      <c r="J2" s="1298"/>
      <c r="K2" s="1298"/>
      <c r="L2" s="1298"/>
      <c r="M2" s="1298"/>
      <c r="N2" s="1298"/>
      <c r="O2" s="1298"/>
      <c r="P2" s="1298"/>
      <c r="Q2" s="1332"/>
      <c r="R2" s="930"/>
      <c r="S2" s="930"/>
      <c r="AB2" s="792"/>
      <c r="AC2" s="792"/>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0</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AY2" s="809">
        <f>AY6&lt;=last_year_vis</f>
        <v>0</v>
      </c>
      <c r="AZ2" s="809">
        <f>AZ6&lt;=last_year_vis</f>
        <v>0</v>
      </c>
      <c r="BA2" s="809">
        <f>BA6&lt;=last_year_vis</f>
        <v>0</v>
      </c>
      <c r="BB2" s="809">
        <f>BB6&lt;=last_year_vis</f>
        <v>0</v>
      </c>
      <c r="BC2" s="809">
        <f>BC6&lt;=last_year_vis</f>
        <v>0</v>
      </c>
      <c r="BD2" s="809">
        <f>BD6&lt;=last_year_vis</f>
        <v>0</v>
      </c>
      <c r="BE2" s="809">
        <f>BE6&lt;=last_year_vis</f>
        <v>0</v>
      </c>
      <c r="BF2" s="809">
        <f>BF6&lt;=last_year_vis</f>
        <v>0</v>
      </c>
      <c r="BG2" s="809">
        <f>BG6&lt;=last_year_vis</f>
        <v>0</v>
      </c>
      <c r="BH2" s="809">
        <f>BH6&lt;=last_year_vis</f>
        <v>0</v>
      </c>
      <c r="BI2" s="809">
        <f>BI6&lt;=last_year_vis</f>
        <v>0</v>
      </c>
      <c r="BJ2" s="809">
        <f>BJ6&lt;=last_year_vis</f>
        <v>0</v>
      </c>
      <c r="BK2" s="809">
        <f>BK6&lt;=last_year_vis</f>
        <v>0</v>
      </c>
      <c r="BL2" s="809">
        <f>BL6&lt;=last_year_vis</f>
        <v>0</v>
      </c>
      <c r="BM2" s="809">
        <f>BM6&lt;=last_year_vis</f>
        <v>0</v>
      </c>
      <c r="BN2" s="809">
        <f>BN6&lt;=last_year_vis</f>
        <v>0</v>
      </c>
      <c r="BO2" s="809">
        <f>BO6&lt;=last_year_vis</f>
        <v>0</v>
      </c>
      <c r="BP2" s="809">
        <f>BP6&lt;=last_year_vis</f>
        <v>0</v>
      </c>
      <c r="BQ2" s="809">
        <f>BQ6&lt;=last_year_vis</f>
        <v>0</v>
      </c>
      <c r="BR2" s="809">
        <f>BR6&lt;=last_year_vis</f>
        <v>0</v>
      </c>
      <c r="BS2" s="809">
        <f>BS6&lt;=last_year_vis</f>
        <v>0</v>
      </c>
      <c r="BT2" s="809">
        <f>BT6&lt;=last_year_vis</f>
        <v>0</v>
      </c>
      <c r="BU2" s="809">
        <f>BU6&lt;=last_year_vis</f>
        <v>0</v>
      </c>
      <c r="BV2" s="809">
        <f>BV6&lt;=last_year_vis</f>
        <v>0</v>
      </c>
      <c r="BW2" s="809">
        <f>BW6&lt;=last_year_vis</f>
        <v>0</v>
      </c>
      <c r="BX2" s="809">
        <f>BX6&lt;=last_year_vis</f>
        <v>0</v>
      </c>
      <c r="BY2" s="809">
        <f>BY6&lt;=last_year_vis</f>
        <v>0</v>
      </c>
      <c r="BZ2" s="809">
        <f>BZ6&lt;=last_year_vis</f>
        <v>0</v>
      </c>
      <c r="CA2" s="809">
        <f>CA6&lt;=last_year_vis</f>
        <v>0</v>
      </c>
      <c r="CB2" s="809">
        <f>CB6&lt;=last_year_vis</f>
        <v>0</v>
      </c>
      <c r="CC2" s="809">
        <f>CC6&lt;=last_year_vis</f>
        <v>0</v>
      </c>
      <c r="CD2" s="809">
        <f>CD6&lt;=last_year_vis</f>
        <v>0</v>
      </c>
      <c r="CE2" s="809">
        <f>CE6&lt;=last_year_vis</f>
        <v>0</v>
      </c>
      <c r="CF2" s="809">
        <f>CF6&lt;=last_year_vis</f>
        <v>0</v>
      </c>
      <c r="CG2" s="809">
        <f>CG6&lt;=last_year_vis</f>
        <v>0</v>
      </c>
      <c r="CH2" s="809">
        <f>CH6&lt;=last_year_vis</f>
        <v>0</v>
      </c>
      <c r="CI2" s="809">
        <f>CI6&lt;=last_year_vis</f>
        <v>0</v>
      </c>
      <c r="CJ2" s="809">
        <f>CJ6&lt;=last_year_vis</f>
        <v>0</v>
      </c>
      <c r="CK2" s="809">
        <f>CK6&lt;=last_year_vis</f>
        <v>0</v>
      </c>
      <c r="CL2" s="809">
        <f>CL6&lt;=last_year_vis</f>
        <v>0</v>
      </c>
      <c r="CM2" s="809">
        <f>CM6&lt;=last_year_vis</f>
        <v>0</v>
      </c>
      <c r="CN2" s="809">
        <f>CN6&lt;=last_year_vis</f>
        <v>0</v>
      </c>
      <c r="CO2" s="809">
        <f>CO6&lt;=last_year_vis</f>
        <v>0</v>
      </c>
      <c r="CP2" s="809">
        <f>CP6&lt;=last_year_vis</f>
        <v>0</v>
      </c>
      <c r="CQ2" s="809">
        <f>CQ6&lt;=last_year_vis</f>
        <v>0</v>
      </c>
      <c r="CR2" s="809">
        <f>CR6&lt;=last_year_vis</f>
        <v>0</v>
      </c>
      <c r="CS2" s="809">
        <f>CS6&lt;=last_year_vis</f>
        <v>0</v>
      </c>
      <c r="CT2" s="809">
        <f>CT6&lt;=last_year_vis</f>
        <v>0</v>
      </c>
      <c r="CU2" s="809">
        <f>CU6&lt;=last_year_vis</f>
        <v>0</v>
      </c>
      <c r="CV2" s="809">
        <f>CV6&lt;=last_year_vis</f>
        <v>0</v>
      </c>
      <c r="CW2" s="809">
        <f>CW6&lt;=last_year_vis</f>
        <v>0</v>
      </c>
      <c r="CX2" s="809">
        <f>CX6&lt;=last_year_vis</f>
        <v>0</v>
      </c>
      <c r="CY2" s="809">
        <f>CY6&lt;=last_year_vis</f>
        <v>0</v>
      </c>
      <c r="CZ2" s="809">
        <f>CZ6&lt;=last_year_vis</f>
        <v>0</v>
      </c>
      <c r="DA2" s="809">
        <f>DA6&lt;=last_year_vis</f>
        <v>0</v>
      </c>
      <c r="DB2" s="809">
        <f>DB6&lt;=last_year_vis</f>
        <v>0</v>
      </c>
      <c r="DC2" s="809">
        <f>DC6&lt;=last_year_vis</f>
        <v>0</v>
      </c>
      <c r="DD2" s="809">
        <f>DD6&lt;=last_year_vis</f>
        <v>0</v>
      </c>
      <c r="DE2" s="809">
        <f>DE6&lt;=last_year_vis</f>
        <v>0</v>
      </c>
      <c r="DF2" s="809">
        <f>DF6&lt;=last_year_vis</f>
        <v>0</v>
      </c>
      <c r="DG2" s="809">
        <f>DG6&lt;=last_year_vis</f>
        <v>0</v>
      </c>
      <c r="DH2" s="809">
        <f>DH6&lt;=last_year_vis</f>
        <v>0</v>
      </c>
      <c r="DI2" s="809">
        <f>DI6&lt;=last_year_vis</f>
        <v>0</v>
      </c>
      <c r="DJ2" s="809">
        <f>DJ6&lt;=last_year_vis</f>
        <v>0</v>
      </c>
      <c r="DK2" s="809">
        <f>DK6&lt;=last_year_vis</f>
        <v>0</v>
      </c>
      <c r="DL2" s="809">
        <f>DL6&lt;=last_year_vis</f>
        <v>0</v>
      </c>
      <c r="DM2" s="809">
        <f>DM6&lt;=last_year_vis</f>
        <v>0</v>
      </c>
      <c r="DN2" s="809">
        <f>DN6&lt;=last_year_vis</f>
        <v>0</v>
      </c>
      <c r="DO2" s="809">
        <f>DO6&lt;=last_year_vis</f>
        <v>0</v>
      </c>
      <c r="DP2" s="809">
        <f>DP6&lt;=last_year_vis</f>
        <v>0</v>
      </c>
      <c r="DQ2" s="809">
        <f>DQ6&lt;=last_year_vis</f>
        <v>0</v>
      </c>
      <c r="DR2" s="809">
        <f>DR6&lt;=last_year_vis</f>
        <v>0</v>
      </c>
      <c r="DS2" s="809">
        <f>DS6&lt;=last_year_vis</f>
        <v>0</v>
      </c>
      <c r="DT2" s="809">
        <f>DT6&lt;=last_year_vis</f>
        <v>0</v>
      </c>
      <c r="DU2" s="809">
        <f>DU6&lt;=last_year_vis</f>
        <v>0</v>
      </c>
      <c r="DV2" s="809">
        <f>DV6&lt;=last_year_vis</f>
        <v>0</v>
      </c>
      <c r="DW2" s="809">
        <f>DW6&lt;=last_year_vis</f>
        <v>0</v>
      </c>
      <c r="DX2" s="809">
        <f>DX6&lt;=last_year_vis</f>
        <v>0</v>
      </c>
      <c r="DY2" s="809">
        <f>DY6&lt;=last_year_vis</f>
        <v>0</v>
      </c>
      <c r="DZ2" s="809">
        <f>DZ6&lt;=last_year_vis</f>
        <v>0</v>
      </c>
      <c r="EA2" s="809">
        <f>EA6&lt;=last_year_vis</f>
        <v>0</v>
      </c>
      <c r="EB2" s="809">
        <f>EB6&lt;=last_year_vis</f>
        <v>0</v>
      </c>
      <c r="EC2" s="809">
        <f>EC6&lt;=last_year_vis</f>
        <v>0</v>
      </c>
      <c r="ED2" s="809">
        <f>ED6&lt;=last_year_vis</f>
        <v>0</v>
      </c>
      <c r="EE2" s="809">
        <f>EE6&lt;=last_year_vis</f>
        <v>0</v>
      </c>
      <c r="EF2" s="809">
        <f>EF6&lt;=last_year_vis</f>
        <v>0</v>
      </c>
      <c r="EG2" s="809">
        <f>EG6&lt;=last_year_vis</f>
        <v>0</v>
      </c>
      <c r="EH2" s="809">
        <f>EH6&lt;=last_year_vis</f>
        <v>0</v>
      </c>
      <c r="EI2" s="809">
        <f>EI6&lt;=last_year_vis</f>
        <v>0</v>
      </c>
      <c r="EJ2" s="809">
        <f>EJ6&lt;=last_year_vis</f>
        <v>0</v>
      </c>
      <c r="EK2" s="809">
        <f>EK6&lt;=last_year_vis</f>
        <v>0</v>
      </c>
      <c r="EL2" s="809">
        <f>EL6&lt;=last_year_vis</f>
        <v>0</v>
      </c>
      <c r="EM2" s="809">
        <f>EM6&lt;=last_year_vis</f>
        <v>0</v>
      </c>
      <c r="EN2" s="809">
        <f>EN6&lt;=last_year_vis</f>
        <v>0</v>
      </c>
      <c r="EO2" s="809">
        <f>EO6&lt;=last_year_vis</f>
        <v>0</v>
      </c>
      <c r="EP2" s="809">
        <f>EP6&lt;=last_year_vis</f>
        <v>0</v>
      </c>
      <c r="EQ2" s="809">
        <f>EQ6&lt;=last_year_vis</f>
        <v>0</v>
      </c>
      <c r="ER2" s="809">
        <f>ER6&lt;=last_year_vis</f>
        <v>0</v>
      </c>
      <c r="ES2" s="809">
        <f>ES6&lt;=last_year_vis</f>
        <v>0</v>
      </c>
      <c r="ET2" s="809">
        <f>ET6&lt;=last_year_vis</f>
        <v>0</v>
      </c>
      <c r="EU2" s="809">
        <f>EU6&lt;=last_year_vis</f>
        <v>0</v>
      </c>
      <c r="EV2" s="809">
        <f>EV6&lt;=last_year_vis</f>
        <v>0</v>
      </c>
      <c r="EW2" s="809">
        <f>EW6&lt;=last_year_vis</f>
        <v>0</v>
      </c>
      <c r="EX2" s="809">
        <f>EX6&lt;=last_year_vis</f>
        <v>0</v>
      </c>
      <c r="EY2" s="809">
        <f>EY6&lt;=last_year_vis</f>
        <v>0</v>
      </c>
      <c r="EZ2" s="809">
        <f>EZ6&lt;=last_year_vis</f>
        <v>0</v>
      </c>
      <c r="FA2" s="809">
        <f>FA6&lt;=last_year_vis</f>
        <v>0</v>
      </c>
      <c r="FB2" s="809">
        <f>FB6&lt;=last_year_vis</f>
        <v>0</v>
      </c>
      <c r="FC2" s="809">
        <f>FC6&lt;=last_year_vis</f>
        <v>0</v>
      </c>
      <c r="FD2" s="809">
        <f>FD6&lt;=last_year_vis</f>
        <v>0</v>
      </c>
      <c r="FE2" s="809">
        <f>FE6&lt;=last_year_vis</f>
        <v>0</v>
      </c>
      <c r="FF2" s="809">
        <f>FF6&lt;=last_year_vis</f>
        <v>0</v>
      </c>
      <c r="FG2" s="809">
        <f>FG6&lt;=last_year_vis</f>
        <v>0</v>
      </c>
      <c r="FH2" s="809">
        <f>FH6&lt;=last_year_vis</f>
        <v>0</v>
      </c>
      <c r="FI2" s="809">
        <f>FI6&lt;=last_year_vis</f>
        <v>0</v>
      </c>
      <c r="FJ2" s="809">
        <f>FJ6&lt;=last_year_vis</f>
        <v>0</v>
      </c>
      <c r="FK2" s="809">
        <f>FK6&lt;=last_year_vis</f>
        <v>0</v>
      </c>
      <c r="FL2" s="809">
        <f>FL6&lt;=last_year_vis</f>
        <v>0</v>
      </c>
      <c r="FM2" s="809">
        <f>FM6&lt;=last_year_vis</f>
        <v>0</v>
      </c>
      <c r="FN2" s="809">
        <f>FN6&lt;=last_year_vis</f>
        <v>0</v>
      </c>
      <c r="FO2" s="809">
        <f>FO6&lt;=last_year_vis</f>
        <v>0</v>
      </c>
      <c r="FP2" s="809">
        <f>FP6&lt;=last_year_vis</f>
        <v>0</v>
      </c>
      <c r="FQ2" s="809">
        <f>FQ6&lt;=last_year_vis</f>
        <v>0</v>
      </c>
      <c r="FR2" s="809">
        <f>FR6&lt;=last_year_vis</f>
        <v>0</v>
      </c>
      <c r="FS2" s="809">
        <f>FS6&lt;=last_year_vis</f>
        <v>0</v>
      </c>
      <c r="FT2" s="809">
        <f>FT6&lt;=last_year_vis</f>
        <v>0</v>
      </c>
      <c r="FU2" s="809">
        <f>FU6&lt;=last_year_vis</f>
        <v>0</v>
      </c>
      <c r="FV2" s="809">
        <f>FV6&lt;=last_year_vis</f>
        <v>0</v>
      </c>
      <c r="FW2" s="809">
        <f>FW6&lt;=last_year_vis</f>
        <v>0</v>
      </c>
      <c r="FZ2" s="1176"/>
      <c r="GA2" s="1222"/>
      <c r="GB2" s="1222"/>
      <c r="GC2" s="1222"/>
      <c r="GD2" s="1222"/>
    </row>
    <row s="1582" customFormat="1" customHeight="1" ht="12" hidden="1">
      <c r="B3" s="788"/>
      <c r="C3" s="1325"/>
      <c r="D3" s="1294"/>
      <c r="E3" s="788"/>
      <c r="G3" s="213"/>
      <c r="H3" s="213"/>
      <c r="I3" s="213"/>
      <c r="J3" s="1299"/>
      <c r="K3" s="1299"/>
      <c r="L3" s="1299"/>
      <c r="M3" s="1299"/>
      <c r="N3" s="1299"/>
      <c r="O3" s="1299"/>
      <c r="P3" s="1299"/>
      <c r="Q3" s="1317"/>
      <c r="R3" s="739"/>
      <c r="S3" s="213"/>
      <c r="AB3" s="171"/>
      <c r="AC3" s="171"/>
      <c r="AG3" s="1582"/>
      <c r="AH3" s="1582"/>
      <c r="AI3" s="1582"/>
      <c r="AJ3" s="1582"/>
      <c r="AK3" s="1582"/>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82"/>
      <c r="BN3" s="1582"/>
      <c r="BO3" s="1582"/>
      <c r="BP3" s="1582"/>
      <c r="BQ3" s="1582"/>
      <c r="BR3" s="1582"/>
      <c r="BS3" s="1582"/>
      <c r="BT3" s="1582"/>
      <c r="BU3" s="1582"/>
      <c r="BV3" s="1582"/>
      <c r="BW3" s="1582"/>
      <c r="BX3" s="1582"/>
      <c r="BY3" s="1582"/>
      <c r="BZ3" s="1582"/>
      <c r="CA3" s="1582"/>
      <c r="CB3" s="1582"/>
      <c r="CC3" s="1582"/>
      <c r="CD3" s="1582"/>
      <c r="CE3" s="1582"/>
      <c r="CF3" s="1582"/>
      <c r="CG3" s="1582"/>
      <c r="CH3" s="1582"/>
      <c r="CI3" s="1582"/>
      <c r="CJ3" s="1582"/>
      <c r="CK3" s="1582"/>
      <c r="CL3" s="1582"/>
      <c r="CM3" s="1582"/>
      <c r="CN3" s="1582"/>
      <c r="CO3" s="1582"/>
      <c r="CP3" s="1582"/>
      <c r="CQ3" s="1582"/>
      <c r="CR3" s="1582"/>
      <c r="CS3" s="1582"/>
      <c r="CT3" s="1582"/>
      <c r="CU3" s="1582"/>
      <c r="CV3" s="1582"/>
      <c r="CW3" s="1582"/>
      <c r="CX3" s="1582"/>
      <c r="CY3" s="1582"/>
      <c r="CZ3" s="1582"/>
      <c r="DA3" s="1582"/>
      <c r="DB3" s="1582"/>
      <c r="DC3" s="1582"/>
      <c r="DD3" s="1582"/>
      <c r="DE3" s="1582"/>
      <c r="DF3" s="1582"/>
      <c r="DG3" s="1582"/>
      <c r="DH3" s="1582"/>
      <c r="DI3" s="1582"/>
      <c r="DJ3" s="1582"/>
      <c r="DK3" s="1582"/>
      <c r="DL3" s="1582"/>
      <c r="DM3" s="1582"/>
      <c r="DN3" s="1582"/>
      <c r="DO3" s="1582"/>
      <c r="DP3" s="1582"/>
      <c r="DQ3" s="1582"/>
      <c r="DR3" s="1582"/>
      <c r="DS3" s="1582"/>
      <c r="DT3" s="1582"/>
      <c r="DU3" s="1582"/>
      <c r="DV3" s="1582"/>
      <c r="DW3" s="1582"/>
      <c r="DX3" s="1582"/>
      <c r="DY3" s="1582"/>
      <c r="DZ3" s="1582"/>
      <c r="EA3" s="1582"/>
      <c r="EB3" s="1582"/>
      <c r="EC3" s="1582"/>
      <c r="ED3" s="1582"/>
      <c r="EE3" s="1582"/>
      <c r="EF3" s="1582"/>
      <c r="EG3" s="1582"/>
      <c r="EH3" s="1582"/>
      <c r="EI3" s="1582"/>
      <c r="EJ3" s="1582"/>
      <c r="EK3" s="1582"/>
      <c r="EL3" s="1582"/>
      <c r="EM3" s="1582"/>
      <c r="EN3" s="1582"/>
      <c r="EO3" s="1582"/>
      <c r="EP3" s="1582"/>
      <c r="EQ3" s="1582"/>
      <c r="ER3" s="1582"/>
      <c r="ES3" s="1582"/>
      <c r="ET3" s="1582"/>
      <c r="EU3" s="1582"/>
      <c r="EV3" s="1582"/>
      <c r="EW3" s="1582"/>
      <c r="EX3" s="1582"/>
      <c r="EY3" s="1582"/>
      <c r="EZ3" s="1582"/>
      <c r="FA3" s="1582"/>
      <c r="FB3" s="1582"/>
      <c r="FC3" s="1582"/>
      <c r="FD3" s="1582"/>
      <c r="FE3" s="1582"/>
      <c r="FF3" s="1582"/>
      <c r="FG3" s="1582"/>
      <c r="FH3" s="1582"/>
      <c r="FI3" s="1582"/>
      <c r="FJ3" s="1582"/>
      <c r="FK3" s="1582"/>
      <c r="FL3" s="1582"/>
      <c r="FM3" s="1582"/>
      <c r="FN3" s="1582"/>
      <c r="FO3" s="1582"/>
      <c r="FP3" s="1582"/>
      <c r="FQ3" s="1582"/>
      <c r="FR3" s="1582"/>
      <c r="FS3" s="1582"/>
      <c r="FT3" s="1582"/>
      <c r="FU3" s="1582"/>
      <c r="FV3" s="1582"/>
      <c r="FW3" s="1582"/>
      <c r="FZ3" s="1184"/>
      <c r="GA3" s="1219"/>
      <c r="GB3" s="1219"/>
      <c r="GC3" s="1219"/>
      <c r="GD3" s="1219"/>
    </row>
    <row s="1582" customFormat="1" customHeight="1" ht="12" hidden="1">
      <c r="B4" s="788"/>
      <c r="C4" s="1325"/>
      <c r="D4" s="1294"/>
      <c r="E4" s="788"/>
      <c r="G4" s="213"/>
      <c r="H4" s="213"/>
      <c r="I4" s="213"/>
      <c r="J4" s="1299"/>
      <c r="K4" s="1299"/>
      <c r="L4" s="1299"/>
      <c r="M4" s="1299"/>
      <c r="N4" s="1299"/>
      <c r="O4" s="1299"/>
      <c r="P4" s="1299"/>
      <c r="Q4" s="1317"/>
      <c r="R4" s="739"/>
      <c r="S4" s="213"/>
      <c r="AB4" s="171"/>
      <c r="AC4" s="171"/>
      <c r="AG4" s="1582"/>
      <c r="AH4" s="1582"/>
      <c r="AI4" s="1582"/>
      <c r="AJ4" s="1582"/>
      <c r="AK4" s="1582"/>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1582"/>
      <c r="BN4" s="1582"/>
      <c r="BO4" s="1582"/>
      <c r="BP4" s="1582"/>
      <c r="BQ4" s="1582"/>
      <c r="BR4" s="1582"/>
      <c r="BS4" s="1582"/>
      <c r="BT4" s="1582"/>
      <c r="BU4" s="1582"/>
      <c r="BV4" s="1582"/>
      <c r="BW4" s="1582"/>
      <c r="BX4" s="1582"/>
      <c r="BY4" s="1582"/>
      <c r="BZ4" s="1582"/>
      <c r="CA4" s="1582"/>
      <c r="CB4" s="1582"/>
      <c r="CC4" s="1582"/>
      <c r="CD4" s="1582"/>
      <c r="CE4" s="1582"/>
      <c r="CF4" s="1582"/>
      <c r="CG4" s="1582"/>
      <c r="CH4" s="1582"/>
      <c r="CI4" s="1582"/>
      <c r="CJ4" s="1582"/>
      <c r="CK4" s="1582"/>
      <c r="CL4" s="1582"/>
      <c r="CM4" s="1582"/>
      <c r="CN4" s="1582"/>
      <c r="CO4" s="1582"/>
      <c r="CP4" s="1582"/>
      <c r="CQ4" s="1582"/>
      <c r="CR4" s="1582"/>
      <c r="CS4" s="1582"/>
      <c r="CT4" s="1582"/>
      <c r="CU4" s="1582"/>
      <c r="CV4" s="1582"/>
      <c r="CW4" s="1582"/>
      <c r="CX4" s="1582"/>
      <c r="CY4" s="1582"/>
      <c r="CZ4" s="1582"/>
      <c r="DA4" s="1582"/>
      <c r="DB4" s="1582"/>
      <c r="DC4" s="1582"/>
      <c r="DD4" s="1582"/>
      <c r="DE4" s="1582"/>
      <c r="DF4" s="1582"/>
      <c r="DG4" s="1582"/>
      <c r="DH4" s="1582"/>
      <c r="DI4" s="1582"/>
      <c r="DJ4" s="1582"/>
      <c r="DK4" s="1582"/>
      <c r="DL4" s="1582"/>
      <c r="DM4" s="1582"/>
      <c r="DN4" s="1582"/>
      <c r="DO4" s="1582"/>
      <c r="DP4" s="1582"/>
      <c r="DQ4" s="1582"/>
      <c r="DR4" s="1582"/>
      <c r="DS4" s="1582"/>
      <c r="DT4" s="1582"/>
      <c r="DU4" s="1582"/>
      <c r="DV4" s="1582"/>
      <c r="DW4" s="1582"/>
      <c r="DX4" s="1582"/>
      <c r="DY4" s="1582"/>
      <c r="DZ4" s="1582"/>
      <c r="EA4" s="1582"/>
      <c r="EB4" s="1582"/>
      <c r="EC4" s="1582"/>
      <c r="ED4" s="1582"/>
      <c r="EE4" s="1582"/>
      <c r="EF4" s="1582"/>
      <c r="EG4" s="1582"/>
      <c r="EH4" s="1582"/>
      <c r="EI4" s="1582"/>
      <c r="EJ4" s="1582"/>
      <c r="EK4" s="1582"/>
      <c r="EL4" s="1582"/>
      <c r="EM4" s="1582"/>
      <c r="EN4" s="1582"/>
      <c r="EO4" s="1582"/>
      <c r="EP4" s="1582"/>
      <c r="EQ4" s="1582"/>
      <c r="ER4" s="1582"/>
      <c r="ES4" s="1582"/>
      <c r="ET4" s="1582"/>
      <c r="EU4" s="1582"/>
      <c r="EV4" s="1582"/>
      <c r="EW4" s="1582"/>
      <c r="EX4" s="1582"/>
      <c r="EY4" s="1582"/>
      <c r="EZ4" s="1582"/>
      <c r="FA4" s="1582"/>
      <c r="FB4" s="1582"/>
      <c r="FC4" s="1582"/>
      <c r="FD4" s="1582"/>
      <c r="FE4" s="1582"/>
      <c r="FF4" s="1582"/>
      <c r="FG4" s="1582"/>
      <c r="FH4" s="1582"/>
      <c r="FI4" s="1582"/>
      <c r="FJ4" s="1582"/>
      <c r="FK4" s="1582"/>
      <c r="FL4" s="1582"/>
      <c r="FM4" s="1582"/>
      <c r="FN4" s="1582"/>
      <c r="FO4" s="1582"/>
      <c r="FP4" s="1582"/>
      <c r="FQ4" s="1582"/>
      <c r="FR4" s="1582"/>
      <c r="FS4" s="1582"/>
      <c r="FT4" s="1582"/>
      <c r="FU4" s="1582"/>
      <c r="FV4" s="1582"/>
      <c r="FW4" s="1582"/>
      <c r="FZ4" s="1184"/>
      <c r="GA4" s="1219"/>
      <c r="GB4" s="1219"/>
      <c r="GC4" s="1219"/>
      <c r="GD4" s="1219"/>
    </row>
    <row s="925" customFormat="1" customHeight="1" ht="12" hidden="1">
      <c r="A5" s="788"/>
      <c r="B5" s="788"/>
      <c r="C5" s="1326"/>
      <c r="D5" s="1257"/>
      <c r="E5" s="797" t="s">
        <v>16</v>
      </c>
      <c r="G5" s="931"/>
      <c r="H5" s="931"/>
      <c r="I5" s="931"/>
      <c r="J5" s="1298"/>
      <c r="K5" s="1298"/>
      <c r="L5" s="1298"/>
      <c r="M5" s="1298"/>
      <c r="N5" s="1298"/>
      <c r="O5" s="1298"/>
      <c r="P5" s="1298"/>
      <c r="Q5" s="1332"/>
      <c r="R5" s="931"/>
      <c r="S5" s="931"/>
      <c r="AA5" s="797">
        <v>3</v>
      </c>
      <c r="AB5" s="803">
        <v>90</v>
      </c>
      <c r="AC5" s="803">
        <v>23.63</v>
      </c>
      <c r="AD5" s="797">
        <v>14.25</v>
      </c>
      <c r="AE5" s="797">
        <v>14.25</v>
      </c>
      <c r="AF5" s="797">
        <v>14.25</v>
      </c>
      <c r="AG5" s="797">
        <v>14.25</v>
      </c>
      <c r="AH5" s="797">
        <v>14.25</v>
      </c>
      <c r="AI5" s="797">
        <v>14.25</v>
      </c>
      <c r="AJ5" s="797">
        <v>14.25</v>
      </c>
      <c r="AK5" s="797">
        <v>14.25</v>
      </c>
      <c r="AL5" s="797">
        <v>14.25</v>
      </c>
      <c r="AM5" s="797">
        <v>14.25</v>
      </c>
      <c r="AN5" s="797">
        <v>14.25</v>
      </c>
      <c r="AO5" s="797">
        <v>14.25</v>
      </c>
      <c r="AP5" s="797">
        <v>14.25</v>
      </c>
      <c r="AQ5" s="797">
        <v>14.25</v>
      </c>
      <c r="AR5" s="797">
        <v>14.25</v>
      </c>
      <c r="AS5" s="797">
        <v>14.25</v>
      </c>
      <c r="AT5" s="797">
        <v>14.25</v>
      </c>
      <c r="AU5" s="797">
        <v>14.25</v>
      </c>
      <c r="AV5" s="797">
        <v>14.25</v>
      </c>
      <c r="AW5" s="797">
        <v>14.25</v>
      </c>
      <c r="AX5" s="797">
        <v>14.25</v>
      </c>
      <c r="AY5" s="797">
        <v>14.25</v>
      </c>
      <c r="AZ5" s="797">
        <v>14.25</v>
      </c>
      <c r="BA5" s="797">
        <v>14.25</v>
      </c>
      <c r="BB5" s="797">
        <v>14.25</v>
      </c>
      <c r="BC5" s="797">
        <v>14.25</v>
      </c>
      <c r="BD5" s="797">
        <v>14.25</v>
      </c>
      <c r="BE5" s="797">
        <v>14.25</v>
      </c>
      <c r="BF5" s="797">
        <v>14.25</v>
      </c>
      <c r="BG5" s="797">
        <v>14.25</v>
      </c>
      <c r="BH5" s="797">
        <v>14.25</v>
      </c>
      <c r="BI5" s="797">
        <v>14.25</v>
      </c>
      <c r="BJ5" s="797">
        <v>14.25</v>
      </c>
      <c r="BK5" s="797">
        <v>14.25</v>
      </c>
      <c r="BL5" s="797">
        <v>14.25</v>
      </c>
      <c r="BM5" s="797">
        <v>14.25</v>
      </c>
      <c r="BN5" s="797">
        <v>14.25</v>
      </c>
      <c r="BO5" s="797">
        <v>14.25</v>
      </c>
      <c r="BP5" s="797">
        <v>14.25</v>
      </c>
      <c r="BQ5" s="797">
        <v>14.25</v>
      </c>
      <c r="BR5" s="797">
        <v>14.25</v>
      </c>
      <c r="BS5" s="797">
        <v>14.25</v>
      </c>
      <c r="BT5" s="797">
        <v>14.25</v>
      </c>
      <c r="BU5" s="797">
        <v>14.25</v>
      </c>
      <c r="BV5" s="797">
        <v>14.25</v>
      </c>
      <c r="BW5" s="797">
        <v>14.25</v>
      </c>
      <c r="BX5" s="797">
        <v>14.25</v>
      </c>
      <c r="BY5" s="797">
        <v>14.25</v>
      </c>
      <c r="BZ5" s="797">
        <v>14.25</v>
      </c>
      <c r="CA5" s="797">
        <v>14.25</v>
      </c>
      <c r="CB5" s="797">
        <v>14.25</v>
      </c>
      <c r="CC5" s="797">
        <v>14.25</v>
      </c>
      <c r="CD5" s="797">
        <v>14.25</v>
      </c>
      <c r="CE5" s="797">
        <v>14.25</v>
      </c>
      <c r="CF5" s="797">
        <v>14.25</v>
      </c>
      <c r="CG5" s="797">
        <v>14.25</v>
      </c>
      <c r="CH5" s="797">
        <v>14.25</v>
      </c>
      <c r="CI5" s="797">
        <v>14.25</v>
      </c>
      <c r="CJ5" s="797">
        <v>14.25</v>
      </c>
      <c r="CK5" s="797">
        <v>14.25</v>
      </c>
      <c r="CL5" s="797">
        <v>14.25</v>
      </c>
      <c r="CM5" s="797">
        <v>14.25</v>
      </c>
      <c r="CN5" s="797">
        <v>14.25</v>
      </c>
      <c r="CO5" s="797">
        <v>14.25</v>
      </c>
      <c r="CP5" s="797">
        <v>14.25</v>
      </c>
      <c r="CQ5" s="797">
        <v>14.25</v>
      </c>
      <c r="CR5" s="797">
        <v>14.25</v>
      </c>
      <c r="CS5" s="797">
        <v>14.25</v>
      </c>
      <c r="CT5" s="797">
        <v>14.25</v>
      </c>
      <c r="CU5" s="797">
        <v>14.25</v>
      </c>
      <c r="CV5" s="797">
        <v>14.25</v>
      </c>
      <c r="CW5" s="797">
        <v>14.25</v>
      </c>
      <c r="CX5" s="797">
        <v>14.25</v>
      </c>
      <c r="CY5" s="797">
        <v>14.25</v>
      </c>
      <c r="CZ5" s="797">
        <v>14.25</v>
      </c>
      <c r="DA5" s="797">
        <v>14.25</v>
      </c>
      <c r="DB5" s="797">
        <v>14.25</v>
      </c>
      <c r="DC5" s="797">
        <v>14.25</v>
      </c>
      <c r="DD5" s="797">
        <v>14.25</v>
      </c>
      <c r="DE5" s="797">
        <v>14.25</v>
      </c>
      <c r="DF5" s="797">
        <v>14.25</v>
      </c>
      <c r="DG5" s="797">
        <v>14.25</v>
      </c>
      <c r="DH5" s="797">
        <v>14.25</v>
      </c>
      <c r="DI5" s="797">
        <v>14.25</v>
      </c>
      <c r="DJ5" s="797">
        <v>14.25</v>
      </c>
      <c r="DK5" s="797">
        <v>14.25</v>
      </c>
      <c r="DL5" s="797">
        <v>14.25</v>
      </c>
      <c r="DM5" s="797">
        <v>14.25</v>
      </c>
      <c r="DN5" s="797">
        <v>14.25</v>
      </c>
      <c r="DO5" s="797">
        <v>14.25</v>
      </c>
      <c r="DP5" s="797">
        <v>14.25</v>
      </c>
      <c r="DQ5" s="797">
        <v>14.25</v>
      </c>
      <c r="DR5" s="797">
        <v>14.25</v>
      </c>
      <c r="DS5" s="797">
        <v>14.25</v>
      </c>
      <c r="DT5" s="797">
        <v>14.25</v>
      </c>
      <c r="DU5" s="797">
        <v>14.25</v>
      </c>
      <c r="DV5" s="797">
        <v>14.25</v>
      </c>
      <c r="DW5" s="797">
        <v>14.25</v>
      </c>
      <c r="DX5" s="797">
        <v>14.25</v>
      </c>
      <c r="DY5" s="797">
        <v>14.25</v>
      </c>
      <c r="DZ5" s="797">
        <v>14.25</v>
      </c>
      <c r="EA5" s="797">
        <v>14.25</v>
      </c>
      <c r="EB5" s="797">
        <v>14.25</v>
      </c>
      <c r="EC5" s="797">
        <v>14.25</v>
      </c>
      <c r="ED5" s="797">
        <v>14.25</v>
      </c>
      <c r="EE5" s="797">
        <v>14.25</v>
      </c>
      <c r="EF5" s="797">
        <v>14.25</v>
      </c>
      <c r="EG5" s="797">
        <v>14.25</v>
      </c>
      <c r="EH5" s="797">
        <v>14.25</v>
      </c>
      <c r="EI5" s="797">
        <v>14.25</v>
      </c>
      <c r="EJ5" s="797">
        <v>14.25</v>
      </c>
      <c r="EK5" s="797">
        <v>14.25</v>
      </c>
      <c r="EL5" s="797">
        <v>14.25</v>
      </c>
      <c r="EM5" s="797">
        <v>14.25</v>
      </c>
      <c r="EN5" s="797">
        <v>14.25</v>
      </c>
      <c r="EO5" s="797">
        <v>14.25</v>
      </c>
      <c r="EP5" s="797">
        <v>14.25</v>
      </c>
      <c r="EQ5" s="797">
        <v>14.25</v>
      </c>
      <c r="ER5" s="797">
        <v>14.25</v>
      </c>
      <c r="ES5" s="797">
        <v>14.25</v>
      </c>
      <c r="ET5" s="797">
        <v>14.25</v>
      </c>
      <c r="EU5" s="797">
        <v>14.25</v>
      </c>
      <c r="EV5" s="797">
        <v>14.25</v>
      </c>
      <c r="EW5" s="797">
        <v>14.25</v>
      </c>
      <c r="EX5" s="797">
        <v>14.25</v>
      </c>
      <c r="EY5" s="797">
        <v>14.25</v>
      </c>
      <c r="EZ5" s="797">
        <v>14.25</v>
      </c>
      <c r="FA5" s="797">
        <v>14.25</v>
      </c>
      <c r="FB5" s="797">
        <v>14.25</v>
      </c>
      <c r="FC5" s="797">
        <v>14.25</v>
      </c>
      <c r="FD5" s="797">
        <v>14.25</v>
      </c>
      <c r="FE5" s="797">
        <v>14.25</v>
      </c>
      <c r="FF5" s="797">
        <v>14.25</v>
      </c>
      <c r="FG5" s="797">
        <v>14.25</v>
      </c>
      <c r="FH5" s="797">
        <v>14.25</v>
      </c>
      <c r="FI5" s="797">
        <v>14.25</v>
      </c>
      <c r="FJ5" s="797">
        <v>14.25</v>
      </c>
      <c r="FK5" s="797">
        <v>14.25</v>
      </c>
      <c r="FL5" s="797">
        <v>14.25</v>
      </c>
      <c r="FM5" s="797">
        <v>14.25</v>
      </c>
      <c r="FN5" s="797">
        <v>14.25</v>
      </c>
      <c r="FO5" s="797">
        <v>14.25</v>
      </c>
      <c r="FP5" s="797">
        <v>14.25</v>
      </c>
      <c r="FQ5" s="797">
        <v>14.25</v>
      </c>
      <c r="FR5" s="797">
        <v>14.25</v>
      </c>
      <c r="FS5" s="797">
        <v>14.25</v>
      </c>
      <c r="FT5" s="797">
        <v>14.25</v>
      </c>
      <c r="FU5" s="797">
        <v>14.25</v>
      </c>
      <c r="FV5" s="797">
        <v>14.25</v>
      </c>
      <c r="FW5" s="797">
        <v>14.25</v>
      </c>
      <c r="FX5" s="797">
        <v>3</v>
      </c>
      <c r="FZ5" s="1176"/>
      <c r="GA5" s="1222"/>
      <c r="GB5" s="1222"/>
      <c r="GC5" s="1222"/>
      <c r="GD5" s="1222"/>
    </row>
    <row s="1582" customFormat="1" customHeight="1" ht="12" hidden="1">
      <c r="B6" s="788"/>
      <c r="C6" s="1325"/>
      <c r="D6" s="1294"/>
      <c r="E6" s="797"/>
      <c r="G6" s="213"/>
      <c r="H6" s="213"/>
      <c r="I6" s="213"/>
      <c r="J6" s="1299"/>
      <c r="K6" s="1299"/>
      <c r="L6" s="1299"/>
      <c r="M6" s="1299"/>
      <c r="N6" s="1299"/>
      <c r="O6" s="1299"/>
      <c r="P6" s="1299"/>
      <c r="Q6" s="1317"/>
      <c r="R6" s="739"/>
      <c r="S6" s="213"/>
      <c r="AB6" s="171"/>
      <c r="AC6" s="171"/>
      <c r="AD6" s="175" cm="1" t="str">
        <f t="array" ref="AD6:AD6">god</f>
        <v>2026</v>
      </c>
      <c r="AE6" s="175" cm="1" t="str">
        <f t="array" ref="AE6:AE6">god</f>
        <v>2026</v>
      </c>
      <c r="AF6" s="175" cm="1" t="str">
        <f t="array" ref="AF6:AF6">god</f>
        <v>2026</v>
      </c>
      <c r="AG6" s="175">
        <f>god+1</f>
        <v>2027</v>
      </c>
      <c r="AH6" s="175">
        <f>god+1</f>
        <v>2027</v>
      </c>
      <c r="AI6" s="175">
        <f>god+1</f>
        <v>2027</v>
      </c>
      <c r="AJ6" s="175">
        <f>god+2</f>
        <v>2028</v>
      </c>
      <c r="AK6" s="175">
        <f>god+2</f>
        <v>2028</v>
      </c>
      <c r="AL6" s="175">
        <f>god+2</f>
        <v>2028</v>
      </c>
      <c r="AM6" s="175">
        <f>god+3</f>
        <v>2029</v>
      </c>
      <c r="AN6" s="175">
        <f>god+3</f>
        <v>2029</v>
      </c>
      <c r="AO6" s="175">
        <f>god+3</f>
        <v>2029</v>
      </c>
      <c r="AP6" s="175">
        <f>god+4</f>
        <v>2030</v>
      </c>
      <c r="AQ6" s="175">
        <f>god+4</f>
        <v>2030</v>
      </c>
      <c r="AR6" s="175">
        <f>god+4</f>
        <v>2030</v>
      </c>
      <c r="AS6" s="175">
        <f>god+5</f>
        <v>2031</v>
      </c>
      <c r="AT6" s="175">
        <f>god+5</f>
        <v>2031</v>
      </c>
      <c r="AU6" s="175">
        <f>god+5</f>
        <v>2031</v>
      </c>
      <c r="AV6" s="175">
        <f>god+6</f>
        <v>2032</v>
      </c>
      <c r="AW6" s="175">
        <f>god+6</f>
        <v>2032</v>
      </c>
      <c r="AX6" s="175">
        <f>god+6</f>
        <v>2032</v>
      </c>
      <c r="AY6" s="175">
        <f>god+7</f>
        <v>2033</v>
      </c>
      <c r="AZ6" s="175">
        <f>god+7</f>
        <v>2033</v>
      </c>
      <c r="BA6" s="175">
        <f>god+7</f>
        <v>2033</v>
      </c>
      <c r="BB6" s="175">
        <f>god+8</f>
        <v>2034</v>
      </c>
      <c r="BC6" s="175">
        <f>god+8</f>
        <v>2034</v>
      </c>
      <c r="BD6" s="175">
        <f>god+8</f>
        <v>2034</v>
      </c>
      <c r="BE6" s="175">
        <f>god+9</f>
        <v>2035</v>
      </c>
      <c r="BF6" s="175">
        <f>god+9</f>
        <v>2035</v>
      </c>
      <c r="BG6" s="175">
        <f>god+9</f>
        <v>2035</v>
      </c>
      <c r="BH6" s="175">
        <f>god+10</f>
        <v>2036</v>
      </c>
      <c r="BI6" s="175">
        <f>god+10</f>
        <v>2036</v>
      </c>
      <c r="BJ6" s="175">
        <f>god+10</f>
        <v>2036</v>
      </c>
      <c r="BK6" s="175">
        <f>god+11</f>
        <v>2037</v>
      </c>
      <c r="BL6" s="175">
        <f>god+11</f>
        <v>2037</v>
      </c>
      <c r="BM6" s="175">
        <f>god+11</f>
        <v>2037</v>
      </c>
      <c r="BN6" s="175">
        <f>god+12</f>
        <v>2038</v>
      </c>
      <c r="BO6" s="175">
        <f>god+12</f>
        <v>2038</v>
      </c>
      <c r="BP6" s="175">
        <f>god+12</f>
        <v>2038</v>
      </c>
      <c r="BQ6" s="175">
        <f>god+13</f>
        <v>2039</v>
      </c>
      <c r="BR6" s="175">
        <f>god+13</f>
        <v>2039</v>
      </c>
      <c r="BS6" s="175">
        <f>god+13</f>
        <v>2039</v>
      </c>
      <c r="BT6" s="175">
        <f>god+14</f>
        <v>2040</v>
      </c>
      <c r="BU6" s="175">
        <f>god+14</f>
        <v>2040</v>
      </c>
      <c r="BV6" s="175">
        <f>god+14</f>
        <v>2040</v>
      </c>
      <c r="BW6" s="175">
        <f>god+15</f>
        <v>2041</v>
      </c>
      <c r="BX6" s="175">
        <f>god+15</f>
        <v>2041</v>
      </c>
      <c r="BY6" s="175">
        <f>god+15</f>
        <v>2041</v>
      </c>
      <c r="BZ6" s="175">
        <f>god+16</f>
        <v>2042</v>
      </c>
      <c r="CA6" s="175">
        <f>god+16</f>
        <v>2042</v>
      </c>
      <c r="CB6" s="175">
        <f>god+16</f>
        <v>2042</v>
      </c>
      <c r="CC6" s="175">
        <f>god+17</f>
        <v>2043</v>
      </c>
      <c r="CD6" s="175">
        <f>god+17</f>
        <v>2043</v>
      </c>
      <c r="CE6" s="175">
        <f>god+17</f>
        <v>2043</v>
      </c>
      <c r="CF6" s="175">
        <f>god+18</f>
        <v>2044</v>
      </c>
      <c r="CG6" s="175">
        <f>god+18</f>
        <v>2044</v>
      </c>
      <c r="CH6" s="175">
        <f>god+18</f>
        <v>2044</v>
      </c>
      <c r="CI6" s="175">
        <f>god+19</f>
        <v>2045</v>
      </c>
      <c r="CJ6" s="175">
        <f>god+19</f>
        <v>2045</v>
      </c>
      <c r="CK6" s="175">
        <f>god+19</f>
        <v>2045</v>
      </c>
      <c r="CL6" s="175">
        <f>god+20</f>
        <v>2046</v>
      </c>
      <c r="CM6" s="175">
        <f>god+20</f>
        <v>2046</v>
      </c>
      <c r="CN6" s="175">
        <f>god+20</f>
        <v>2046</v>
      </c>
      <c r="CO6" s="175">
        <f>god+21</f>
        <v>2047</v>
      </c>
      <c r="CP6" s="175">
        <f>god+21</f>
        <v>2047</v>
      </c>
      <c r="CQ6" s="175">
        <f>god+21</f>
        <v>2047</v>
      </c>
      <c r="CR6" s="175">
        <f>god+22</f>
        <v>2048</v>
      </c>
      <c r="CS6" s="175">
        <f>god+22</f>
        <v>2048</v>
      </c>
      <c r="CT6" s="175">
        <f>god+22</f>
        <v>2048</v>
      </c>
      <c r="CU6" s="175">
        <f>god+23</f>
        <v>2049</v>
      </c>
      <c r="CV6" s="175">
        <f>god+23</f>
        <v>2049</v>
      </c>
      <c r="CW6" s="175">
        <f>god+23</f>
        <v>2049</v>
      </c>
      <c r="CX6" s="175">
        <f>god+24</f>
        <v>2050</v>
      </c>
      <c r="CY6" s="175">
        <f>god+24</f>
        <v>2050</v>
      </c>
      <c r="CZ6" s="175">
        <f>god+24</f>
        <v>2050</v>
      </c>
      <c r="DA6" s="175">
        <f>god+25</f>
        <v>2051</v>
      </c>
      <c r="DB6" s="175">
        <f>god+25</f>
        <v>2051</v>
      </c>
      <c r="DC6" s="175">
        <f>god+25</f>
        <v>2051</v>
      </c>
      <c r="DD6" s="175">
        <f>god+26</f>
        <v>2052</v>
      </c>
      <c r="DE6" s="175">
        <f>god+26</f>
        <v>2052</v>
      </c>
      <c r="DF6" s="175">
        <f>god+26</f>
        <v>2052</v>
      </c>
      <c r="DG6" s="175">
        <f>god+27</f>
        <v>2053</v>
      </c>
      <c r="DH6" s="175">
        <f>god+27</f>
        <v>2053</v>
      </c>
      <c r="DI6" s="175">
        <f>god+27</f>
        <v>2053</v>
      </c>
      <c r="DJ6" s="175">
        <f>god+28</f>
        <v>2054</v>
      </c>
      <c r="DK6" s="175">
        <f>god+28</f>
        <v>2054</v>
      </c>
      <c r="DL6" s="175">
        <f>god+28</f>
        <v>2054</v>
      </c>
      <c r="DM6" s="175">
        <f>god+29</f>
        <v>2055</v>
      </c>
      <c r="DN6" s="175">
        <f>god+29</f>
        <v>2055</v>
      </c>
      <c r="DO6" s="175">
        <f>god+29</f>
        <v>2055</v>
      </c>
      <c r="DP6" s="175">
        <f>god+30</f>
        <v>2056</v>
      </c>
      <c r="DQ6" s="175">
        <f>god+30</f>
        <v>2056</v>
      </c>
      <c r="DR6" s="175">
        <f>god+30</f>
        <v>2056</v>
      </c>
      <c r="DS6" s="175">
        <f>god+31</f>
        <v>2057</v>
      </c>
      <c r="DT6" s="175">
        <f>god+31</f>
        <v>2057</v>
      </c>
      <c r="DU6" s="175">
        <f>god+31</f>
        <v>2057</v>
      </c>
      <c r="DV6" s="175">
        <f>god+32</f>
        <v>2058</v>
      </c>
      <c r="DW6" s="175">
        <f>god+32</f>
        <v>2058</v>
      </c>
      <c r="DX6" s="175">
        <f>god+32</f>
        <v>2058</v>
      </c>
      <c r="DY6" s="175">
        <f>god+33</f>
        <v>2059</v>
      </c>
      <c r="DZ6" s="175">
        <f>god+33</f>
        <v>2059</v>
      </c>
      <c r="EA6" s="175">
        <f>god+33</f>
        <v>2059</v>
      </c>
      <c r="EB6" s="175">
        <f>god+34</f>
        <v>2060</v>
      </c>
      <c r="EC6" s="175">
        <f>god+34</f>
        <v>2060</v>
      </c>
      <c r="ED6" s="175">
        <f>god+34</f>
        <v>2060</v>
      </c>
      <c r="EE6" s="175">
        <f>god+35</f>
        <v>2061</v>
      </c>
      <c r="EF6" s="175">
        <f>god+35</f>
        <v>2061</v>
      </c>
      <c r="EG6" s="175">
        <f>god+35</f>
        <v>2061</v>
      </c>
      <c r="EH6" s="175">
        <f>god+36</f>
        <v>2062</v>
      </c>
      <c r="EI6" s="175">
        <f>god+36</f>
        <v>2062</v>
      </c>
      <c r="EJ6" s="175">
        <f>god+36</f>
        <v>2062</v>
      </c>
      <c r="EK6" s="175">
        <f>god+37</f>
        <v>2063</v>
      </c>
      <c r="EL6" s="175">
        <f>god+37</f>
        <v>2063</v>
      </c>
      <c r="EM6" s="175">
        <f>god+37</f>
        <v>2063</v>
      </c>
      <c r="EN6" s="175">
        <f>god+38</f>
        <v>2064</v>
      </c>
      <c r="EO6" s="175">
        <f>god+38</f>
        <v>2064</v>
      </c>
      <c r="EP6" s="175">
        <f>god+38</f>
        <v>2064</v>
      </c>
      <c r="EQ6" s="175">
        <f>god+39</f>
        <v>2065</v>
      </c>
      <c r="ER6" s="175">
        <f>god+39</f>
        <v>2065</v>
      </c>
      <c r="ES6" s="175">
        <f>god+39</f>
        <v>2065</v>
      </c>
      <c r="ET6" s="175">
        <f>god+40</f>
        <v>2066</v>
      </c>
      <c r="EU6" s="175">
        <f>god+40</f>
        <v>2066</v>
      </c>
      <c r="EV6" s="175">
        <f>god+40</f>
        <v>2066</v>
      </c>
      <c r="EW6" s="175">
        <f>god+41</f>
        <v>2067</v>
      </c>
      <c r="EX6" s="175">
        <f>god+41</f>
        <v>2067</v>
      </c>
      <c r="EY6" s="175">
        <f>god+41</f>
        <v>2067</v>
      </c>
      <c r="EZ6" s="175">
        <f>god+42</f>
        <v>2068</v>
      </c>
      <c r="FA6" s="175">
        <f>god+42</f>
        <v>2068</v>
      </c>
      <c r="FB6" s="175">
        <f>god+42</f>
        <v>2068</v>
      </c>
      <c r="FC6" s="175">
        <f>god+43</f>
        <v>2069</v>
      </c>
      <c r="FD6" s="175">
        <f>god+43</f>
        <v>2069</v>
      </c>
      <c r="FE6" s="175">
        <f>god+43</f>
        <v>2069</v>
      </c>
      <c r="FF6" s="175">
        <f>god+44</f>
        <v>2070</v>
      </c>
      <c r="FG6" s="175">
        <f>god+44</f>
        <v>2070</v>
      </c>
      <c r="FH6" s="175">
        <f>god+44</f>
        <v>2070</v>
      </c>
      <c r="FI6" s="175">
        <f>god+45</f>
        <v>2071</v>
      </c>
      <c r="FJ6" s="175">
        <f>god+45</f>
        <v>2071</v>
      </c>
      <c r="FK6" s="175">
        <f>god+45</f>
        <v>2071</v>
      </c>
      <c r="FL6" s="175">
        <f>god+46</f>
        <v>2072</v>
      </c>
      <c r="FM6" s="175">
        <f>god+46</f>
        <v>2072</v>
      </c>
      <c r="FN6" s="175">
        <f>god+46</f>
        <v>2072</v>
      </c>
      <c r="FO6" s="175">
        <f>god+47</f>
        <v>2073</v>
      </c>
      <c r="FP6" s="175">
        <f>god+47</f>
        <v>2073</v>
      </c>
      <c r="FQ6" s="175">
        <f>god+47</f>
        <v>2073</v>
      </c>
      <c r="FR6" s="175">
        <f>god+48</f>
        <v>2074</v>
      </c>
      <c r="FS6" s="175">
        <f>god+48</f>
        <v>2074</v>
      </c>
      <c r="FT6" s="175">
        <f>god+48</f>
        <v>2074</v>
      </c>
      <c r="FU6" s="175">
        <f>god+49</f>
        <v>2075</v>
      </c>
      <c r="FV6" s="175">
        <f>god+49</f>
        <v>2075</v>
      </c>
      <c r="FW6" s="175">
        <f>god+49</f>
        <v>2075</v>
      </c>
      <c r="FZ6" s="1184"/>
      <c r="GA6" s="1219"/>
      <c r="GB6" s="1219"/>
      <c r="GC6" s="1219"/>
      <c r="GD6" s="1219"/>
    </row>
    <row customHeight="1" ht="12" hidden="1">
      <c r="F7" s="213"/>
      <c r="Q7" s="1317"/>
      <c r="T7" s="213"/>
      <c r="U7" s="213"/>
      <c r="V7" s="213"/>
      <c r="W7" s="213"/>
      <c r="X7" s="213"/>
      <c r="Y7" s="213"/>
      <c r="Z7" s="213"/>
      <c r="AB7" s="215"/>
      <c r="AD7" s="213" cm="1" t="str">
        <f t="array" ref="AD7:AD7">AD26</f>
        <v>Предложение организации</v>
      </c>
      <c r="AE7" s="213" cm="1" t="str">
        <f t="array" ref="AE7:AE7">AE26</f>
        <v>Принято органом регулирования</v>
      </c>
      <c r="AF7" s="213" cm="1" t="str">
        <f t="array" ref="AF7:AF7">AF26</f>
        <v>Отклонение, %</v>
      </c>
      <c r="AG7" s="213" cm="1" t="str">
        <f t="array" ref="AG7:AG7">AG26</f>
        <v>Предложение организации</v>
      </c>
      <c r="AH7" s="213" cm="1" t="str">
        <f t="array" ref="AH7:AH7">AH26</f>
        <v>Принято органом регулирования</v>
      </c>
      <c r="AI7" s="213" cm="1" t="str">
        <f t="array" ref="AI7:AI7">AI26</f>
        <v>Отклонение, %</v>
      </c>
      <c r="AJ7" s="213" cm="1" t="str">
        <f t="array" ref="AJ7:AJ7">AJ26</f>
        <v>Предложение организации</v>
      </c>
      <c r="AK7" s="213" cm="1" t="str">
        <f t="array" ref="AK7:AK7">AK26</f>
        <v>Принято органом регулирования</v>
      </c>
      <c r="AL7" s="213" cm="1" t="str">
        <f t="array" ref="AL7:AL7">AL26</f>
        <v>Отклонение, %</v>
      </c>
      <c r="AM7" s="213" cm="1" t="str">
        <f t="array" ref="AM7:AM7">AM26</f>
        <v>Предложение организации</v>
      </c>
      <c r="AN7" s="213" cm="1" t="str">
        <f t="array" ref="AN7:AN7">AN26</f>
        <v>Принято органом регулирования</v>
      </c>
      <c r="AO7" s="213" cm="1" t="str">
        <f t="array" ref="AO7:AO7">AO26</f>
        <v>Отклонение, %</v>
      </c>
      <c r="AP7" s="213" cm="1" t="str">
        <f t="array" ref="AP7:AP7">AP26</f>
        <v>Предложение организации</v>
      </c>
      <c r="AQ7" s="213" cm="1" t="str">
        <f t="array" ref="AQ7:AQ7">AQ26</f>
        <v>Принято органом регулирования</v>
      </c>
      <c r="AR7" s="213" cm="1" t="str">
        <f t="array" ref="AR7:AR7">AR26</f>
        <v>Отклонение, %</v>
      </c>
      <c r="AS7" s="213" cm="1" t="str">
        <f t="array" ref="AS7:AS7">AS26</f>
        <v>Предложение организации</v>
      </c>
      <c r="AT7" s="213" cm="1" t="str">
        <f t="array" ref="AT7:AT7">AT26</f>
        <v>Принято органом регулирования</v>
      </c>
      <c r="AU7" s="213" cm="1" t="str">
        <f t="array" ref="AU7:AU7">AU26</f>
        <v>Отклонение, %</v>
      </c>
      <c r="AV7" s="213" cm="1" t="str">
        <f t="array" ref="AV7:AV7">AV26</f>
        <v>Предложение организации</v>
      </c>
      <c r="AW7" s="213" cm="1" t="str">
        <f t="array" ref="AW7:AW7">AW26</f>
        <v>Принято органом регулирования</v>
      </c>
      <c r="AX7" s="213" cm="1" t="str">
        <f t="array" ref="AX7:AX7">AX26</f>
        <v>Отклонение, %</v>
      </c>
      <c r="AY7" s="213" cm="1" t="str">
        <f t="array" ref="AY7:AY7">AY26</f>
        <v>Предложение организации</v>
      </c>
      <c r="AZ7" s="213" cm="1" t="str">
        <f t="array" ref="AZ7:AZ7">AZ26</f>
        <v>Принято органом регулирования</v>
      </c>
      <c r="BA7" s="213" cm="1" t="str">
        <f t="array" ref="BA7:BA7">BA26</f>
        <v>Отклонение, %</v>
      </c>
      <c r="BB7" s="213" cm="1" t="str">
        <f t="array" ref="BB7:BB7">BB26</f>
        <v>Предложение организации</v>
      </c>
      <c r="BC7" s="213" cm="1" t="str">
        <f t="array" ref="BC7:BC7">BC26</f>
        <v>Принято органом регулирования</v>
      </c>
      <c r="BD7" s="213" cm="1" t="str">
        <f t="array" ref="BD7:BD7">BD26</f>
        <v>Отклонение, %</v>
      </c>
      <c r="BE7" s="213" cm="1" t="str">
        <f t="array" ref="BE7:BE7">BE26</f>
        <v>Предложение организации</v>
      </c>
      <c r="BF7" s="213" cm="1" t="str">
        <f t="array" ref="BF7:BF7">BF26</f>
        <v>Принято органом регулирования</v>
      </c>
      <c r="BG7" s="213" cm="1" t="str">
        <f t="array" ref="BG7:BG7">BG26</f>
        <v>Отклонение, %</v>
      </c>
      <c r="BH7" s="213" cm="1" t="str">
        <f t="array" ref="BH7:BH7">BH26</f>
        <v>Предложение организации</v>
      </c>
      <c r="BI7" s="213" cm="1" t="str">
        <f t="array" ref="BI7:BI7">BI26</f>
        <v>Принято органом регулирования</v>
      </c>
      <c r="BJ7" s="213" cm="1" t="str">
        <f t="array" ref="BJ7:BJ7">BJ26</f>
        <v>Отклонение, %</v>
      </c>
      <c r="BK7" s="213" cm="1" t="str">
        <f t="array" ref="BK7:BK7">BK26</f>
        <v>Предложение организации</v>
      </c>
      <c r="BL7" s="213" cm="1" t="str">
        <f t="array" ref="BL7:BL7">BL26</f>
        <v>Принято органом регулирования</v>
      </c>
      <c r="BM7" s="213" cm="1" t="str">
        <f t="array" ref="BM7:BM7">BM26</f>
        <v>Отклонение, %</v>
      </c>
      <c r="BN7" s="213" cm="1" t="str">
        <f t="array" ref="BN7:BN7">BN26</f>
        <v>Предложение организации</v>
      </c>
      <c r="BO7" s="213" cm="1" t="str">
        <f t="array" ref="BO7:BO7">BO26</f>
        <v>Принято органом регулирования</v>
      </c>
      <c r="BP7" s="213" cm="1" t="str">
        <f t="array" ref="BP7:BP7">BP26</f>
        <v>Отклонение, %</v>
      </c>
      <c r="BQ7" s="213" cm="1" t="str">
        <f t="array" ref="BQ7:BQ7">BQ26</f>
        <v>Предложение организации</v>
      </c>
      <c r="BR7" s="213" cm="1" t="str">
        <f t="array" ref="BR7:BR7">BR26</f>
        <v>Принято органом регулирования</v>
      </c>
      <c r="BS7" s="213" cm="1" t="str">
        <f t="array" ref="BS7:BS7">BS26</f>
        <v>Отклонение, %</v>
      </c>
      <c r="BT7" s="213" cm="1" t="str">
        <f t="array" ref="BT7:BT7">BT26</f>
        <v>Предложение организации</v>
      </c>
      <c r="BU7" s="213" cm="1" t="str">
        <f t="array" ref="BU7:BU7">BU26</f>
        <v>Принято органом регулирования</v>
      </c>
      <c r="BV7" s="213" cm="1" t="str">
        <f t="array" ref="BV7:BV7">BV26</f>
        <v>Отклонение, %</v>
      </c>
      <c r="BW7" s="213" cm="1" t="str">
        <f t="array" ref="BW7:BW7">BW26</f>
        <v>Предложение организации</v>
      </c>
      <c r="BX7" s="213" cm="1" t="str">
        <f t="array" ref="BX7:BX7">BX26</f>
        <v>Принято органом регулирования</v>
      </c>
      <c r="BY7" s="213" cm="1" t="str">
        <f t="array" ref="BY7:BY7">BY26</f>
        <v>Отклонение, %</v>
      </c>
      <c r="BZ7" s="213" cm="1" t="str">
        <f t="array" ref="BZ7:BZ7">BZ26</f>
        <v>Предложение организации</v>
      </c>
      <c r="CA7" s="213" cm="1" t="str">
        <f t="array" ref="CA7:CA7">CA26</f>
        <v>Принято органом регулирования</v>
      </c>
      <c r="CB7" s="213" cm="1" t="str">
        <f t="array" ref="CB7:CB7">CB26</f>
        <v>Отклонение, %</v>
      </c>
      <c r="CC7" s="213" cm="1" t="str">
        <f t="array" ref="CC7:CC7">CC26</f>
        <v>Предложение организации</v>
      </c>
      <c r="CD7" s="213" cm="1" t="str">
        <f t="array" ref="CD7:CD7">CD26</f>
        <v>Принято органом регулирования</v>
      </c>
      <c r="CE7" s="213" cm="1" t="str">
        <f t="array" ref="CE7:CE7">CE26</f>
        <v>Отклонение, %</v>
      </c>
      <c r="CF7" s="213" cm="1" t="str">
        <f t="array" ref="CF7:CF7">CF26</f>
        <v>Предложение организации</v>
      </c>
      <c r="CG7" s="213" cm="1" t="str">
        <f t="array" ref="CG7:CG7">CG26</f>
        <v>Принято органом регулирования</v>
      </c>
      <c r="CH7" s="213" cm="1" t="str">
        <f t="array" ref="CH7:CH7">CH26</f>
        <v>Отклонение, %</v>
      </c>
      <c r="CI7" s="213" cm="1" t="str">
        <f t="array" ref="CI7:CI7">CI26</f>
        <v>Предложение организации</v>
      </c>
      <c r="CJ7" s="213" cm="1" t="str">
        <f t="array" ref="CJ7:CJ7">CJ26</f>
        <v>Принято органом регулирования</v>
      </c>
      <c r="CK7" s="213" cm="1" t="str">
        <f t="array" ref="CK7:CK7">CK26</f>
        <v>Отклонение, %</v>
      </c>
      <c r="CL7" s="213" cm="1" t="str">
        <f t="array" ref="CL7:CL7">CL26</f>
        <v>Предложение организации</v>
      </c>
      <c r="CM7" s="213" cm="1" t="str">
        <f t="array" ref="CM7:CM7">CM26</f>
        <v>Принято органом регулирования</v>
      </c>
      <c r="CN7" s="213" cm="1" t="str">
        <f t="array" ref="CN7:CN7">CN26</f>
        <v>Отклонение, %</v>
      </c>
      <c r="CO7" s="213" cm="1" t="str">
        <f t="array" ref="CO7:CO7">CO26</f>
        <v>Предложение организации</v>
      </c>
      <c r="CP7" s="213" cm="1" t="str">
        <f t="array" ref="CP7:CP7">CP26</f>
        <v>Принято органом регулирования</v>
      </c>
      <c r="CQ7" s="213" cm="1" t="str">
        <f t="array" ref="CQ7:CQ7">CQ26</f>
        <v>Отклонение, %</v>
      </c>
      <c r="CR7" s="213" cm="1" t="str">
        <f t="array" ref="CR7:CR7">CR26</f>
        <v>Предложение организации</v>
      </c>
      <c r="CS7" s="213" cm="1" t="str">
        <f t="array" ref="CS7:CS7">CS26</f>
        <v>Принято органом регулирования</v>
      </c>
      <c r="CT7" s="213" cm="1" t="str">
        <f t="array" ref="CT7:CT7">CT26</f>
        <v>Отклонение, %</v>
      </c>
      <c r="CU7" s="213" cm="1" t="str">
        <f t="array" ref="CU7:CU7">CU26</f>
        <v>Предложение организации</v>
      </c>
      <c r="CV7" s="213" cm="1" t="str">
        <f t="array" ref="CV7:CV7">CV26</f>
        <v>Принято органом регулирования</v>
      </c>
      <c r="CW7" s="213" cm="1" t="str">
        <f t="array" ref="CW7:CW7">CW26</f>
        <v>Отклонение, %</v>
      </c>
      <c r="CX7" s="213" cm="1" t="str">
        <f t="array" ref="CX7:CX7">CX26</f>
        <v>Предложение организации</v>
      </c>
      <c r="CY7" s="213" cm="1" t="str">
        <f t="array" ref="CY7:CY7">CY26</f>
        <v>Принято органом регулирования</v>
      </c>
      <c r="CZ7" s="213" cm="1" t="str">
        <f t="array" ref="CZ7:CZ7">CZ26</f>
        <v>Отклонение, %</v>
      </c>
      <c r="DA7" s="213" cm="1" t="str">
        <f t="array" ref="DA7:DA7">DA26</f>
        <v>Предложение организации</v>
      </c>
      <c r="DB7" s="213" cm="1" t="str">
        <f t="array" ref="DB7:DB7">DB26</f>
        <v>Принято органом регулирования</v>
      </c>
      <c r="DC7" s="213" cm="1" t="str">
        <f t="array" ref="DC7:DC7">DC26</f>
        <v>Отклонение, %</v>
      </c>
      <c r="DD7" s="213" cm="1" t="str">
        <f t="array" ref="DD7:DD7">DD26</f>
        <v>Предложение организации</v>
      </c>
      <c r="DE7" s="213" cm="1" t="str">
        <f t="array" ref="DE7:DE7">DE26</f>
        <v>Принято органом регулирования</v>
      </c>
      <c r="DF7" s="213" cm="1" t="str">
        <f t="array" ref="DF7:DF7">DF26</f>
        <v>Отклонение, %</v>
      </c>
      <c r="DG7" s="213" cm="1" t="str">
        <f t="array" ref="DG7:DG7">DG26</f>
        <v>Предложение организации</v>
      </c>
      <c r="DH7" s="213" cm="1" t="str">
        <f t="array" ref="DH7:DH7">DH26</f>
        <v>Принято органом регулирования</v>
      </c>
      <c r="DI7" s="213" cm="1" t="str">
        <f t="array" ref="DI7:DI7">DI26</f>
        <v>Отклонение, %</v>
      </c>
      <c r="DJ7" s="213" cm="1" t="str">
        <f t="array" ref="DJ7:DJ7">DJ26</f>
        <v>Предложение организации</v>
      </c>
      <c r="DK7" s="213" cm="1" t="str">
        <f t="array" ref="DK7:DK7">DK26</f>
        <v>Принято органом регулирования</v>
      </c>
      <c r="DL7" s="213" cm="1" t="str">
        <f t="array" ref="DL7:DL7">DL26</f>
        <v>Отклонение, %</v>
      </c>
      <c r="DM7" s="213" cm="1" t="str">
        <f t="array" ref="DM7:DM7">DM26</f>
        <v>Предложение организации</v>
      </c>
      <c r="DN7" s="213" cm="1" t="str">
        <f t="array" ref="DN7:DN7">DN26</f>
        <v>Принято органом регулирования</v>
      </c>
      <c r="DO7" s="213" cm="1" t="str">
        <f t="array" ref="DO7:DO7">DO26</f>
        <v>Отклонение, %</v>
      </c>
      <c r="DP7" s="213" cm="1" t="str">
        <f t="array" ref="DP7:DP7">DP26</f>
        <v>Предложение организации</v>
      </c>
      <c r="DQ7" s="213" cm="1" t="str">
        <f t="array" ref="DQ7:DQ7">DQ26</f>
        <v>Принято органом регулирования</v>
      </c>
      <c r="DR7" s="213" cm="1" t="str">
        <f t="array" ref="DR7:DR7">DR26</f>
        <v>Отклонение, %</v>
      </c>
      <c r="DS7" s="213" cm="1" t="str">
        <f t="array" ref="DS7:DS7">DS26</f>
        <v>Предложение организации</v>
      </c>
      <c r="DT7" s="213" cm="1" t="str">
        <f t="array" ref="DT7:DT7">DT26</f>
        <v>Принято органом регулирования</v>
      </c>
      <c r="DU7" s="213" cm="1" t="str">
        <f t="array" ref="DU7:DU7">DU26</f>
        <v>Отклонение, %</v>
      </c>
      <c r="DV7" s="213" cm="1" t="str">
        <f t="array" ref="DV7:DV7">DV26</f>
        <v>Предложение организации</v>
      </c>
      <c r="DW7" s="213" cm="1" t="str">
        <f t="array" ref="DW7:DW7">DW26</f>
        <v>Принято органом регулирования</v>
      </c>
      <c r="DX7" s="213" cm="1" t="str">
        <f t="array" ref="DX7:DX7">DX26</f>
        <v>Отклонение, %</v>
      </c>
      <c r="DY7" s="213" cm="1" t="str">
        <f t="array" ref="DY7:DY7">DY26</f>
        <v>Предложение организации</v>
      </c>
      <c r="DZ7" s="213" cm="1" t="str">
        <f t="array" ref="DZ7:DZ7">DZ26</f>
        <v>Принято органом регулирования</v>
      </c>
      <c r="EA7" s="213" cm="1" t="str">
        <f t="array" ref="EA7:EA7">EA26</f>
        <v>Отклонение, %</v>
      </c>
      <c r="EB7" s="213" cm="1" t="str">
        <f t="array" ref="EB7:EB7">EB26</f>
        <v>Предложение организации</v>
      </c>
      <c r="EC7" s="213" cm="1" t="str">
        <f t="array" ref="EC7:EC7">EC26</f>
        <v>Принято органом регулирования</v>
      </c>
      <c r="ED7" s="213" cm="1" t="str">
        <f t="array" ref="ED7:ED7">ED26</f>
        <v>Отклонение, %</v>
      </c>
      <c r="EE7" s="213" cm="1" t="str">
        <f t="array" ref="EE7:EE7">EE26</f>
        <v>Предложение организации</v>
      </c>
      <c r="EF7" s="213" cm="1" t="str">
        <f t="array" ref="EF7:EF7">EF26</f>
        <v>Принято органом регулирования</v>
      </c>
      <c r="EG7" s="213" cm="1" t="str">
        <f t="array" ref="EG7:EG7">EG26</f>
        <v>Отклонение, %</v>
      </c>
      <c r="EH7" s="213" cm="1" t="str">
        <f t="array" ref="EH7:EH7">EH26</f>
        <v>Предложение организации</v>
      </c>
      <c r="EI7" s="213" cm="1" t="str">
        <f t="array" ref="EI7:EI7">EI26</f>
        <v>Принято органом регулирования</v>
      </c>
      <c r="EJ7" s="213" cm="1" t="str">
        <f t="array" ref="EJ7:EJ7">EJ26</f>
        <v>Отклонение, %</v>
      </c>
      <c r="EK7" s="213" cm="1" t="str">
        <f t="array" ref="EK7:EK7">EK26</f>
        <v>Предложение организации</v>
      </c>
      <c r="EL7" s="213" cm="1" t="str">
        <f t="array" ref="EL7:EL7">EL26</f>
        <v>Принято органом регулирования</v>
      </c>
      <c r="EM7" s="213" cm="1" t="str">
        <f t="array" ref="EM7:EM7">EM26</f>
        <v>Отклонение, %</v>
      </c>
      <c r="EN7" s="213" cm="1" t="str">
        <f t="array" ref="EN7:EN7">EN26</f>
        <v>Предложение организации</v>
      </c>
      <c r="EO7" s="213" cm="1" t="str">
        <f t="array" ref="EO7:EO7">EO26</f>
        <v>Принято органом регулирования</v>
      </c>
      <c r="EP7" s="213" cm="1" t="str">
        <f t="array" ref="EP7:EP7">EP26</f>
        <v>Отклонение, %</v>
      </c>
      <c r="EQ7" s="213" cm="1" t="str">
        <f t="array" ref="EQ7:EQ7">EQ26</f>
        <v>Предложение организации</v>
      </c>
      <c r="ER7" s="213" cm="1" t="str">
        <f t="array" ref="ER7:ER7">ER26</f>
        <v>Принято органом регулирования</v>
      </c>
      <c r="ES7" s="213" cm="1" t="str">
        <f t="array" ref="ES7:ES7">ES26</f>
        <v>Отклонение, %</v>
      </c>
      <c r="ET7" s="213" cm="1" t="str">
        <f t="array" ref="ET7:ET7">ET26</f>
        <v>Предложение организации</v>
      </c>
      <c r="EU7" s="213" cm="1" t="str">
        <f t="array" ref="EU7:EU7">EU26</f>
        <v>Принято органом регулирования</v>
      </c>
      <c r="EV7" s="213" cm="1" t="str">
        <f t="array" ref="EV7:EV7">EV26</f>
        <v>Отклонение, %</v>
      </c>
      <c r="EW7" s="213" cm="1" t="str">
        <f t="array" ref="EW7:EW7">EW26</f>
        <v>Предложение организации</v>
      </c>
      <c r="EX7" s="213" cm="1" t="str">
        <f t="array" ref="EX7:EX7">EX26</f>
        <v>Принято органом регулирования</v>
      </c>
      <c r="EY7" s="213" cm="1" t="str">
        <f t="array" ref="EY7:EY7">EY26</f>
        <v>Отклонение, %</v>
      </c>
      <c r="EZ7" s="213" cm="1" t="str">
        <f t="array" ref="EZ7:EZ7">EZ26</f>
        <v>Предложение организации</v>
      </c>
      <c r="FA7" s="213" cm="1" t="str">
        <f t="array" ref="FA7:FA7">FA26</f>
        <v>Принято органом регулирования</v>
      </c>
      <c r="FB7" s="213" cm="1" t="str">
        <f t="array" ref="FB7:FB7">FB26</f>
        <v>Отклонение, %</v>
      </c>
      <c r="FC7" s="213" cm="1" t="str">
        <f t="array" ref="FC7:FC7">FC26</f>
        <v>Предложение организации</v>
      </c>
      <c r="FD7" s="213" cm="1" t="str">
        <f t="array" ref="FD7:FD7">FD26</f>
        <v>Принято органом регулирования</v>
      </c>
      <c r="FE7" s="213" cm="1" t="str">
        <f t="array" ref="FE7:FE7">FE26</f>
        <v>Отклонение, %</v>
      </c>
      <c r="FF7" s="213" cm="1" t="str">
        <f t="array" ref="FF7:FF7">FF26</f>
        <v>Предложение организации</v>
      </c>
      <c r="FG7" s="213" cm="1" t="str">
        <f t="array" ref="FG7:FG7">FG26</f>
        <v>Принято органом регулирования</v>
      </c>
      <c r="FH7" s="213" cm="1" t="str">
        <f t="array" ref="FH7:FH7">FH26</f>
        <v>Отклонение, %</v>
      </c>
      <c r="FI7" s="213" cm="1" t="str">
        <f t="array" ref="FI7:FI7">FI26</f>
        <v>Предложение организации</v>
      </c>
      <c r="FJ7" s="213" cm="1" t="str">
        <f t="array" ref="FJ7:FJ7">FJ26</f>
        <v>Принято органом регулирования</v>
      </c>
      <c r="FK7" s="213" cm="1" t="str">
        <f t="array" ref="FK7:FK7">FK26</f>
        <v>Отклонение, %</v>
      </c>
      <c r="FL7" s="213" cm="1" t="str">
        <f t="array" ref="FL7:FL7">FL26</f>
        <v>Предложение организации</v>
      </c>
      <c r="FM7" s="213" cm="1" t="str">
        <f t="array" ref="FM7:FM7">FM26</f>
        <v>Принято органом регулирования</v>
      </c>
      <c r="FN7" s="213" cm="1" t="str">
        <f t="array" ref="FN7:FN7">FN26</f>
        <v>Отклонение, %</v>
      </c>
      <c r="FO7" s="213" cm="1" t="str">
        <f t="array" ref="FO7:FO7">FO26</f>
        <v>Предложение организации</v>
      </c>
      <c r="FP7" s="213" cm="1" t="str">
        <f t="array" ref="FP7:FP7">FP26</f>
        <v>Принято органом регулирования</v>
      </c>
      <c r="FQ7" s="213" cm="1" t="str">
        <f t="array" ref="FQ7:FQ7">FQ26</f>
        <v>Отклонение, %</v>
      </c>
      <c r="FR7" s="213" cm="1" t="str">
        <f t="array" ref="FR7:FR7">FR26</f>
        <v>Предложение организации</v>
      </c>
      <c r="FS7" s="213" cm="1" t="str">
        <f t="array" ref="FS7:FS7">FS26</f>
        <v>Принято органом регулирования</v>
      </c>
      <c r="FT7" s="213" cm="1" t="str">
        <f t="array" ref="FT7:FT7">FT26</f>
        <v>Отклонение, %</v>
      </c>
      <c r="FU7" s="213" cm="1" t="str">
        <f t="array" ref="FU7:FU7">FU26</f>
        <v>Предложение организации</v>
      </c>
      <c r="FV7" s="213" cm="1" t="str">
        <f t="array" ref="FV7:FV7">FV26</f>
        <v>Принято органом регулирования</v>
      </c>
      <c r="FW7" s="213" cm="1" t="str">
        <f t="array" ref="FW7:FW7">FW26</f>
        <v>Отклонение, %</v>
      </c>
      <c r="GA7" s="1219"/>
      <c r="GB7" s="1219"/>
      <c r="GC7" s="1219"/>
      <c r="GD7" s="1219"/>
    </row>
    <row customHeight="1" ht="12" hidden="1">
      <c r="F8" s="213"/>
      <c r="Q8" s="1317"/>
      <c r="T8" s="213"/>
      <c r="U8" s="213"/>
      <c r="V8" s="213"/>
      <c r="W8" s="213"/>
      <c r="X8" s="213"/>
      <c r="Y8" s="213"/>
      <c r="Z8" s="213"/>
      <c r="AB8" s="215"/>
      <c r="AD8" s="213" t="str">
        <f>AD6&amp;AD7</f>
        <v>2026Предложение организации</v>
      </c>
      <c r="AE8" s="213" t="str">
        <f>AE6&amp;AE7</f>
        <v>2026Принято органом регулирования</v>
      </c>
      <c r="AF8" s="213" t="str">
        <f>AF6&amp;AF7</f>
        <v>2026Отклонение, %</v>
      </c>
      <c r="AG8" s="213" t="str">
        <f>AG6&amp;AG7</f>
        <v>2027Предложение организации</v>
      </c>
      <c r="AH8" s="213" t="str">
        <f>AH6&amp;AH7</f>
        <v>2027Принято органом регулирования</v>
      </c>
      <c r="AI8" s="213" t="str">
        <f>AI6&amp;AI7</f>
        <v>2027Отклонение, %</v>
      </c>
      <c r="AJ8" s="213" t="str">
        <f>AJ6&amp;AJ7</f>
        <v>2028Предложение организации</v>
      </c>
      <c r="AK8" s="213" t="str">
        <f>AK6&amp;AK7</f>
        <v>2028Принято органом регулирования</v>
      </c>
      <c r="AL8" s="213" t="str">
        <f>AL6&amp;AL7</f>
        <v>2028Отклонение, %</v>
      </c>
      <c r="AM8" s="213" t="str">
        <f>AM6&amp;AM7</f>
        <v>2029Предложение организации</v>
      </c>
      <c r="AN8" s="213" t="str">
        <f>AN6&amp;AN7</f>
        <v>2029Принято органом регулирования</v>
      </c>
      <c r="AO8" s="213" t="str">
        <f>AO6&amp;AO7</f>
        <v>2029Отклонение, %</v>
      </c>
      <c r="AP8" s="213" t="str">
        <f>AP6&amp;AP7</f>
        <v>2030Предложение организации</v>
      </c>
      <c r="AQ8" s="213" t="str">
        <f>AQ6&amp;AQ7</f>
        <v>2030Принято органом регулирования</v>
      </c>
      <c r="AR8" s="213" t="str">
        <f>AR6&amp;AR7</f>
        <v>2030Отклонение, %</v>
      </c>
      <c r="AS8" s="213" t="str">
        <f>AS6&amp;AS7</f>
        <v>2031Предложение организации</v>
      </c>
      <c r="AT8" s="213" t="str">
        <f>AT6&amp;AT7</f>
        <v>2031Принято органом регулирования</v>
      </c>
      <c r="AU8" s="213" t="str">
        <f>AU6&amp;AU7</f>
        <v>2031Отклонение, %</v>
      </c>
      <c r="AV8" s="213" t="str">
        <f>AV6&amp;AV7</f>
        <v>2032Предложение организации</v>
      </c>
      <c r="AW8" s="213" t="str">
        <f>AW6&amp;AW7</f>
        <v>2032Принято органом регулирования</v>
      </c>
      <c r="AX8" s="213" t="str">
        <f>AX6&amp;AX7</f>
        <v>2032Отклонение, %</v>
      </c>
      <c r="AY8" s="213" t="str">
        <f>AY6&amp;AY7</f>
        <v>2033Предложение организации</v>
      </c>
      <c r="AZ8" s="213" t="str">
        <f>AZ6&amp;AZ7</f>
        <v>2033Принято органом регулирования</v>
      </c>
      <c r="BA8" s="213" t="str">
        <f>BA6&amp;BA7</f>
        <v>2033Отклонение, %</v>
      </c>
      <c r="BB8" s="213" t="str">
        <f>BB6&amp;BB7</f>
        <v>2034Предложение организации</v>
      </c>
      <c r="BC8" s="213" t="str">
        <f>BC6&amp;BC7</f>
        <v>2034Принято органом регулирования</v>
      </c>
      <c r="BD8" s="213" t="str">
        <f>BD6&amp;BD7</f>
        <v>2034Отклонение, %</v>
      </c>
      <c r="BE8" s="213" t="str">
        <f>BE6&amp;BE7</f>
        <v>2035Предложение организации</v>
      </c>
      <c r="BF8" s="213" t="str">
        <f>BF6&amp;BF7</f>
        <v>2035Принято органом регулирования</v>
      </c>
      <c r="BG8" s="213" t="str">
        <f>BG6&amp;BG7</f>
        <v>2035Отклонение, %</v>
      </c>
      <c r="BH8" s="213" t="str">
        <f>BH6&amp;BH7</f>
        <v>2036Предложение организации</v>
      </c>
      <c r="BI8" s="213" t="str">
        <f>BI6&amp;BI7</f>
        <v>2036Принято органом регулирования</v>
      </c>
      <c r="BJ8" s="213" t="str">
        <f>BJ6&amp;BJ7</f>
        <v>2036Отклонение, %</v>
      </c>
      <c r="BK8" s="213" t="str">
        <f>BK6&amp;BK7</f>
        <v>2037Предложение организации</v>
      </c>
      <c r="BL8" s="213" t="str">
        <f>BL6&amp;BL7</f>
        <v>2037Принято органом регулирования</v>
      </c>
      <c r="BM8" s="213" t="str">
        <f>BM6&amp;BM7</f>
        <v>2037Отклонение, %</v>
      </c>
      <c r="BN8" s="213" t="str">
        <f>BN6&amp;BN7</f>
        <v>2038Предложение организации</v>
      </c>
      <c r="BO8" s="213" t="str">
        <f>BO6&amp;BO7</f>
        <v>2038Принято органом регулирования</v>
      </c>
      <c r="BP8" s="213" t="str">
        <f>BP6&amp;BP7</f>
        <v>2038Отклонение, %</v>
      </c>
      <c r="BQ8" s="213" t="str">
        <f>BQ6&amp;BQ7</f>
        <v>2039Предложение организации</v>
      </c>
      <c r="BR8" s="213" t="str">
        <f>BR6&amp;BR7</f>
        <v>2039Принято органом регулирования</v>
      </c>
      <c r="BS8" s="213" t="str">
        <f>BS6&amp;BS7</f>
        <v>2039Отклонение, %</v>
      </c>
      <c r="BT8" s="213" t="str">
        <f>BT6&amp;BT7</f>
        <v>2040Предложение организации</v>
      </c>
      <c r="BU8" s="213" t="str">
        <f>BU6&amp;BU7</f>
        <v>2040Принято органом регулирования</v>
      </c>
      <c r="BV8" s="213" t="str">
        <f>BV6&amp;BV7</f>
        <v>2040Отклонение, %</v>
      </c>
      <c r="BW8" s="213" t="str">
        <f>BW6&amp;BW7</f>
        <v>2041Предложение организации</v>
      </c>
      <c r="BX8" s="213" t="str">
        <f>BX6&amp;BX7</f>
        <v>2041Принято органом регулирования</v>
      </c>
      <c r="BY8" s="213" t="str">
        <f>BY6&amp;BY7</f>
        <v>2041Отклонение, %</v>
      </c>
      <c r="BZ8" s="213" t="str">
        <f>BZ6&amp;BZ7</f>
        <v>2042Предложение организации</v>
      </c>
      <c r="CA8" s="213" t="str">
        <f>CA6&amp;CA7</f>
        <v>2042Принято органом регулирования</v>
      </c>
      <c r="CB8" s="213" t="str">
        <f>CB6&amp;CB7</f>
        <v>2042Отклонение, %</v>
      </c>
      <c r="CC8" s="213" t="str">
        <f>CC6&amp;CC7</f>
        <v>2043Предложение организации</v>
      </c>
      <c r="CD8" s="213" t="str">
        <f>CD6&amp;CD7</f>
        <v>2043Принято органом регулирования</v>
      </c>
      <c r="CE8" s="213" t="str">
        <f>CE6&amp;CE7</f>
        <v>2043Отклонение, %</v>
      </c>
      <c r="CF8" s="213" t="str">
        <f>CF6&amp;CF7</f>
        <v>2044Предложение организации</v>
      </c>
      <c r="CG8" s="213" t="str">
        <f>CG6&amp;CG7</f>
        <v>2044Принято органом регулирования</v>
      </c>
      <c r="CH8" s="213" t="str">
        <f>CH6&amp;CH7</f>
        <v>2044Отклонение, %</v>
      </c>
      <c r="CI8" s="213" t="str">
        <f>CI6&amp;CI7</f>
        <v>2045Предложение организации</v>
      </c>
      <c r="CJ8" s="213" t="str">
        <f>CJ6&amp;CJ7</f>
        <v>2045Принято органом регулирования</v>
      </c>
      <c r="CK8" s="213" t="str">
        <f>CK6&amp;CK7</f>
        <v>2045Отклонение, %</v>
      </c>
      <c r="CL8" s="213" t="str">
        <f>CL6&amp;CL7</f>
        <v>2046Предложение организации</v>
      </c>
      <c r="CM8" s="213" t="str">
        <f>CM6&amp;CM7</f>
        <v>2046Принято органом регулирования</v>
      </c>
      <c r="CN8" s="213" t="str">
        <f>CN6&amp;CN7</f>
        <v>2046Отклонение, %</v>
      </c>
      <c r="CO8" s="213" t="str">
        <f>CO6&amp;CO7</f>
        <v>2047Предложение организации</v>
      </c>
      <c r="CP8" s="213" t="str">
        <f>CP6&amp;CP7</f>
        <v>2047Принято органом регулирования</v>
      </c>
      <c r="CQ8" s="213" t="str">
        <f>CQ6&amp;CQ7</f>
        <v>2047Отклонение, %</v>
      </c>
      <c r="CR8" s="213" t="str">
        <f>CR6&amp;CR7</f>
        <v>2048Предложение организации</v>
      </c>
      <c r="CS8" s="213" t="str">
        <f>CS6&amp;CS7</f>
        <v>2048Принято органом регулирования</v>
      </c>
      <c r="CT8" s="213" t="str">
        <f>CT6&amp;CT7</f>
        <v>2048Отклонение, %</v>
      </c>
      <c r="CU8" s="213" t="str">
        <f>CU6&amp;CU7</f>
        <v>2049Предложение организации</v>
      </c>
      <c r="CV8" s="213" t="str">
        <f>CV6&amp;CV7</f>
        <v>2049Принято органом регулирования</v>
      </c>
      <c r="CW8" s="213" t="str">
        <f>CW6&amp;CW7</f>
        <v>2049Отклонение, %</v>
      </c>
      <c r="CX8" s="213" t="str">
        <f>CX6&amp;CX7</f>
        <v>2050Предложение организации</v>
      </c>
      <c r="CY8" s="213" t="str">
        <f>CY6&amp;CY7</f>
        <v>2050Принято органом регулирования</v>
      </c>
      <c r="CZ8" s="213" t="str">
        <f>CZ6&amp;CZ7</f>
        <v>2050Отклонение, %</v>
      </c>
      <c r="DA8" s="213" t="str">
        <f>DA6&amp;DA7</f>
        <v>2051Предложение организации</v>
      </c>
      <c r="DB8" s="213" t="str">
        <f>DB6&amp;DB7</f>
        <v>2051Принято органом регулирования</v>
      </c>
      <c r="DC8" s="213" t="str">
        <f>DC6&amp;DC7</f>
        <v>2051Отклонение, %</v>
      </c>
      <c r="DD8" s="213" t="str">
        <f>DD6&amp;DD7</f>
        <v>2052Предложение организации</v>
      </c>
      <c r="DE8" s="213" t="str">
        <f>DE6&amp;DE7</f>
        <v>2052Принято органом регулирования</v>
      </c>
      <c r="DF8" s="213" t="str">
        <f>DF6&amp;DF7</f>
        <v>2052Отклонение, %</v>
      </c>
      <c r="DG8" s="213" t="str">
        <f>DG6&amp;DG7</f>
        <v>2053Предложение организации</v>
      </c>
      <c r="DH8" s="213" t="str">
        <f>DH6&amp;DH7</f>
        <v>2053Принято органом регулирования</v>
      </c>
      <c r="DI8" s="213" t="str">
        <f>DI6&amp;DI7</f>
        <v>2053Отклонение, %</v>
      </c>
      <c r="DJ8" s="213" t="str">
        <f>DJ6&amp;DJ7</f>
        <v>2054Предложение организации</v>
      </c>
      <c r="DK8" s="213" t="str">
        <f>DK6&amp;DK7</f>
        <v>2054Принято органом регулирования</v>
      </c>
      <c r="DL8" s="213" t="str">
        <f>DL6&amp;DL7</f>
        <v>2054Отклонение, %</v>
      </c>
      <c r="DM8" s="213" t="str">
        <f>DM6&amp;DM7</f>
        <v>2055Предложение организации</v>
      </c>
      <c r="DN8" s="213" t="str">
        <f>DN6&amp;DN7</f>
        <v>2055Принято органом регулирования</v>
      </c>
      <c r="DO8" s="213" t="str">
        <f>DO6&amp;DO7</f>
        <v>2055Отклонение, %</v>
      </c>
      <c r="DP8" s="213" t="str">
        <f>DP6&amp;DP7</f>
        <v>2056Предложение организации</v>
      </c>
      <c r="DQ8" s="213" t="str">
        <f>DQ6&amp;DQ7</f>
        <v>2056Принято органом регулирования</v>
      </c>
      <c r="DR8" s="213" t="str">
        <f>DR6&amp;DR7</f>
        <v>2056Отклонение, %</v>
      </c>
      <c r="DS8" s="213" t="str">
        <f>DS6&amp;DS7</f>
        <v>2057Предложение организации</v>
      </c>
      <c r="DT8" s="213" t="str">
        <f>DT6&amp;DT7</f>
        <v>2057Принято органом регулирования</v>
      </c>
      <c r="DU8" s="213" t="str">
        <f>DU6&amp;DU7</f>
        <v>2057Отклонение, %</v>
      </c>
      <c r="DV8" s="213" t="str">
        <f>DV6&amp;DV7</f>
        <v>2058Предложение организации</v>
      </c>
      <c r="DW8" s="213" t="str">
        <f>DW6&amp;DW7</f>
        <v>2058Принято органом регулирования</v>
      </c>
      <c r="DX8" s="213" t="str">
        <f>DX6&amp;DX7</f>
        <v>2058Отклонение, %</v>
      </c>
      <c r="DY8" s="213" t="str">
        <f>DY6&amp;DY7</f>
        <v>2059Предложение организации</v>
      </c>
      <c r="DZ8" s="213" t="str">
        <f>DZ6&amp;DZ7</f>
        <v>2059Принято органом регулирования</v>
      </c>
      <c r="EA8" s="213" t="str">
        <f>EA6&amp;EA7</f>
        <v>2059Отклонение, %</v>
      </c>
      <c r="EB8" s="213" t="str">
        <f>EB6&amp;EB7</f>
        <v>2060Предложение организации</v>
      </c>
      <c r="EC8" s="213" t="str">
        <f>EC6&amp;EC7</f>
        <v>2060Принято органом регулирования</v>
      </c>
      <c r="ED8" s="213" t="str">
        <f>ED6&amp;ED7</f>
        <v>2060Отклонение, %</v>
      </c>
      <c r="EE8" s="213" t="str">
        <f>EE6&amp;EE7</f>
        <v>2061Предложение организации</v>
      </c>
      <c r="EF8" s="213" t="str">
        <f>EF6&amp;EF7</f>
        <v>2061Принято органом регулирования</v>
      </c>
      <c r="EG8" s="213" t="str">
        <f>EG6&amp;EG7</f>
        <v>2061Отклонение, %</v>
      </c>
      <c r="EH8" s="213" t="str">
        <f>EH6&amp;EH7</f>
        <v>2062Предложение организации</v>
      </c>
      <c r="EI8" s="213" t="str">
        <f>EI6&amp;EI7</f>
        <v>2062Принято органом регулирования</v>
      </c>
      <c r="EJ8" s="213" t="str">
        <f>EJ6&amp;EJ7</f>
        <v>2062Отклонение, %</v>
      </c>
      <c r="EK8" s="213" t="str">
        <f>EK6&amp;EK7</f>
        <v>2063Предложение организации</v>
      </c>
      <c r="EL8" s="213" t="str">
        <f>EL6&amp;EL7</f>
        <v>2063Принято органом регулирования</v>
      </c>
      <c r="EM8" s="213" t="str">
        <f>EM6&amp;EM7</f>
        <v>2063Отклонение, %</v>
      </c>
      <c r="EN8" s="213" t="str">
        <f>EN6&amp;EN7</f>
        <v>2064Предложение организации</v>
      </c>
      <c r="EO8" s="213" t="str">
        <f>EO6&amp;EO7</f>
        <v>2064Принято органом регулирования</v>
      </c>
      <c r="EP8" s="213" t="str">
        <f>EP6&amp;EP7</f>
        <v>2064Отклонение, %</v>
      </c>
      <c r="EQ8" s="213" t="str">
        <f>EQ6&amp;EQ7</f>
        <v>2065Предложение организации</v>
      </c>
      <c r="ER8" s="213" t="str">
        <f>ER6&amp;ER7</f>
        <v>2065Принято органом регулирования</v>
      </c>
      <c r="ES8" s="213" t="str">
        <f>ES6&amp;ES7</f>
        <v>2065Отклонение, %</v>
      </c>
      <c r="ET8" s="213" t="str">
        <f>ET6&amp;ET7</f>
        <v>2066Предложение организации</v>
      </c>
      <c r="EU8" s="213" t="str">
        <f>EU6&amp;EU7</f>
        <v>2066Принято органом регулирования</v>
      </c>
      <c r="EV8" s="213" t="str">
        <f>EV6&amp;EV7</f>
        <v>2066Отклонение, %</v>
      </c>
      <c r="EW8" s="213" t="str">
        <f>EW6&amp;EW7</f>
        <v>2067Предложение организации</v>
      </c>
      <c r="EX8" s="213" t="str">
        <f>EX6&amp;EX7</f>
        <v>2067Принято органом регулирования</v>
      </c>
      <c r="EY8" s="213" t="str">
        <f>EY6&amp;EY7</f>
        <v>2067Отклонение, %</v>
      </c>
      <c r="EZ8" s="213" t="str">
        <f>EZ6&amp;EZ7</f>
        <v>2068Предложение организации</v>
      </c>
      <c r="FA8" s="213" t="str">
        <f>FA6&amp;FA7</f>
        <v>2068Принято органом регулирования</v>
      </c>
      <c r="FB8" s="213" t="str">
        <f>FB6&amp;FB7</f>
        <v>2068Отклонение, %</v>
      </c>
      <c r="FC8" s="213" t="str">
        <f>FC6&amp;FC7</f>
        <v>2069Предложение организации</v>
      </c>
      <c r="FD8" s="213" t="str">
        <f>FD6&amp;FD7</f>
        <v>2069Принято органом регулирования</v>
      </c>
      <c r="FE8" s="213" t="str">
        <f>FE6&amp;FE7</f>
        <v>2069Отклонение, %</v>
      </c>
      <c r="FF8" s="213" t="str">
        <f>FF6&amp;FF7</f>
        <v>2070Предложение организации</v>
      </c>
      <c r="FG8" s="213" t="str">
        <f>FG6&amp;FG7</f>
        <v>2070Принято органом регулирования</v>
      </c>
      <c r="FH8" s="213" t="str">
        <f>FH6&amp;FH7</f>
        <v>2070Отклонение, %</v>
      </c>
      <c r="FI8" s="213" t="str">
        <f>FI6&amp;FI7</f>
        <v>2071Предложение организации</v>
      </c>
      <c r="FJ8" s="213" t="str">
        <f>FJ6&amp;FJ7</f>
        <v>2071Принято органом регулирования</v>
      </c>
      <c r="FK8" s="213" t="str">
        <f>FK6&amp;FK7</f>
        <v>2071Отклонение, %</v>
      </c>
      <c r="FL8" s="213" t="str">
        <f>FL6&amp;FL7</f>
        <v>2072Предложение организации</v>
      </c>
      <c r="FM8" s="213" t="str">
        <f>FM6&amp;FM7</f>
        <v>2072Принято органом регулирования</v>
      </c>
      <c r="FN8" s="213" t="str">
        <f>FN6&amp;FN7</f>
        <v>2072Отклонение, %</v>
      </c>
      <c r="FO8" s="213" t="str">
        <f>FO6&amp;FO7</f>
        <v>2073Предложение организации</v>
      </c>
      <c r="FP8" s="213" t="str">
        <f>FP6&amp;FP7</f>
        <v>2073Принято органом регулирования</v>
      </c>
      <c r="FQ8" s="213" t="str">
        <f>FQ6&amp;FQ7</f>
        <v>2073Отклонение, %</v>
      </c>
      <c r="FR8" s="213" t="str">
        <f>FR6&amp;FR7</f>
        <v>2074Предложение организации</v>
      </c>
      <c r="FS8" s="213" t="str">
        <f>FS6&amp;FS7</f>
        <v>2074Принято органом регулирования</v>
      </c>
      <c r="FT8" s="213" t="str">
        <f>FT6&amp;FT7</f>
        <v>2074Отклонение, %</v>
      </c>
      <c r="FU8" s="213" t="str">
        <f>FU6&amp;FU7</f>
        <v>2075Предложение организации</v>
      </c>
      <c r="FV8" s="213" t="str">
        <f>FV6&amp;FV7</f>
        <v>2075Принято органом регулирования</v>
      </c>
      <c r="FW8" s="213" t="str">
        <f>FW6&amp;FW7</f>
        <v>2075Отклонение, %</v>
      </c>
      <c r="GA8" s="1219"/>
      <c r="GB8" s="1219"/>
      <c r="GC8" s="1219"/>
      <c r="GD8" s="1219"/>
    </row>
    <row s="1217" customFormat="1" customHeight="1" ht="12" hidden="1">
      <c r="A9" s="1161" t="s">
        <v>437</v>
      </c>
      <c r="B9" s="1154"/>
      <c r="C9" s="1325"/>
      <c r="D9" s="1294"/>
      <c r="E9" s="1154"/>
      <c r="J9" s="1273"/>
      <c r="K9" s="1273"/>
      <c r="L9" s="1273"/>
      <c r="M9" s="1273"/>
      <c r="N9" s="1273"/>
      <c r="O9" s="1273"/>
      <c r="P9" s="1273"/>
      <c r="Q9" s="1282"/>
      <c r="R9" s="1163"/>
      <c r="AD9" s="1162" cm="1" t="str">
        <f t="array" ref="AD9:AD9">god</f>
        <v>2026</v>
      </c>
      <c r="AE9" s="1162" cm="1" t="str">
        <f t="array" ref="AE9:AE9">god</f>
        <v>2026</v>
      </c>
      <c r="AF9" s="1162" cm="1" t="str">
        <f t="array" ref="AF9:AF9">god</f>
        <v>2026</v>
      </c>
      <c r="AG9" s="1162">
        <f>god+1</f>
        <v>2027</v>
      </c>
      <c r="AH9" s="1162">
        <f>god+1</f>
        <v>2027</v>
      </c>
      <c r="AI9" s="1162">
        <f>god+1</f>
        <v>2027</v>
      </c>
      <c r="AJ9" s="1162">
        <f>god+2</f>
        <v>2028</v>
      </c>
      <c r="AK9" s="1162">
        <f>god+2</f>
        <v>2028</v>
      </c>
      <c r="AL9" s="1162">
        <f>god+2</f>
        <v>2028</v>
      </c>
      <c r="AM9" s="1162">
        <f>god+3</f>
        <v>2029</v>
      </c>
      <c r="AN9" s="1162">
        <f>god+3</f>
        <v>2029</v>
      </c>
      <c r="AO9" s="1162">
        <f>god+3</f>
        <v>2029</v>
      </c>
      <c r="AP9" s="1162">
        <f>god+4</f>
        <v>2030</v>
      </c>
      <c r="AQ9" s="1162">
        <f>god+4</f>
        <v>2030</v>
      </c>
      <c r="AR9" s="1162">
        <f>god+4</f>
        <v>2030</v>
      </c>
      <c r="AS9" s="1162">
        <f>god+5</f>
        <v>2031</v>
      </c>
      <c r="AT9" s="1162">
        <f>god+5</f>
        <v>2031</v>
      </c>
      <c r="AU9" s="1162">
        <f>god+5</f>
        <v>2031</v>
      </c>
      <c r="AV9" s="1162">
        <f>god+6</f>
        <v>2032</v>
      </c>
      <c r="AW9" s="1162">
        <f>god+6</f>
        <v>2032</v>
      </c>
      <c r="AX9" s="1162">
        <f>god+6</f>
        <v>2032</v>
      </c>
      <c r="AY9" s="1162">
        <f>god+7</f>
        <v>2033</v>
      </c>
      <c r="AZ9" s="1162">
        <f>god+7</f>
        <v>2033</v>
      </c>
      <c r="BA9" s="1162">
        <f>god+7</f>
        <v>2033</v>
      </c>
      <c r="BB9" s="1162">
        <f>god+8</f>
        <v>2034</v>
      </c>
      <c r="BC9" s="1162">
        <f>god+8</f>
        <v>2034</v>
      </c>
      <c r="BD9" s="1162">
        <f>god+8</f>
        <v>2034</v>
      </c>
      <c r="BE9" s="1162">
        <f>god+9</f>
        <v>2035</v>
      </c>
      <c r="BF9" s="1162">
        <f>god+9</f>
        <v>2035</v>
      </c>
      <c r="BG9" s="1162">
        <f>god+9</f>
        <v>2035</v>
      </c>
      <c r="BH9" s="1162">
        <f>god+10</f>
        <v>2036</v>
      </c>
      <c r="BI9" s="1162">
        <f>god+10</f>
        <v>2036</v>
      </c>
      <c r="BJ9" s="1162">
        <f>god+10</f>
        <v>2036</v>
      </c>
      <c r="BK9" s="1162">
        <f>god+11</f>
        <v>2037</v>
      </c>
      <c r="BL9" s="1162">
        <f>god+11</f>
        <v>2037</v>
      </c>
      <c r="BM9" s="1162">
        <f>god+11</f>
        <v>2037</v>
      </c>
      <c r="BN9" s="1162">
        <f>god+12</f>
        <v>2038</v>
      </c>
      <c r="BO9" s="1162">
        <f>god+12</f>
        <v>2038</v>
      </c>
      <c r="BP9" s="1162">
        <f>god+12</f>
        <v>2038</v>
      </c>
      <c r="BQ9" s="1162">
        <f>god+13</f>
        <v>2039</v>
      </c>
      <c r="BR9" s="1162">
        <f>god+13</f>
        <v>2039</v>
      </c>
      <c r="BS9" s="1162">
        <f>god+13</f>
        <v>2039</v>
      </c>
      <c r="BT9" s="1162">
        <f>god+14</f>
        <v>2040</v>
      </c>
      <c r="BU9" s="1162">
        <f>god+14</f>
        <v>2040</v>
      </c>
      <c r="BV9" s="1162">
        <f>god+14</f>
        <v>2040</v>
      </c>
      <c r="BW9" s="1162">
        <f>god+15</f>
        <v>2041</v>
      </c>
      <c r="BX9" s="1162">
        <f>god+15</f>
        <v>2041</v>
      </c>
      <c r="BY9" s="1162">
        <f>god+15</f>
        <v>2041</v>
      </c>
      <c r="BZ9" s="1162">
        <f>god+16</f>
        <v>2042</v>
      </c>
      <c r="CA9" s="1162">
        <f>god+16</f>
        <v>2042</v>
      </c>
      <c r="CB9" s="1162">
        <f>god+16</f>
        <v>2042</v>
      </c>
      <c r="CC9" s="1162">
        <f>god+17</f>
        <v>2043</v>
      </c>
      <c r="CD9" s="1162">
        <f>god+17</f>
        <v>2043</v>
      </c>
      <c r="CE9" s="1162">
        <f>god+17</f>
        <v>2043</v>
      </c>
      <c r="CF9" s="1162">
        <f>god+18</f>
        <v>2044</v>
      </c>
      <c r="CG9" s="1162">
        <f>god+18</f>
        <v>2044</v>
      </c>
      <c r="CH9" s="1162">
        <f>god+18</f>
        <v>2044</v>
      </c>
      <c r="CI9" s="1162">
        <f>god+19</f>
        <v>2045</v>
      </c>
      <c r="CJ9" s="1162">
        <f>god+19</f>
        <v>2045</v>
      </c>
      <c r="CK9" s="1162">
        <f>god+19</f>
        <v>2045</v>
      </c>
      <c r="CL9" s="1162">
        <f>god+20</f>
        <v>2046</v>
      </c>
      <c r="CM9" s="1162">
        <f>god+20</f>
        <v>2046</v>
      </c>
      <c r="CN9" s="1162">
        <f>god+20</f>
        <v>2046</v>
      </c>
      <c r="CO9" s="1162">
        <f>god+21</f>
        <v>2047</v>
      </c>
      <c r="CP9" s="1162">
        <f>god+21</f>
        <v>2047</v>
      </c>
      <c r="CQ9" s="1162">
        <f>god+21</f>
        <v>2047</v>
      </c>
      <c r="CR9" s="1162">
        <f>god+22</f>
        <v>2048</v>
      </c>
      <c r="CS9" s="1162">
        <f>god+22</f>
        <v>2048</v>
      </c>
      <c r="CT9" s="1162">
        <f>god+22</f>
        <v>2048</v>
      </c>
      <c r="CU9" s="1162">
        <f>god+23</f>
        <v>2049</v>
      </c>
      <c r="CV9" s="1162">
        <f>god+23</f>
        <v>2049</v>
      </c>
      <c r="CW9" s="1162">
        <f>god+23</f>
        <v>2049</v>
      </c>
      <c r="CX9" s="1162">
        <f>god+24</f>
        <v>2050</v>
      </c>
      <c r="CY9" s="1162">
        <f>god+24</f>
        <v>2050</v>
      </c>
      <c r="CZ9" s="1162">
        <f>god+24</f>
        <v>2050</v>
      </c>
      <c r="DA9" s="1162">
        <f>god+25</f>
        <v>2051</v>
      </c>
      <c r="DB9" s="1162">
        <f>god+25</f>
        <v>2051</v>
      </c>
      <c r="DC9" s="1162">
        <f>god+25</f>
        <v>2051</v>
      </c>
      <c r="DD9" s="1162">
        <f>god+26</f>
        <v>2052</v>
      </c>
      <c r="DE9" s="1162">
        <f>god+26</f>
        <v>2052</v>
      </c>
      <c r="DF9" s="1162">
        <f>god+26</f>
        <v>2052</v>
      </c>
      <c r="DG9" s="1162">
        <f>god+27</f>
        <v>2053</v>
      </c>
      <c r="DH9" s="1162">
        <f>god+27</f>
        <v>2053</v>
      </c>
      <c r="DI9" s="1162">
        <f>god+27</f>
        <v>2053</v>
      </c>
      <c r="DJ9" s="1162">
        <f>god+28</f>
        <v>2054</v>
      </c>
      <c r="DK9" s="1162">
        <f>god+28</f>
        <v>2054</v>
      </c>
      <c r="DL9" s="1162">
        <f>god+28</f>
        <v>2054</v>
      </c>
      <c r="DM9" s="1162">
        <f>god+29</f>
        <v>2055</v>
      </c>
      <c r="DN9" s="1162">
        <f>god+29</f>
        <v>2055</v>
      </c>
      <c r="DO9" s="1162">
        <f>god+29</f>
        <v>2055</v>
      </c>
      <c r="DP9" s="1162">
        <f>god+30</f>
        <v>2056</v>
      </c>
      <c r="DQ9" s="1162">
        <f>god+30</f>
        <v>2056</v>
      </c>
      <c r="DR9" s="1162">
        <f>god+30</f>
        <v>2056</v>
      </c>
      <c r="DS9" s="1162">
        <f>god+31</f>
        <v>2057</v>
      </c>
      <c r="DT9" s="1162">
        <f>god+31</f>
        <v>2057</v>
      </c>
      <c r="DU9" s="1162">
        <f>god+31</f>
        <v>2057</v>
      </c>
      <c r="DV9" s="1162">
        <f>god+32</f>
        <v>2058</v>
      </c>
      <c r="DW9" s="1162">
        <f>god+32</f>
        <v>2058</v>
      </c>
      <c r="DX9" s="1162">
        <f>god+32</f>
        <v>2058</v>
      </c>
      <c r="DY9" s="1162">
        <f>god+33</f>
        <v>2059</v>
      </c>
      <c r="DZ9" s="1162">
        <f>god+33</f>
        <v>2059</v>
      </c>
      <c r="EA9" s="1162">
        <f>god+33</f>
        <v>2059</v>
      </c>
      <c r="EB9" s="1162">
        <f>god+34</f>
        <v>2060</v>
      </c>
      <c r="EC9" s="1162">
        <f>god+34</f>
        <v>2060</v>
      </c>
      <c r="ED9" s="1162">
        <f>god+34</f>
        <v>2060</v>
      </c>
      <c r="EE9" s="1162">
        <f>god+35</f>
        <v>2061</v>
      </c>
      <c r="EF9" s="1162">
        <f>god+35</f>
        <v>2061</v>
      </c>
      <c r="EG9" s="1162">
        <f>god+35</f>
        <v>2061</v>
      </c>
      <c r="EH9" s="1162">
        <f>god+36</f>
        <v>2062</v>
      </c>
      <c r="EI9" s="1162">
        <f>god+36</f>
        <v>2062</v>
      </c>
      <c r="EJ9" s="1162">
        <f>god+36</f>
        <v>2062</v>
      </c>
      <c r="EK9" s="1162">
        <f>god+37</f>
        <v>2063</v>
      </c>
      <c r="EL9" s="1162">
        <f>god+37</f>
        <v>2063</v>
      </c>
      <c r="EM9" s="1162">
        <f>god+37</f>
        <v>2063</v>
      </c>
      <c r="EN9" s="1162">
        <f>god+38</f>
        <v>2064</v>
      </c>
      <c r="EO9" s="1162">
        <f>god+38</f>
        <v>2064</v>
      </c>
      <c r="EP9" s="1162">
        <f>god+38</f>
        <v>2064</v>
      </c>
      <c r="EQ9" s="1162">
        <f>god+39</f>
        <v>2065</v>
      </c>
      <c r="ER9" s="1162">
        <f>god+39</f>
        <v>2065</v>
      </c>
      <c r="ES9" s="1162">
        <f>god+39</f>
        <v>2065</v>
      </c>
      <c r="ET9" s="1162">
        <f>god+40</f>
        <v>2066</v>
      </c>
      <c r="EU9" s="1162">
        <f>god+40</f>
        <v>2066</v>
      </c>
      <c r="EV9" s="1162">
        <f>god+40</f>
        <v>2066</v>
      </c>
      <c r="EW9" s="1162">
        <f>god+41</f>
        <v>2067</v>
      </c>
      <c r="EX9" s="1162">
        <f>god+41</f>
        <v>2067</v>
      </c>
      <c r="EY9" s="1162">
        <f>god+41</f>
        <v>2067</v>
      </c>
      <c r="EZ9" s="1162">
        <f>god+42</f>
        <v>2068</v>
      </c>
      <c r="FA9" s="1162">
        <f>god+42</f>
        <v>2068</v>
      </c>
      <c r="FB9" s="1162">
        <f>god+42</f>
        <v>2068</v>
      </c>
      <c r="FC9" s="1162">
        <f>god+43</f>
        <v>2069</v>
      </c>
      <c r="FD9" s="1162">
        <f>god+43</f>
        <v>2069</v>
      </c>
      <c r="FE9" s="1162">
        <f>god+43</f>
        <v>2069</v>
      </c>
      <c r="FF9" s="1162">
        <f>god+44</f>
        <v>2070</v>
      </c>
      <c r="FG9" s="1162">
        <f>god+44</f>
        <v>2070</v>
      </c>
      <c r="FH9" s="1162">
        <f>god+44</f>
        <v>2070</v>
      </c>
      <c r="FI9" s="1162">
        <f>god+45</f>
        <v>2071</v>
      </c>
      <c r="FJ9" s="1162">
        <f>god+45</f>
        <v>2071</v>
      </c>
      <c r="FK9" s="1162">
        <f>god+45</f>
        <v>2071</v>
      </c>
      <c r="FL9" s="1162">
        <f>god+46</f>
        <v>2072</v>
      </c>
      <c r="FM9" s="1162">
        <f>god+46</f>
        <v>2072</v>
      </c>
      <c r="FN9" s="1162">
        <f>god+46</f>
        <v>2072</v>
      </c>
      <c r="FO9" s="1162">
        <f>god+47</f>
        <v>2073</v>
      </c>
      <c r="FP9" s="1162">
        <f>god+47</f>
        <v>2073</v>
      </c>
      <c r="FQ9" s="1162">
        <f>god+47</f>
        <v>2073</v>
      </c>
      <c r="FR9" s="1162">
        <f>god+48</f>
        <v>2074</v>
      </c>
      <c r="FS9" s="1162">
        <f>god+48</f>
        <v>2074</v>
      </c>
      <c r="FT9" s="1162">
        <f>god+48</f>
        <v>2074</v>
      </c>
      <c r="FU9" s="1162">
        <f>god+49</f>
        <v>2075</v>
      </c>
      <c r="FV9" s="1162">
        <f>god+49</f>
        <v>2075</v>
      </c>
      <c r="FW9" s="1162">
        <f>god+49</f>
        <v>2075</v>
      </c>
      <c r="FZ9" s="1184"/>
      <c r="GA9" s="1219"/>
      <c r="GB9" s="1219"/>
      <c r="GC9" s="1219"/>
      <c r="GD9" s="1219"/>
    </row>
    <row s="1217" customFormat="1" customHeight="1" ht="12" hidden="1">
      <c r="A10" s="1161" t="s">
        <v>438</v>
      </c>
      <c r="B10" s="1154"/>
      <c r="C10" s="1325"/>
      <c r="D10" s="1294"/>
      <c r="E10" s="1154"/>
      <c r="J10" s="1273"/>
      <c r="K10" s="1273"/>
      <c r="L10" s="1273"/>
      <c r="M10" s="1273"/>
      <c r="N10" s="1273"/>
      <c r="O10" s="1273"/>
      <c r="P10" s="1273"/>
      <c r="Q10" s="1282"/>
      <c r="R10" s="1163"/>
      <c r="AD10" s="1162" cm="1" t="str">
        <f t="array" ref="AD10:AD10">AD26</f>
        <v>Предложение организации</v>
      </c>
      <c r="AE10" s="1162" cm="1" t="str">
        <f t="array" ref="AE10:AE10">AE26</f>
        <v>Принято органом регулирования</v>
      </c>
      <c r="AF10" s="1162" cm="1" t="str">
        <f t="array" ref="AF10:AF10">AF26</f>
        <v>Отклонение, %</v>
      </c>
      <c r="AG10" s="1162" cm="1" t="str">
        <f t="array" ref="AG10:AG10">AG26</f>
        <v>Предложение организации</v>
      </c>
      <c r="AH10" s="1162" cm="1" t="str">
        <f t="array" ref="AH10:AH10">AH26</f>
        <v>Принято органом регулирования</v>
      </c>
      <c r="AI10" s="1162" cm="1" t="str">
        <f t="array" ref="AI10:AI10">AI26</f>
        <v>Отклонение, %</v>
      </c>
      <c r="AJ10" s="1162" cm="1" t="str">
        <f t="array" ref="AJ10:AJ10">AJ26</f>
        <v>Предложение организации</v>
      </c>
      <c r="AK10" s="1162" cm="1" t="str">
        <f t="array" ref="AK10:AK10">AK26</f>
        <v>Принято органом регулирования</v>
      </c>
      <c r="AL10" s="1162" cm="1" t="str">
        <f t="array" ref="AL10:AL10">AL26</f>
        <v>Отклонение, %</v>
      </c>
      <c r="AM10" s="1162" cm="1" t="str">
        <f t="array" ref="AM10:AM10">AM26</f>
        <v>Предложение организации</v>
      </c>
      <c r="AN10" s="1162" cm="1" t="str">
        <f t="array" ref="AN10:AN10">AN26</f>
        <v>Принято органом регулирования</v>
      </c>
      <c r="AO10" s="1162" cm="1" t="str">
        <f t="array" ref="AO10:AO10">AO26</f>
        <v>Отклонение, %</v>
      </c>
      <c r="AP10" s="1162" cm="1" t="str">
        <f t="array" ref="AP10:AP10">AP26</f>
        <v>Предложение организации</v>
      </c>
      <c r="AQ10" s="1162" cm="1" t="str">
        <f t="array" ref="AQ10:AQ10">AQ26</f>
        <v>Принято органом регулирования</v>
      </c>
      <c r="AR10" s="1162" cm="1" t="str">
        <f t="array" ref="AR10:AR10">AR26</f>
        <v>Отклонение, %</v>
      </c>
      <c r="AS10" s="1162" cm="1" t="str">
        <f t="array" ref="AS10:AS10">AS26</f>
        <v>Предложение организации</v>
      </c>
      <c r="AT10" s="1162" cm="1" t="str">
        <f t="array" ref="AT10:AT10">AT26</f>
        <v>Принято органом регулирования</v>
      </c>
      <c r="AU10" s="1162" cm="1" t="str">
        <f t="array" ref="AU10:AU10">AU26</f>
        <v>Отклонение, %</v>
      </c>
      <c r="AV10" s="1162" cm="1" t="str">
        <f t="array" ref="AV10:AV10">AV26</f>
        <v>Предложение организации</v>
      </c>
      <c r="AW10" s="1162" cm="1" t="str">
        <f t="array" ref="AW10:AW10">AW26</f>
        <v>Принято органом регулирования</v>
      </c>
      <c r="AX10" s="1162" cm="1" t="str">
        <f t="array" ref="AX10:AX10">AX26</f>
        <v>Отклонение, %</v>
      </c>
      <c r="AY10" s="1162" cm="1" t="str">
        <f t="array" ref="AY10:AY10">AY26</f>
        <v>Предложение организации</v>
      </c>
      <c r="AZ10" s="1162" cm="1" t="str">
        <f t="array" ref="AZ10:AZ10">AZ26</f>
        <v>Принято органом регулирования</v>
      </c>
      <c r="BA10" s="1162" cm="1" t="str">
        <f t="array" ref="BA10:BA10">BA26</f>
        <v>Отклонение, %</v>
      </c>
      <c r="BB10" s="1162" cm="1" t="str">
        <f t="array" ref="BB10:BB10">BB26</f>
        <v>Предложение организации</v>
      </c>
      <c r="BC10" s="1162" cm="1" t="str">
        <f t="array" ref="BC10:BC10">BC26</f>
        <v>Принято органом регулирования</v>
      </c>
      <c r="BD10" s="1162" cm="1" t="str">
        <f t="array" ref="BD10:BD10">BD26</f>
        <v>Отклонение, %</v>
      </c>
      <c r="BE10" s="1162" cm="1" t="str">
        <f t="array" ref="BE10:BE10">BE26</f>
        <v>Предложение организации</v>
      </c>
      <c r="BF10" s="1162" cm="1" t="str">
        <f t="array" ref="BF10:BF10">BF26</f>
        <v>Принято органом регулирования</v>
      </c>
      <c r="BG10" s="1162" cm="1" t="str">
        <f t="array" ref="BG10:BG10">BG26</f>
        <v>Отклонение, %</v>
      </c>
      <c r="BH10" s="1162" cm="1" t="str">
        <f t="array" ref="BH10:BH10">BH26</f>
        <v>Предложение организации</v>
      </c>
      <c r="BI10" s="1162" cm="1" t="str">
        <f t="array" ref="BI10:BI10">BI26</f>
        <v>Принято органом регулирования</v>
      </c>
      <c r="BJ10" s="1162" cm="1" t="str">
        <f t="array" ref="BJ10:BJ10">BJ26</f>
        <v>Отклонение, %</v>
      </c>
      <c r="BK10" s="1162" cm="1" t="str">
        <f t="array" ref="BK10:BK10">BK26</f>
        <v>Предложение организации</v>
      </c>
      <c r="BL10" s="1162" cm="1" t="str">
        <f t="array" ref="BL10:BL10">BL26</f>
        <v>Принято органом регулирования</v>
      </c>
      <c r="BM10" s="1162" cm="1" t="str">
        <f t="array" ref="BM10:BM10">BM26</f>
        <v>Отклонение, %</v>
      </c>
      <c r="BN10" s="1162" cm="1" t="str">
        <f t="array" ref="BN10:BN10">BN26</f>
        <v>Предложение организации</v>
      </c>
      <c r="BO10" s="1162" cm="1" t="str">
        <f t="array" ref="BO10:BO10">BO26</f>
        <v>Принято органом регулирования</v>
      </c>
      <c r="BP10" s="1162" cm="1" t="str">
        <f t="array" ref="BP10:BP10">BP26</f>
        <v>Отклонение, %</v>
      </c>
      <c r="BQ10" s="1162" cm="1" t="str">
        <f t="array" ref="BQ10:BQ10">BQ26</f>
        <v>Предложение организации</v>
      </c>
      <c r="BR10" s="1162" cm="1" t="str">
        <f t="array" ref="BR10:BR10">BR26</f>
        <v>Принято органом регулирования</v>
      </c>
      <c r="BS10" s="1162" cm="1" t="str">
        <f t="array" ref="BS10:BS10">BS26</f>
        <v>Отклонение, %</v>
      </c>
      <c r="BT10" s="1162" cm="1" t="str">
        <f t="array" ref="BT10:BT10">BT26</f>
        <v>Предложение организации</v>
      </c>
      <c r="BU10" s="1162" cm="1" t="str">
        <f t="array" ref="BU10:BU10">BU26</f>
        <v>Принято органом регулирования</v>
      </c>
      <c r="BV10" s="1162" cm="1" t="str">
        <f t="array" ref="BV10:BV10">BV26</f>
        <v>Отклонение, %</v>
      </c>
      <c r="BW10" s="1162" cm="1" t="str">
        <f t="array" ref="BW10:BW10">BW26</f>
        <v>Предложение организации</v>
      </c>
      <c r="BX10" s="1162" cm="1" t="str">
        <f t="array" ref="BX10:BX10">BX26</f>
        <v>Принято органом регулирования</v>
      </c>
      <c r="BY10" s="1162" cm="1" t="str">
        <f t="array" ref="BY10:BY10">BY26</f>
        <v>Отклонение, %</v>
      </c>
      <c r="BZ10" s="1162" cm="1" t="str">
        <f t="array" ref="BZ10:BZ10">BZ26</f>
        <v>Предложение организации</v>
      </c>
      <c r="CA10" s="1162" cm="1" t="str">
        <f t="array" ref="CA10:CA10">CA26</f>
        <v>Принято органом регулирования</v>
      </c>
      <c r="CB10" s="1162" cm="1" t="str">
        <f t="array" ref="CB10:CB10">CB26</f>
        <v>Отклонение, %</v>
      </c>
      <c r="CC10" s="1162" cm="1" t="str">
        <f t="array" ref="CC10:CC10">CC26</f>
        <v>Предложение организации</v>
      </c>
      <c r="CD10" s="1162" cm="1" t="str">
        <f t="array" ref="CD10:CD10">CD26</f>
        <v>Принято органом регулирования</v>
      </c>
      <c r="CE10" s="1162" cm="1" t="str">
        <f t="array" ref="CE10:CE10">CE26</f>
        <v>Отклонение, %</v>
      </c>
      <c r="CF10" s="1162" cm="1" t="str">
        <f t="array" ref="CF10:CF10">CF26</f>
        <v>Предложение организации</v>
      </c>
      <c r="CG10" s="1162" cm="1" t="str">
        <f t="array" ref="CG10:CG10">CG26</f>
        <v>Принято органом регулирования</v>
      </c>
      <c r="CH10" s="1162" cm="1" t="str">
        <f t="array" ref="CH10:CH10">CH26</f>
        <v>Отклонение, %</v>
      </c>
      <c r="CI10" s="1162" cm="1" t="str">
        <f t="array" ref="CI10:CI10">CI26</f>
        <v>Предложение организации</v>
      </c>
      <c r="CJ10" s="1162" cm="1" t="str">
        <f t="array" ref="CJ10:CJ10">CJ26</f>
        <v>Принято органом регулирования</v>
      </c>
      <c r="CK10" s="1162" cm="1" t="str">
        <f t="array" ref="CK10:CK10">CK26</f>
        <v>Отклонение, %</v>
      </c>
      <c r="CL10" s="1162" cm="1" t="str">
        <f t="array" ref="CL10:CL10">CL26</f>
        <v>Предложение организации</v>
      </c>
      <c r="CM10" s="1162" cm="1" t="str">
        <f t="array" ref="CM10:CM10">CM26</f>
        <v>Принято органом регулирования</v>
      </c>
      <c r="CN10" s="1162" cm="1" t="str">
        <f t="array" ref="CN10:CN10">CN26</f>
        <v>Отклонение, %</v>
      </c>
      <c r="CO10" s="1162" cm="1" t="str">
        <f t="array" ref="CO10:CO10">CO26</f>
        <v>Предложение организации</v>
      </c>
      <c r="CP10" s="1162" cm="1" t="str">
        <f t="array" ref="CP10:CP10">CP26</f>
        <v>Принято органом регулирования</v>
      </c>
      <c r="CQ10" s="1162" cm="1" t="str">
        <f t="array" ref="CQ10:CQ10">CQ26</f>
        <v>Отклонение, %</v>
      </c>
      <c r="CR10" s="1162" cm="1" t="str">
        <f t="array" ref="CR10:CR10">CR26</f>
        <v>Предложение организации</v>
      </c>
      <c r="CS10" s="1162" cm="1" t="str">
        <f t="array" ref="CS10:CS10">CS26</f>
        <v>Принято органом регулирования</v>
      </c>
      <c r="CT10" s="1162" cm="1" t="str">
        <f t="array" ref="CT10:CT10">CT26</f>
        <v>Отклонение, %</v>
      </c>
      <c r="CU10" s="1162" cm="1" t="str">
        <f t="array" ref="CU10:CU10">CU26</f>
        <v>Предложение организации</v>
      </c>
      <c r="CV10" s="1162" cm="1" t="str">
        <f t="array" ref="CV10:CV10">CV26</f>
        <v>Принято органом регулирования</v>
      </c>
      <c r="CW10" s="1162" cm="1" t="str">
        <f t="array" ref="CW10:CW10">CW26</f>
        <v>Отклонение, %</v>
      </c>
      <c r="CX10" s="1162" cm="1" t="str">
        <f t="array" ref="CX10:CX10">CX26</f>
        <v>Предложение организации</v>
      </c>
      <c r="CY10" s="1162" cm="1" t="str">
        <f t="array" ref="CY10:CY10">CY26</f>
        <v>Принято органом регулирования</v>
      </c>
      <c r="CZ10" s="1162" cm="1" t="str">
        <f t="array" ref="CZ10:CZ10">CZ26</f>
        <v>Отклонение, %</v>
      </c>
      <c r="DA10" s="1162" cm="1" t="str">
        <f t="array" ref="DA10:DA10">DA26</f>
        <v>Предложение организации</v>
      </c>
      <c r="DB10" s="1162" cm="1" t="str">
        <f t="array" ref="DB10:DB10">DB26</f>
        <v>Принято органом регулирования</v>
      </c>
      <c r="DC10" s="1162" cm="1" t="str">
        <f t="array" ref="DC10:DC10">DC26</f>
        <v>Отклонение, %</v>
      </c>
      <c r="DD10" s="1162" cm="1" t="str">
        <f t="array" ref="DD10:DD10">DD26</f>
        <v>Предложение организации</v>
      </c>
      <c r="DE10" s="1162" cm="1" t="str">
        <f t="array" ref="DE10:DE10">DE26</f>
        <v>Принято органом регулирования</v>
      </c>
      <c r="DF10" s="1162" cm="1" t="str">
        <f t="array" ref="DF10:DF10">DF26</f>
        <v>Отклонение, %</v>
      </c>
      <c r="DG10" s="1162" cm="1" t="str">
        <f t="array" ref="DG10:DG10">DG26</f>
        <v>Предложение организации</v>
      </c>
      <c r="DH10" s="1162" cm="1" t="str">
        <f t="array" ref="DH10:DH10">DH26</f>
        <v>Принято органом регулирования</v>
      </c>
      <c r="DI10" s="1162" cm="1" t="str">
        <f t="array" ref="DI10:DI10">DI26</f>
        <v>Отклонение, %</v>
      </c>
      <c r="DJ10" s="1162" cm="1" t="str">
        <f t="array" ref="DJ10:DJ10">DJ26</f>
        <v>Предложение организации</v>
      </c>
      <c r="DK10" s="1162" cm="1" t="str">
        <f t="array" ref="DK10:DK10">DK26</f>
        <v>Принято органом регулирования</v>
      </c>
      <c r="DL10" s="1162" cm="1" t="str">
        <f t="array" ref="DL10:DL10">DL26</f>
        <v>Отклонение, %</v>
      </c>
      <c r="DM10" s="1162" cm="1" t="str">
        <f t="array" ref="DM10:DM10">DM26</f>
        <v>Предложение организации</v>
      </c>
      <c r="DN10" s="1162" cm="1" t="str">
        <f t="array" ref="DN10:DN10">DN26</f>
        <v>Принято органом регулирования</v>
      </c>
      <c r="DO10" s="1162" cm="1" t="str">
        <f t="array" ref="DO10:DO10">DO26</f>
        <v>Отклонение, %</v>
      </c>
      <c r="DP10" s="1162" cm="1" t="str">
        <f t="array" ref="DP10:DP10">DP26</f>
        <v>Предложение организации</v>
      </c>
      <c r="DQ10" s="1162" cm="1" t="str">
        <f t="array" ref="DQ10:DQ10">DQ26</f>
        <v>Принято органом регулирования</v>
      </c>
      <c r="DR10" s="1162" cm="1" t="str">
        <f t="array" ref="DR10:DR10">DR26</f>
        <v>Отклонение, %</v>
      </c>
      <c r="DS10" s="1162" cm="1" t="str">
        <f t="array" ref="DS10:DS10">DS26</f>
        <v>Предложение организации</v>
      </c>
      <c r="DT10" s="1162" cm="1" t="str">
        <f t="array" ref="DT10:DT10">DT26</f>
        <v>Принято органом регулирования</v>
      </c>
      <c r="DU10" s="1162" cm="1" t="str">
        <f t="array" ref="DU10:DU10">DU26</f>
        <v>Отклонение, %</v>
      </c>
      <c r="DV10" s="1162" cm="1" t="str">
        <f t="array" ref="DV10:DV10">DV26</f>
        <v>Предложение организации</v>
      </c>
      <c r="DW10" s="1162" cm="1" t="str">
        <f t="array" ref="DW10:DW10">DW26</f>
        <v>Принято органом регулирования</v>
      </c>
      <c r="DX10" s="1162" cm="1" t="str">
        <f t="array" ref="DX10:DX10">DX26</f>
        <v>Отклонение, %</v>
      </c>
      <c r="DY10" s="1162" cm="1" t="str">
        <f t="array" ref="DY10:DY10">DY26</f>
        <v>Предложение организации</v>
      </c>
      <c r="DZ10" s="1162" cm="1" t="str">
        <f t="array" ref="DZ10:DZ10">DZ26</f>
        <v>Принято органом регулирования</v>
      </c>
      <c r="EA10" s="1162" cm="1" t="str">
        <f t="array" ref="EA10:EA10">EA26</f>
        <v>Отклонение, %</v>
      </c>
      <c r="EB10" s="1162" cm="1" t="str">
        <f t="array" ref="EB10:EB10">EB26</f>
        <v>Предложение организации</v>
      </c>
      <c r="EC10" s="1162" cm="1" t="str">
        <f t="array" ref="EC10:EC10">EC26</f>
        <v>Принято органом регулирования</v>
      </c>
      <c r="ED10" s="1162" cm="1" t="str">
        <f t="array" ref="ED10:ED10">ED26</f>
        <v>Отклонение, %</v>
      </c>
      <c r="EE10" s="1162" cm="1" t="str">
        <f t="array" ref="EE10:EE10">EE26</f>
        <v>Предложение организации</v>
      </c>
      <c r="EF10" s="1162" cm="1" t="str">
        <f t="array" ref="EF10:EF10">EF26</f>
        <v>Принято органом регулирования</v>
      </c>
      <c r="EG10" s="1162" cm="1" t="str">
        <f t="array" ref="EG10:EG10">EG26</f>
        <v>Отклонение, %</v>
      </c>
      <c r="EH10" s="1162" cm="1" t="str">
        <f t="array" ref="EH10:EH10">EH26</f>
        <v>Предложение организации</v>
      </c>
      <c r="EI10" s="1162" cm="1" t="str">
        <f t="array" ref="EI10:EI10">EI26</f>
        <v>Принято органом регулирования</v>
      </c>
      <c r="EJ10" s="1162" cm="1" t="str">
        <f t="array" ref="EJ10:EJ10">EJ26</f>
        <v>Отклонение, %</v>
      </c>
      <c r="EK10" s="1162" cm="1" t="str">
        <f t="array" ref="EK10:EK10">EK26</f>
        <v>Предложение организации</v>
      </c>
      <c r="EL10" s="1162" cm="1" t="str">
        <f t="array" ref="EL10:EL10">EL26</f>
        <v>Принято органом регулирования</v>
      </c>
      <c r="EM10" s="1162" cm="1" t="str">
        <f t="array" ref="EM10:EM10">EM26</f>
        <v>Отклонение, %</v>
      </c>
      <c r="EN10" s="1162" cm="1" t="str">
        <f t="array" ref="EN10:EN10">EN26</f>
        <v>Предложение организации</v>
      </c>
      <c r="EO10" s="1162" cm="1" t="str">
        <f t="array" ref="EO10:EO10">EO26</f>
        <v>Принято органом регулирования</v>
      </c>
      <c r="EP10" s="1162" cm="1" t="str">
        <f t="array" ref="EP10:EP10">EP26</f>
        <v>Отклонение, %</v>
      </c>
      <c r="EQ10" s="1162" cm="1" t="str">
        <f t="array" ref="EQ10:EQ10">EQ26</f>
        <v>Предложение организации</v>
      </c>
      <c r="ER10" s="1162" cm="1" t="str">
        <f t="array" ref="ER10:ER10">ER26</f>
        <v>Принято органом регулирования</v>
      </c>
      <c r="ES10" s="1162" cm="1" t="str">
        <f t="array" ref="ES10:ES10">ES26</f>
        <v>Отклонение, %</v>
      </c>
      <c r="ET10" s="1162" cm="1" t="str">
        <f t="array" ref="ET10:ET10">ET26</f>
        <v>Предложение организации</v>
      </c>
      <c r="EU10" s="1162" cm="1" t="str">
        <f t="array" ref="EU10:EU10">EU26</f>
        <v>Принято органом регулирования</v>
      </c>
      <c r="EV10" s="1162" cm="1" t="str">
        <f t="array" ref="EV10:EV10">EV26</f>
        <v>Отклонение, %</v>
      </c>
      <c r="EW10" s="1162" cm="1" t="str">
        <f t="array" ref="EW10:EW10">EW26</f>
        <v>Предложение организации</v>
      </c>
      <c r="EX10" s="1162" cm="1" t="str">
        <f t="array" ref="EX10:EX10">EX26</f>
        <v>Принято органом регулирования</v>
      </c>
      <c r="EY10" s="1162" cm="1" t="str">
        <f t="array" ref="EY10:EY10">EY26</f>
        <v>Отклонение, %</v>
      </c>
      <c r="EZ10" s="1162" cm="1" t="str">
        <f t="array" ref="EZ10:EZ10">EZ26</f>
        <v>Предложение организации</v>
      </c>
      <c r="FA10" s="1162" cm="1" t="str">
        <f t="array" ref="FA10:FA10">FA26</f>
        <v>Принято органом регулирования</v>
      </c>
      <c r="FB10" s="1162" cm="1" t="str">
        <f t="array" ref="FB10:FB10">FB26</f>
        <v>Отклонение, %</v>
      </c>
      <c r="FC10" s="1162" cm="1" t="str">
        <f t="array" ref="FC10:FC10">FC26</f>
        <v>Предложение организации</v>
      </c>
      <c r="FD10" s="1162" cm="1" t="str">
        <f t="array" ref="FD10:FD10">FD26</f>
        <v>Принято органом регулирования</v>
      </c>
      <c r="FE10" s="1162" cm="1" t="str">
        <f t="array" ref="FE10:FE10">FE26</f>
        <v>Отклонение, %</v>
      </c>
      <c r="FF10" s="1162" cm="1" t="str">
        <f t="array" ref="FF10:FF10">FF26</f>
        <v>Предложение организации</v>
      </c>
      <c r="FG10" s="1162" cm="1" t="str">
        <f t="array" ref="FG10:FG10">FG26</f>
        <v>Принято органом регулирования</v>
      </c>
      <c r="FH10" s="1162" cm="1" t="str">
        <f t="array" ref="FH10:FH10">FH26</f>
        <v>Отклонение, %</v>
      </c>
      <c r="FI10" s="1162" cm="1" t="str">
        <f t="array" ref="FI10:FI10">FI26</f>
        <v>Предложение организации</v>
      </c>
      <c r="FJ10" s="1162" cm="1" t="str">
        <f t="array" ref="FJ10:FJ10">FJ26</f>
        <v>Принято органом регулирования</v>
      </c>
      <c r="FK10" s="1162" cm="1" t="str">
        <f t="array" ref="FK10:FK10">FK26</f>
        <v>Отклонение, %</v>
      </c>
      <c r="FL10" s="1162" cm="1" t="str">
        <f t="array" ref="FL10:FL10">FL26</f>
        <v>Предложение организации</v>
      </c>
      <c r="FM10" s="1162" cm="1" t="str">
        <f t="array" ref="FM10:FM10">FM26</f>
        <v>Принято органом регулирования</v>
      </c>
      <c r="FN10" s="1162" cm="1" t="str">
        <f t="array" ref="FN10:FN10">FN26</f>
        <v>Отклонение, %</v>
      </c>
      <c r="FO10" s="1162" cm="1" t="str">
        <f t="array" ref="FO10:FO10">FO26</f>
        <v>Предложение организации</v>
      </c>
      <c r="FP10" s="1162" cm="1" t="str">
        <f t="array" ref="FP10:FP10">FP26</f>
        <v>Принято органом регулирования</v>
      </c>
      <c r="FQ10" s="1162" cm="1" t="str">
        <f t="array" ref="FQ10:FQ10">FQ26</f>
        <v>Отклонение, %</v>
      </c>
      <c r="FR10" s="1162" cm="1" t="str">
        <f t="array" ref="FR10:FR10">FR26</f>
        <v>Предложение организации</v>
      </c>
      <c r="FS10" s="1162" cm="1" t="str">
        <f t="array" ref="FS10:FS10">FS26</f>
        <v>Принято органом регулирования</v>
      </c>
      <c r="FT10" s="1162" cm="1" t="str">
        <f t="array" ref="FT10:FT10">FT26</f>
        <v>Отклонение, %</v>
      </c>
      <c r="FU10" s="1162" cm="1" t="str">
        <f t="array" ref="FU10:FU10">FU26</f>
        <v>Предложение организации</v>
      </c>
      <c r="FV10" s="1162" cm="1" t="str">
        <f t="array" ref="FV10:FV10">FV26</f>
        <v>Принято органом регулирования</v>
      </c>
      <c r="FW10" s="1162" cm="1" t="str">
        <f t="array" ref="FW10:FW10">FW26</f>
        <v>Отклонение, %</v>
      </c>
      <c r="FZ10" s="1184"/>
      <c r="GA10" s="1219"/>
      <c r="GB10" s="1219"/>
      <c r="GC10" s="1219"/>
      <c r="GD10" s="1219"/>
    </row>
    <row s="1282" customFormat="1" customHeight="1" ht="12" hidden="1">
      <c r="A11" s="1276" t="s">
        <v>103</v>
      </c>
      <c r="B11" s="1258"/>
      <c r="C11" s="1327"/>
      <c r="E11" s="1258"/>
      <c r="G11" s="1299"/>
      <c r="H11" s="1299"/>
      <c r="I11" s="1299"/>
      <c r="J11" s="1299"/>
      <c r="K11" s="1299"/>
      <c r="L11" s="1299"/>
      <c r="M11" s="1299"/>
      <c r="N11" s="1299"/>
      <c r="O11" s="1299"/>
      <c r="P11" s="1299"/>
      <c r="Q11" s="1317"/>
      <c r="R11" s="1311"/>
      <c r="S11" s="1299"/>
      <c r="AB11" s="1312"/>
      <c r="AC11" s="1312"/>
      <c r="AD11" s="1273" t="s">
        <v>1573</v>
      </c>
      <c r="AE11" s="1273" t="s">
        <v>1573</v>
      </c>
      <c r="AF11" s="1273" t="s">
        <v>1573</v>
      </c>
      <c r="AG11" s="1273" t="s">
        <v>1573</v>
      </c>
      <c r="AH11" s="1273" t="s">
        <v>1573</v>
      </c>
      <c r="AI11" s="1273" t="s">
        <v>1573</v>
      </c>
      <c r="AJ11" s="1273" t="s">
        <v>1573</v>
      </c>
      <c r="AK11" s="1273" t="s">
        <v>1573</v>
      </c>
      <c r="AL11" s="1273" t="s">
        <v>1573</v>
      </c>
      <c r="AM11" s="1273" t="s">
        <v>1573</v>
      </c>
      <c r="AN11" s="1273" t="s">
        <v>1573</v>
      </c>
      <c r="AO11" s="1273" t="s">
        <v>1573</v>
      </c>
      <c r="AP11" s="1273" t="s">
        <v>1573</v>
      </c>
      <c r="AQ11" s="1273" t="s">
        <v>1573</v>
      </c>
      <c r="AR11" s="1273" t="s">
        <v>1573</v>
      </c>
      <c r="AS11" s="1273" t="s">
        <v>1573</v>
      </c>
      <c r="AT11" s="1273" t="s">
        <v>1573</v>
      </c>
      <c r="AU11" s="1273" t="s">
        <v>1573</v>
      </c>
      <c r="AV11" s="1273" t="s">
        <v>1573</v>
      </c>
      <c r="AW11" s="1273" t="s">
        <v>1573</v>
      </c>
      <c r="AX11" s="1273" t="s">
        <v>1573</v>
      </c>
      <c r="AY11" s="1273" t="s">
        <v>1573</v>
      </c>
      <c r="AZ11" s="1273" t="s">
        <v>1573</v>
      </c>
      <c r="BA11" s="1273" t="s">
        <v>1573</v>
      </c>
      <c r="BB11" s="1273" t="s">
        <v>1573</v>
      </c>
      <c r="BC11" s="1273" t="s">
        <v>1573</v>
      </c>
      <c r="BD11" s="1273" t="s">
        <v>1573</v>
      </c>
      <c r="BE11" s="1273" t="s">
        <v>1573</v>
      </c>
      <c r="BF11" s="1273" t="s">
        <v>1573</v>
      </c>
      <c r="BG11" s="1273" t="s">
        <v>1573</v>
      </c>
      <c r="BH11" s="1273" t="s">
        <v>1573</v>
      </c>
      <c r="BI11" s="1273" t="s">
        <v>1573</v>
      </c>
      <c r="BJ11" s="1273" t="s">
        <v>1573</v>
      </c>
      <c r="BK11" s="1273" t="s">
        <v>1573</v>
      </c>
      <c r="BL11" s="1273" t="s">
        <v>1573</v>
      </c>
      <c r="BM11" s="1273" t="s">
        <v>1573</v>
      </c>
      <c r="BN11" s="1273" t="s">
        <v>1573</v>
      </c>
      <c r="BO11" s="1273" t="s">
        <v>1573</v>
      </c>
      <c r="BP11" s="1273" t="s">
        <v>1573</v>
      </c>
      <c r="BQ11" s="1273" t="s">
        <v>1573</v>
      </c>
      <c r="BR11" s="1273" t="s">
        <v>1573</v>
      </c>
      <c r="BS11" s="1273" t="s">
        <v>1573</v>
      </c>
      <c r="BT11" s="1273" t="s">
        <v>1573</v>
      </c>
      <c r="BU11" s="1273" t="s">
        <v>1573</v>
      </c>
      <c r="BV11" s="1273" t="s">
        <v>1573</v>
      </c>
      <c r="BW11" s="1273" t="s">
        <v>1573</v>
      </c>
      <c r="BX11" s="1273" t="s">
        <v>1573</v>
      </c>
      <c r="BY11" s="1273" t="s">
        <v>1573</v>
      </c>
      <c r="BZ11" s="1273" t="s">
        <v>1573</v>
      </c>
      <c r="CA11" s="1273" t="s">
        <v>1573</v>
      </c>
      <c r="CB11" s="1273" t="s">
        <v>1573</v>
      </c>
      <c r="CC11" s="1273" t="s">
        <v>1573</v>
      </c>
      <c r="CD11" s="1273" t="s">
        <v>1573</v>
      </c>
      <c r="CE11" s="1273" t="s">
        <v>1573</v>
      </c>
      <c r="CF11" s="1273" t="s">
        <v>1573</v>
      </c>
      <c r="CG11" s="1273" t="s">
        <v>1573</v>
      </c>
      <c r="CH11" s="1273" t="s">
        <v>1573</v>
      </c>
      <c r="CI11" s="1273" t="s">
        <v>1573</v>
      </c>
      <c r="CJ11" s="1273" t="s">
        <v>1573</v>
      </c>
      <c r="CK11" s="1273" t="s">
        <v>1573</v>
      </c>
      <c r="CL11" s="1273" t="s">
        <v>1573</v>
      </c>
      <c r="CM11" s="1273" t="s">
        <v>1573</v>
      </c>
      <c r="CN11" s="1273" t="s">
        <v>1573</v>
      </c>
      <c r="CO11" s="1273" t="s">
        <v>1573</v>
      </c>
      <c r="CP11" s="1273" t="s">
        <v>1573</v>
      </c>
      <c r="CQ11" s="1273" t="s">
        <v>1573</v>
      </c>
      <c r="CR11" s="1273" t="s">
        <v>1573</v>
      </c>
      <c r="CS11" s="1273" t="s">
        <v>1573</v>
      </c>
      <c r="CT11" s="1273" t="s">
        <v>1573</v>
      </c>
      <c r="CU11" s="1273" t="s">
        <v>1573</v>
      </c>
      <c r="CV11" s="1273" t="s">
        <v>1573</v>
      </c>
      <c r="CW11" s="1273" t="s">
        <v>1573</v>
      </c>
      <c r="CX11" s="1273" t="s">
        <v>1573</v>
      </c>
      <c r="CY11" s="1273" t="s">
        <v>1573</v>
      </c>
      <c r="CZ11" s="1273" t="s">
        <v>1573</v>
      </c>
      <c r="DA11" s="1273" t="s">
        <v>1573</v>
      </c>
      <c r="DB11" s="1273" t="s">
        <v>1573</v>
      </c>
      <c r="DC11" s="1273" t="s">
        <v>1573</v>
      </c>
      <c r="DD11" s="1273" t="s">
        <v>1573</v>
      </c>
      <c r="DE11" s="1273" t="s">
        <v>1573</v>
      </c>
      <c r="DF11" s="1273" t="s">
        <v>1573</v>
      </c>
      <c r="DG11" s="1273" t="s">
        <v>1573</v>
      </c>
      <c r="DH11" s="1273" t="s">
        <v>1573</v>
      </c>
      <c r="DI11" s="1273" t="s">
        <v>1573</v>
      </c>
      <c r="DJ11" s="1273" t="s">
        <v>1573</v>
      </c>
      <c r="DK11" s="1273" t="s">
        <v>1573</v>
      </c>
      <c r="DL11" s="1273" t="s">
        <v>1573</v>
      </c>
      <c r="DM11" s="1273" t="s">
        <v>1573</v>
      </c>
      <c r="DN11" s="1273" t="s">
        <v>1573</v>
      </c>
      <c r="DO11" s="1273" t="s">
        <v>1573</v>
      </c>
      <c r="DP11" s="1273" t="s">
        <v>1573</v>
      </c>
      <c r="DQ11" s="1273" t="s">
        <v>1573</v>
      </c>
      <c r="DR11" s="1273" t="s">
        <v>1573</v>
      </c>
      <c r="DS11" s="1273" t="s">
        <v>1573</v>
      </c>
      <c r="DT11" s="1273" t="s">
        <v>1573</v>
      </c>
      <c r="DU11" s="1273" t="s">
        <v>1573</v>
      </c>
      <c r="DV11" s="1273" t="s">
        <v>1573</v>
      </c>
      <c r="DW11" s="1273" t="s">
        <v>1573</v>
      </c>
      <c r="DX11" s="1273" t="s">
        <v>1573</v>
      </c>
      <c r="DY11" s="1273" t="s">
        <v>1573</v>
      </c>
      <c r="DZ11" s="1273" t="s">
        <v>1573</v>
      </c>
      <c r="EA11" s="1273" t="s">
        <v>1573</v>
      </c>
      <c r="EB11" s="1273" t="s">
        <v>1573</v>
      </c>
      <c r="EC11" s="1273" t="s">
        <v>1573</v>
      </c>
      <c r="ED11" s="1273" t="s">
        <v>1573</v>
      </c>
      <c r="EE11" s="1273" t="s">
        <v>1573</v>
      </c>
      <c r="EF11" s="1273" t="s">
        <v>1573</v>
      </c>
      <c r="EG11" s="1273" t="s">
        <v>1573</v>
      </c>
      <c r="EH11" s="1273" t="s">
        <v>1573</v>
      </c>
      <c r="EI11" s="1273" t="s">
        <v>1573</v>
      </c>
      <c r="EJ11" s="1273" t="s">
        <v>1573</v>
      </c>
      <c r="EK11" s="1273" t="s">
        <v>1573</v>
      </c>
      <c r="EL11" s="1273" t="s">
        <v>1573</v>
      </c>
      <c r="EM11" s="1273" t="s">
        <v>1573</v>
      </c>
      <c r="EN11" s="1273" t="s">
        <v>1573</v>
      </c>
      <c r="EO11" s="1273" t="s">
        <v>1573</v>
      </c>
      <c r="EP11" s="1273" t="s">
        <v>1573</v>
      </c>
      <c r="EQ11" s="1273" t="s">
        <v>1573</v>
      </c>
      <c r="ER11" s="1273" t="s">
        <v>1573</v>
      </c>
      <c r="ES11" s="1273" t="s">
        <v>1573</v>
      </c>
      <c r="ET11" s="1273" t="s">
        <v>1573</v>
      </c>
      <c r="EU11" s="1273" t="s">
        <v>1573</v>
      </c>
      <c r="EV11" s="1273" t="s">
        <v>1573</v>
      </c>
      <c r="EW11" s="1273" t="s">
        <v>1573</v>
      </c>
      <c r="EX11" s="1273" t="s">
        <v>1573</v>
      </c>
      <c r="EY11" s="1273" t="s">
        <v>1573</v>
      </c>
      <c r="EZ11" s="1273" t="s">
        <v>1573</v>
      </c>
      <c r="FA11" s="1273" t="s">
        <v>1573</v>
      </c>
      <c r="FB11" s="1273" t="s">
        <v>1573</v>
      </c>
      <c r="FC11" s="1273" t="s">
        <v>1573</v>
      </c>
      <c r="FD11" s="1273" t="s">
        <v>1573</v>
      </c>
      <c r="FE11" s="1273" t="s">
        <v>1573</v>
      </c>
      <c r="FF11" s="1273" t="s">
        <v>1573</v>
      </c>
      <c r="FG11" s="1273" t="s">
        <v>1573</v>
      </c>
      <c r="FH11" s="1273" t="s">
        <v>1573</v>
      </c>
      <c r="FI11" s="1273" t="s">
        <v>1573</v>
      </c>
      <c r="FJ11" s="1273" t="s">
        <v>1573</v>
      </c>
      <c r="FK11" s="1273" t="s">
        <v>1573</v>
      </c>
      <c r="FL11" s="1273" t="s">
        <v>1573</v>
      </c>
      <c r="FM11" s="1273" t="s">
        <v>1573</v>
      </c>
      <c r="FN11" s="1273" t="s">
        <v>1573</v>
      </c>
      <c r="FO11" s="1273" t="s">
        <v>1573</v>
      </c>
      <c r="FP11" s="1273" t="s">
        <v>1573</v>
      </c>
      <c r="FQ11" s="1273" t="s">
        <v>1573</v>
      </c>
      <c r="FR11" s="1273" t="s">
        <v>1573</v>
      </c>
      <c r="FS11" s="1273" t="s">
        <v>1573</v>
      </c>
      <c r="FT11" s="1273" t="s">
        <v>1573</v>
      </c>
      <c r="FU11" s="1273" t="s">
        <v>1573</v>
      </c>
      <c r="FV11" s="1273" t="s">
        <v>1573</v>
      </c>
      <c r="FW11" s="1273" t="s">
        <v>1573</v>
      </c>
      <c r="FZ11" s="1313"/>
      <c r="GA11" s="1313"/>
      <c r="GB11" s="1313"/>
      <c r="GC11" s="1313"/>
      <c r="GD11" s="1313"/>
    </row>
    <row s="1282" customFormat="1" customHeight="1" ht="12" hidden="1">
      <c r="A12" s="1276" t="s">
        <v>1574</v>
      </c>
      <c r="B12" s="1258"/>
      <c r="C12" s="1327"/>
      <c r="E12" s="1258"/>
      <c r="G12" s="1299"/>
      <c r="H12" s="1299"/>
      <c r="I12" s="1299"/>
      <c r="J12" s="1299"/>
      <c r="K12" s="1299"/>
      <c r="L12" s="1299"/>
      <c r="M12" s="1299"/>
      <c r="N12" s="1299"/>
      <c r="O12" s="1299"/>
      <c r="P12" s="1299"/>
      <c r="Q12" s="1317"/>
      <c r="R12" s="1311"/>
      <c r="S12" s="1299"/>
      <c r="AB12" s="1312"/>
      <c r="AC12" s="1312"/>
      <c r="AD12" s="1273" cm="1" t="str">
        <f t="array" ref="AD12:AD12">AD6</f>
        <v>2026</v>
      </c>
      <c r="AE12" s="1273" cm="1" t="str">
        <f t="array" ref="AE12:AE12">AE6</f>
        <v>2026</v>
      </c>
      <c r="AF12" s="1273" cm="1" t="str">
        <f t="array" ref="AF12:AF12">AF6</f>
        <v>2026</v>
      </c>
      <c r="AG12" s="1273" cm="1" t="str">
        <f t="array" ref="AG12:AG12">AG6</f>
        <v>2027</v>
      </c>
      <c r="AH12" s="1273" cm="1" t="str">
        <f t="array" ref="AH12:AH12">AH6</f>
        <v>2027</v>
      </c>
      <c r="AI12" s="1273" cm="1" t="str">
        <f t="array" ref="AI12:AI12">AI6</f>
        <v>2027</v>
      </c>
      <c r="AJ12" s="1273" cm="1" t="str">
        <f t="array" ref="AJ12:AJ12">AJ6</f>
        <v>2028</v>
      </c>
      <c r="AK12" s="1273" cm="1" t="str">
        <f t="array" ref="AK12:AK12">AK6</f>
        <v>2028</v>
      </c>
      <c r="AL12" s="1273" cm="1" t="str">
        <f t="array" ref="AL12:AL12">AL6</f>
        <v>2028</v>
      </c>
      <c r="AM12" s="1273" cm="1" t="str">
        <f t="array" ref="AM12:AM12">AM6</f>
        <v>2029</v>
      </c>
      <c r="AN12" s="1273" cm="1" t="str">
        <f t="array" ref="AN12:AN12">AN6</f>
        <v>2029</v>
      </c>
      <c r="AO12" s="1273" cm="1" t="str">
        <f t="array" ref="AO12:AO12">AO6</f>
        <v>2029</v>
      </c>
      <c r="AP12" s="1273" cm="1" t="str">
        <f t="array" ref="AP12:AP12">AP6</f>
        <v>2030</v>
      </c>
      <c r="AQ12" s="1273" cm="1" t="str">
        <f t="array" ref="AQ12:AQ12">AQ6</f>
        <v>2030</v>
      </c>
      <c r="AR12" s="1273" cm="1" t="str">
        <f t="array" ref="AR12:AR12">AR6</f>
        <v>2030</v>
      </c>
      <c r="AS12" s="1273" cm="1" t="str">
        <f t="array" ref="AS12:AS12">AS6</f>
        <v>2031</v>
      </c>
      <c r="AT12" s="1273" cm="1" t="str">
        <f t="array" ref="AT12:AT12">AT6</f>
        <v>2031</v>
      </c>
      <c r="AU12" s="1273" cm="1" t="str">
        <f t="array" ref="AU12:AU12">AU6</f>
        <v>2031</v>
      </c>
      <c r="AV12" s="1273" cm="1" t="str">
        <f t="array" ref="AV12:AV12">AV6</f>
        <v>2032</v>
      </c>
      <c r="AW12" s="1273" cm="1" t="str">
        <f t="array" ref="AW12:AW12">AW6</f>
        <v>2032</v>
      </c>
      <c r="AX12" s="1273" cm="1" t="str">
        <f t="array" ref="AX12:AX12">AX6</f>
        <v>2032</v>
      </c>
      <c r="AY12" s="1273" cm="1" t="str">
        <f t="array" ref="AY12:AY12">AY6</f>
        <v>2033</v>
      </c>
      <c r="AZ12" s="1273" cm="1" t="str">
        <f t="array" ref="AZ12:AZ12">AZ6</f>
        <v>2033</v>
      </c>
      <c r="BA12" s="1273" cm="1" t="str">
        <f t="array" ref="BA12:BA12">BA6</f>
        <v>2033</v>
      </c>
      <c r="BB12" s="1273" cm="1" t="str">
        <f t="array" ref="BB12:BB12">BB6</f>
        <v>2034</v>
      </c>
      <c r="BC12" s="1273" cm="1" t="str">
        <f t="array" ref="BC12:BC12">BC6</f>
        <v>2034</v>
      </c>
      <c r="BD12" s="1273" cm="1" t="str">
        <f t="array" ref="BD12:BD12">BD6</f>
        <v>2034</v>
      </c>
      <c r="BE12" s="1273" cm="1" t="str">
        <f t="array" ref="BE12:BE12">BE6</f>
        <v>2035</v>
      </c>
      <c r="BF12" s="1273" cm="1" t="str">
        <f t="array" ref="BF12:BF12">BF6</f>
        <v>2035</v>
      </c>
      <c r="BG12" s="1273" cm="1" t="str">
        <f t="array" ref="BG12:BG12">BG6</f>
        <v>2035</v>
      </c>
      <c r="BH12" s="1273" cm="1" t="str">
        <f t="array" ref="BH12:BH12">BH6</f>
        <v>2036</v>
      </c>
      <c r="BI12" s="1273" cm="1" t="str">
        <f t="array" ref="BI12:BI12">BI6</f>
        <v>2036</v>
      </c>
      <c r="BJ12" s="1273" cm="1" t="str">
        <f t="array" ref="BJ12:BJ12">BJ6</f>
        <v>2036</v>
      </c>
      <c r="BK12" s="1273" cm="1" t="str">
        <f t="array" ref="BK12:BK12">BK6</f>
        <v>2037</v>
      </c>
      <c r="BL12" s="1273" cm="1" t="str">
        <f t="array" ref="BL12:BL12">BL6</f>
        <v>2037</v>
      </c>
      <c r="BM12" s="1273" cm="1" t="str">
        <f t="array" ref="BM12:BM12">BM6</f>
        <v>2037</v>
      </c>
      <c r="BN12" s="1273" cm="1" t="str">
        <f t="array" ref="BN12:BN12">BN6</f>
        <v>2038</v>
      </c>
      <c r="BO12" s="1273" cm="1" t="str">
        <f t="array" ref="BO12:BO12">BO6</f>
        <v>2038</v>
      </c>
      <c r="BP12" s="1273" cm="1" t="str">
        <f t="array" ref="BP12:BP12">BP6</f>
        <v>2038</v>
      </c>
      <c r="BQ12" s="1273" cm="1" t="str">
        <f t="array" ref="BQ12:BQ12">BQ6</f>
        <v>2039</v>
      </c>
      <c r="BR12" s="1273" cm="1" t="str">
        <f t="array" ref="BR12:BR12">BR6</f>
        <v>2039</v>
      </c>
      <c r="BS12" s="1273" cm="1" t="str">
        <f t="array" ref="BS12:BS12">BS6</f>
        <v>2039</v>
      </c>
      <c r="BT12" s="1273" cm="1" t="str">
        <f t="array" ref="BT12:BT12">BT6</f>
        <v>2040</v>
      </c>
      <c r="BU12" s="1273" cm="1" t="str">
        <f t="array" ref="BU12:BU12">BU6</f>
        <v>2040</v>
      </c>
      <c r="BV12" s="1273" cm="1" t="str">
        <f t="array" ref="BV12:BV12">BV6</f>
        <v>2040</v>
      </c>
      <c r="BW12" s="1273" cm="1" t="str">
        <f t="array" ref="BW12:BW12">BW6</f>
        <v>2041</v>
      </c>
      <c r="BX12" s="1273" cm="1" t="str">
        <f t="array" ref="BX12:BX12">BX6</f>
        <v>2041</v>
      </c>
      <c r="BY12" s="1273" cm="1" t="str">
        <f t="array" ref="BY12:BY12">BY6</f>
        <v>2041</v>
      </c>
      <c r="BZ12" s="1273" cm="1" t="str">
        <f t="array" ref="BZ12:BZ12">BZ6</f>
        <v>2042</v>
      </c>
      <c r="CA12" s="1273" cm="1" t="str">
        <f t="array" ref="CA12:CA12">CA6</f>
        <v>2042</v>
      </c>
      <c r="CB12" s="1273" cm="1" t="str">
        <f t="array" ref="CB12:CB12">CB6</f>
        <v>2042</v>
      </c>
      <c r="CC12" s="1273" cm="1" t="str">
        <f t="array" ref="CC12:CC12">CC6</f>
        <v>2043</v>
      </c>
      <c r="CD12" s="1273" cm="1" t="str">
        <f t="array" ref="CD12:CD12">CD6</f>
        <v>2043</v>
      </c>
      <c r="CE12" s="1273" cm="1" t="str">
        <f t="array" ref="CE12:CE12">CE6</f>
        <v>2043</v>
      </c>
      <c r="CF12" s="1273" cm="1" t="str">
        <f t="array" ref="CF12:CF12">CF6</f>
        <v>2044</v>
      </c>
      <c r="CG12" s="1273" cm="1" t="str">
        <f t="array" ref="CG12:CG12">CG6</f>
        <v>2044</v>
      </c>
      <c r="CH12" s="1273" cm="1" t="str">
        <f t="array" ref="CH12:CH12">CH6</f>
        <v>2044</v>
      </c>
      <c r="CI12" s="1273" cm="1" t="str">
        <f t="array" ref="CI12:CI12">CI6</f>
        <v>2045</v>
      </c>
      <c r="CJ12" s="1273" cm="1" t="str">
        <f t="array" ref="CJ12:CJ12">CJ6</f>
        <v>2045</v>
      </c>
      <c r="CK12" s="1273" cm="1" t="str">
        <f t="array" ref="CK12:CK12">CK6</f>
        <v>2045</v>
      </c>
      <c r="CL12" s="1273" cm="1" t="str">
        <f t="array" ref="CL12:CL12">CL6</f>
        <v>2046</v>
      </c>
      <c r="CM12" s="1273" cm="1" t="str">
        <f t="array" ref="CM12:CM12">CM6</f>
        <v>2046</v>
      </c>
      <c r="CN12" s="1273" cm="1" t="str">
        <f t="array" ref="CN12:CN12">CN6</f>
        <v>2046</v>
      </c>
      <c r="CO12" s="1273" cm="1" t="str">
        <f t="array" ref="CO12:CO12">CO6</f>
        <v>2047</v>
      </c>
      <c r="CP12" s="1273" cm="1" t="str">
        <f t="array" ref="CP12:CP12">CP6</f>
        <v>2047</v>
      </c>
      <c r="CQ12" s="1273" cm="1" t="str">
        <f t="array" ref="CQ12:CQ12">CQ6</f>
        <v>2047</v>
      </c>
      <c r="CR12" s="1273" cm="1" t="str">
        <f t="array" ref="CR12:CR12">CR6</f>
        <v>2048</v>
      </c>
      <c r="CS12" s="1273" cm="1" t="str">
        <f t="array" ref="CS12:CS12">CS6</f>
        <v>2048</v>
      </c>
      <c r="CT12" s="1273" cm="1" t="str">
        <f t="array" ref="CT12:CT12">CT6</f>
        <v>2048</v>
      </c>
      <c r="CU12" s="1273" cm="1" t="str">
        <f t="array" ref="CU12:CU12">CU6</f>
        <v>2049</v>
      </c>
      <c r="CV12" s="1273" cm="1" t="str">
        <f t="array" ref="CV12:CV12">CV6</f>
        <v>2049</v>
      </c>
      <c r="CW12" s="1273" cm="1" t="str">
        <f t="array" ref="CW12:CW12">CW6</f>
        <v>2049</v>
      </c>
      <c r="CX12" s="1273" cm="1" t="str">
        <f t="array" ref="CX12:CX12">CX6</f>
        <v>2050</v>
      </c>
      <c r="CY12" s="1273" cm="1" t="str">
        <f t="array" ref="CY12:CY12">CY6</f>
        <v>2050</v>
      </c>
      <c r="CZ12" s="1273" cm="1" t="str">
        <f t="array" ref="CZ12:CZ12">CZ6</f>
        <v>2050</v>
      </c>
      <c r="DA12" s="1273" cm="1" t="str">
        <f t="array" ref="DA12:DA12">DA6</f>
        <v>2051</v>
      </c>
      <c r="DB12" s="1273" cm="1" t="str">
        <f t="array" ref="DB12:DB12">DB6</f>
        <v>2051</v>
      </c>
      <c r="DC12" s="1273" cm="1" t="str">
        <f t="array" ref="DC12:DC12">DC6</f>
        <v>2051</v>
      </c>
      <c r="DD12" s="1273" cm="1" t="str">
        <f t="array" ref="DD12:DD12">DD6</f>
        <v>2052</v>
      </c>
      <c r="DE12" s="1273" cm="1" t="str">
        <f t="array" ref="DE12:DE12">DE6</f>
        <v>2052</v>
      </c>
      <c r="DF12" s="1273" cm="1" t="str">
        <f t="array" ref="DF12:DF12">DF6</f>
        <v>2052</v>
      </c>
      <c r="DG12" s="1273" cm="1" t="str">
        <f t="array" ref="DG12:DG12">DG6</f>
        <v>2053</v>
      </c>
      <c r="DH12" s="1273" cm="1" t="str">
        <f t="array" ref="DH12:DH12">DH6</f>
        <v>2053</v>
      </c>
      <c r="DI12" s="1273" cm="1" t="str">
        <f t="array" ref="DI12:DI12">DI6</f>
        <v>2053</v>
      </c>
      <c r="DJ12" s="1273" cm="1" t="str">
        <f t="array" ref="DJ12:DJ12">DJ6</f>
        <v>2054</v>
      </c>
      <c r="DK12" s="1273" cm="1" t="str">
        <f t="array" ref="DK12:DK12">DK6</f>
        <v>2054</v>
      </c>
      <c r="DL12" s="1273" cm="1" t="str">
        <f t="array" ref="DL12:DL12">DL6</f>
        <v>2054</v>
      </c>
      <c r="DM12" s="1273" cm="1" t="str">
        <f t="array" ref="DM12:DM12">DM6</f>
        <v>2055</v>
      </c>
      <c r="DN12" s="1273" cm="1" t="str">
        <f t="array" ref="DN12:DN12">DN6</f>
        <v>2055</v>
      </c>
      <c r="DO12" s="1273" cm="1" t="str">
        <f t="array" ref="DO12:DO12">DO6</f>
        <v>2055</v>
      </c>
      <c r="DP12" s="1273" cm="1" t="str">
        <f t="array" ref="DP12:DP12">DP6</f>
        <v>2056</v>
      </c>
      <c r="DQ12" s="1273" cm="1" t="str">
        <f t="array" ref="DQ12:DQ12">DQ6</f>
        <v>2056</v>
      </c>
      <c r="DR12" s="1273" cm="1" t="str">
        <f t="array" ref="DR12:DR12">DR6</f>
        <v>2056</v>
      </c>
      <c r="DS12" s="1273" cm="1" t="str">
        <f t="array" ref="DS12:DS12">DS6</f>
        <v>2057</v>
      </c>
      <c r="DT12" s="1273" cm="1" t="str">
        <f t="array" ref="DT12:DT12">DT6</f>
        <v>2057</v>
      </c>
      <c r="DU12" s="1273" cm="1" t="str">
        <f t="array" ref="DU12:DU12">DU6</f>
        <v>2057</v>
      </c>
      <c r="DV12" s="1273" cm="1" t="str">
        <f t="array" ref="DV12:DV12">DV6</f>
        <v>2058</v>
      </c>
      <c r="DW12" s="1273" cm="1" t="str">
        <f t="array" ref="DW12:DW12">DW6</f>
        <v>2058</v>
      </c>
      <c r="DX12" s="1273" cm="1" t="str">
        <f t="array" ref="DX12:DX12">DX6</f>
        <v>2058</v>
      </c>
      <c r="DY12" s="1273" cm="1" t="str">
        <f t="array" ref="DY12:DY12">DY6</f>
        <v>2059</v>
      </c>
      <c r="DZ12" s="1273" cm="1" t="str">
        <f t="array" ref="DZ12:DZ12">DZ6</f>
        <v>2059</v>
      </c>
      <c r="EA12" s="1273" cm="1" t="str">
        <f t="array" ref="EA12:EA12">EA6</f>
        <v>2059</v>
      </c>
      <c r="EB12" s="1273" cm="1" t="str">
        <f t="array" ref="EB12:EB12">EB6</f>
        <v>2060</v>
      </c>
      <c r="EC12" s="1273" cm="1" t="str">
        <f t="array" ref="EC12:EC12">EC6</f>
        <v>2060</v>
      </c>
      <c r="ED12" s="1273" cm="1" t="str">
        <f t="array" ref="ED12:ED12">ED6</f>
        <v>2060</v>
      </c>
      <c r="EE12" s="1273" cm="1" t="str">
        <f t="array" ref="EE12:EE12">EE6</f>
        <v>2061</v>
      </c>
      <c r="EF12" s="1273" cm="1" t="str">
        <f t="array" ref="EF12:EF12">EF6</f>
        <v>2061</v>
      </c>
      <c r="EG12" s="1273" cm="1" t="str">
        <f t="array" ref="EG12:EG12">EG6</f>
        <v>2061</v>
      </c>
      <c r="EH12" s="1273" cm="1" t="str">
        <f t="array" ref="EH12:EH12">EH6</f>
        <v>2062</v>
      </c>
      <c r="EI12" s="1273" cm="1" t="str">
        <f t="array" ref="EI12:EI12">EI6</f>
        <v>2062</v>
      </c>
      <c r="EJ12" s="1273" cm="1" t="str">
        <f t="array" ref="EJ12:EJ12">EJ6</f>
        <v>2062</v>
      </c>
      <c r="EK12" s="1273" cm="1" t="str">
        <f t="array" ref="EK12:EK12">EK6</f>
        <v>2063</v>
      </c>
      <c r="EL12" s="1273" cm="1" t="str">
        <f t="array" ref="EL12:EL12">EL6</f>
        <v>2063</v>
      </c>
      <c r="EM12" s="1273" cm="1" t="str">
        <f t="array" ref="EM12:EM12">EM6</f>
        <v>2063</v>
      </c>
      <c r="EN12" s="1273" cm="1" t="str">
        <f t="array" ref="EN12:EN12">EN6</f>
        <v>2064</v>
      </c>
      <c r="EO12" s="1273" cm="1" t="str">
        <f t="array" ref="EO12:EO12">EO6</f>
        <v>2064</v>
      </c>
      <c r="EP12" s="1273" cm="1" t="str">
        <f t="array" ref="EP12:EP12">EP6</f>
        <v>2064</v>
      </c>
      <c r="EQ12" s="1273" cm="1" t="str">
        <f t="array" ref="EQ12:EQ12">EQ6</f>
        <v>2065</v>
      </c>
      <c r="ER12" s="1273" cm="1" t="str">
        <f t="array" ref="ER12:ER12">ER6</f>
        <v>2065</v>
      </c>
      <c r="ES12" s="1273" cm="1" t="str">
        <f t="array" ref="ES12:ES12">ES6</f>
        <v>2065</v>
      </c>
      <c r="ET12" s="1273" cm="1" t="str">
        <f t="array" ref="ET12:ET12">ET6</f>
        <v>2066</v>
      </c>
      <c r="EU12" s="1273" cm="1" t="str">
        <f t="array" ref="EU12:EU12">EU6</f>
        <v>2066</v>
      </c>
      <c r="EV12" s="1273" cm="1" t="str">
        <f t="array" ref="EV12:EV12">EV6</f>
        <v>2066</v>
      </c>
      <c r="EW12" s="1273" cm="1" t="str">
        <f t="array" ref="EW12:EW12">EW6</f>
        <v>2067</v>
      </c>
      <c r="EX12" s="1273" cm="1" t="str">
        <f t="array" ref="EX12:EX12">EX6</f>
        <v>2067</v>
      </c>
      <c r="EY12" s="1273" cm="1" t="str">
        <f t="array" ref="EY12:EY12">EY6</f>
        <v>2067</v>
      </c>
      <c r="EZ12" s="1273" cm="1" t="str">
        <f t="array" ref="EZ12:EZ12">EZ6</f>
        <v>2068</v>
      </c>
      <c r="FA12" s="1273" cm="1" t="str">
        <f t="array" ref="FA12:FA12">FA6</f>
        <v>2068</v>
      </c>
      <c r="FB12" s="1273" cm="1" t="str">
        <f t="array" ref="FB12:FB12">FB6</f>
        <v>2068</v>
      </c>
      <c r="FC12" s="1273" cm="1" t="str">
        <f t="array" ref="FC12:FC12">FC6</f>
        <v>2069</v>
      </c>
      <c r="FD12" s="1273" cm="1" t="str">
        <f t="array" ref="FD12:FD12">FD6</f>
        <v>2069</v>
      </c>
      <c r="FE12" s="1273" cm="1" t="str">
        <f t="array" ref="FE12:FE12">FE6</f>
        <v>2069</v>
      </c>
      <c r="FF12" s="1273" cm="1" t="str">
        <f t="array" ref="FF12:FF12">FF6</f>
        <v>2070</v>
      </c>
      <c r="FG12" s="1273" cm="1" t="str">
        <f t="array" ref="FG12:FG12">FG6</f>
        <v>2070</v>
      </c>
      <c r="FH12" s="1273" cm="1" t="str">
        <f t="array" ref="FH12:FH12">FH6</f>
        <v>2070</v>
      </c>
      <c r="FI12" s="1273" cm="1" t="str">
        <f t="array" ref="FI12:FI12">FI6</f>
        <v>2071</v>
      </c>
      <c r="FJ12" s="1273" cm="1" t="str">
        <f t="array" ref="FJ12:FJ12">FJ6</f>
        <v>2071</v>
      </c>
      <c r="FK12" s="1273" cm="1" t="str">
        <f t="array" ref="FK12:FK12">FK6</f>
        <v>2071</v>
      </c>
      <c r="FL12" s="1273" cm="1" t="str">
        <f t="array" ref="FL12:FL12">FL6</f>
        <v>2072</v>
      </c>
      <c r="FM12" s="1273" cm="1" t="str">
        <f t="array" ref="FM12:FM12">FM6</f>
        <v>2072</v>
      </c>
      <c r="FN12" s="1273" cm="1" t="str">
        <f t="array" ref="FN12:FN12">FN6</f>
        <v>2072</v>
      </c>
      <c r="FO12" s="1273" cm="1" t="str">
        <f t="array" ref="FO12:FO12">FO6</f>
        <v>2073</v>
      </c>
      <c r="FP12" s="1273" cm="1" t="str">
        <f t="array" ref="FP12:FP12">FP6</f>
        <v>2073</v>
      </c>
      <c r="FQ12" s="1273" cm="1" t="str">
        <f t="array" ref="FQ12:FQ12">FQ6</f>
        <v>2073</v>
      </c>
      <c r="FR12" s="1273" cm="1" t="str">
        <f t="array" ref="FR12:FR12">FR6</f>
        <v>2074</v>
      </c>
      <c r="FS12" s="1273" cm="1" t="str">
        <f t="array" ref="FS12:FS12">FS6</f>
        <v>2074</v>
      </c>
      <c r="FT12" s="1273" cm="1" t="str">
        <f t="array" ref="FT12:FT12">FT6</f>
        <v>2074</v>
      </c>
      <c r="FU12" s="1273" cm="1" t="str">
        <f t="array" ref="FU12:FU12">FU6</f>
        <v>2075</v>
      </c>
      <c r="FV12" s="1273" cm="1" t="str">
        <f t="array" ref="FV12:FV12">FV6</f>
        <v>2075</v>
      </c>
      <c r="FW12" s="1273" cm="1" t="str">
        <f t="array" ref="FW12:FW12">FW6</f>
        <v>2075</v>
      </c>
      <c r="FZ12" s="1313"/>
      <c r="GA12" s="1313"/>
      <c r="GB12" s="1313"/>
      <c r="GC12" s="1313"/>
      <c r="GD12" s="1313"/>
    </row>
    <row s="1282" customFormat="1" customHeight="1" ht="12" hidden="1">
      <c r="A13" s="1276" t="s">
        <v>1575</v>
      </c>
      <c r="B13" s="1258"/>
      <c r="C13" s="1327"/>
      <c r="E13" s="1258"/>
      <c r="G13" s="1299"/>
      <c r="H13" s="1299"/>
      <c r="I13" s="1299"/>
      <c r="J13" s="1299"/>
      <c r="K13" s="1299"/>
      <c r="L13" s="1299"/>
      <c r="M13" s="1299"/>
      <c r="N13" s="1299"/>
      <c r="O13" s="1299"/>
      <c r="P13" s="1299"/>
      <c r="Q13" s="1317"/>
      <c r="R13" s="1311"/>
      <c r="S13" s="1299"/>
      <c r="AB13" s="1312"/>
      <c r="AC13" s="1312"/>
      <c r="AD13" s="1273" t="s">
        <v>1577</v>
      </c>
      <c r="AE13" s="1273" t="s">
        <v>1576</v>
      </c>
      <c r="AF13" s="1273" t="s">
        <v>1578</v>
      </c>
      <c r="AG13" s="1273" t="s">
        <v>1577</v>
      </c>
      <c r="AH13" s="1273" t="s">
        <v>1576</v>
      </c>
      <c r="AI13" s="1273" t="s">
        <v>1578</v>
      </c>
      <c r="AJ13" s="1273" t="s">
        <v>1577</v>
      </c>
      <c r="AK13" s="1273" t="s">
        <v>1576</v>
      </c>
      <c r="AL13" s="1273" t="s">
        <v>1578</v>
      </c>
      <c r="AM13" s="1273" t="s">
        <v>1577</v>
      </c>
      <c r="AN13" s="1273" t="s">
        <v>1576</v>
      </c>
      <c r="AO13" s="1273" t="s">
        <v>1578</v>
      </c>
      <c r="AP13" s="1273" t="s">
        <v>1577</v>
      </c>
      <c r="AQ13" s="1273" t="s">
        <v>1576</v>
      </c>
      <c r="AR13" s="1273" t="s">
        <v>1578</v>
      </c>
      <c r="AS13" s="1273" t="s">
        <v>1577</v>
      </c>
      <c r="AT13" s="1273" t="s">
        <v>1576</v>
      </c>
      <c r="AU13" s="1273" t="s">
        <v>1578</v>
      </c>
      <c r="AV13" s="1273" t="s">
        <v>1577</v>
      </c>
      <c r="AW13" s="1273" t="s">
        <v>1576</v>
      </c>
      <c r="AX13" s="1273" t="s">
        <v>1578</v>
      </c>
      <c r="AY13" s="1273" t="s">
        <v>1577</v>
      </c>
      <c r="AZ13" s="1273" t="s">
        <v>1576</v>
      </c>
      <c r="BA13" s="1273" t="s">
        <v>1578</v>
      </c>
      <c r="BB13" s="1273" t="s">
        <v>1577</v>
      </c>
      <c r="BC13" s="1273" t="s">
        <v>1576</v>
      </c>
      <c r="BD13" s="1273" t="s">
        <v>1578</v>
      </c>
      <c r="BE13" s="1273" t="s">
        <v>1577</v>
      </c>
      <c r="BF13" s="1273" t="s">
        <v>1576</v>
      </c>
      <c r="BG13" s="1273" t="s">
        <v>1578</v>
      </c>
      <c r="BH13" s="1273" t="s">
        <v>1577</v>
      </c>
      <c r="BI13" s="1273" t="s">
        <v>1576</v>
      </c>
      <c r="BJ13" s="1273" t="s">
        <v>1578</v>
      </c>
      <c r="BK13" s="1273" t="s">
        <v>1577</v>
      </c>
      <c r="BL13" s="1273" t="s">
        <v>1576</v>
      </c>
      <c r="BM13" s="1273" t="s">
        <v>1578</v>
      </c>
      <c r="BN13" s="1273" t="s">
        <v>1577</v>
      </c>
      <c r="BO13" s="1273" t="s">
        <v>1576</v>
      </c>
      <c r="BP13" s="1273" t="s">
        <v>1578</v>
      </c>
      <c r="BQ13" s="1273" t="s">
        <v>1577</v>
      </c>
      <c r="BR13" s="1273" t="s">
        <v>1576</v>
      </c>
      <c r="BS13" s="1273" t="s">
        <v>1578</v>
      </c>
      <c r="BT13" s="1273" t="s">
        <v>1577</v>
      </c>
      <c r="BU13" s="1273" t="s">
        <v>1576</v>
      </c>
      <c r="BV13" s="1273" t="s">
        <v>1578</v>
      </c>
      <c r="BW13" s="1273" t="s">
        <v>1577</v>
      </c>
      <c r="BX13" s="1273" t="s">
        <v>1576</v>
      </c>
      <c r="BY13" s="1273" t="s">
        <v>1578</v>
      </c>
      <c r="BZ13" s="1273" t="s">
        <v>1577</v>
      </c>
      <c r="CA13" s="1273" t="s">
        <v>1576</v>
      </c>
      <c r="CB13" s="1273" t="s">
        <v>1578</v>
      </c>
      <c r="CC13" s="1273" t="s">
        <v>1577</v>
      </c>
      <c r="CD13" s="1273" t="s">
        <v>1576</v>
      </c>
      <c r="CE13" s="1273" t="s">
        <v>1578</v>
      </c>
      <c r="CF13" s="1273" t="s">
        <v>1577</v>
      </c>
      <c r="CG13" s="1273" t="s">
        <v>1576</v>
      </c>
      <c r="CH13" s="1273" t="s">
        <v>1578</v>
      </c>
      <c r="CI13" s="1273" t="s">
        <v>1577</v>
      </c>
      <c r="CJ13" s="1273" t="s">
        <v>1576</v>
      </c>
      <c r="CK13" s="1273" t="s">
        <v>1578</v>
      </c>
      <c r="CL13" s="1273" t="s">
        <v>1577</v>
      </c>
      <c r="CM13" s="1273" t="s">
        <v>1576</v>
      </c>
      <c r="CN13" s="1273" t="s">
        <v>1578</v>
      </c>
      <c r="CO13" s="1273" t="s">
        <v>1577</v>
      </c>
      <c r="CP13" s="1273" t="s">
        <v>1576</v>
      </c>
      <c r="CQ13" s="1273" t="s">
        <v>1578</v>
      </c>
      <c r="CR13" s="1273" t="s">
        <v>1577</v>
      </c>
      <c r="CS13" s="1273" t="s">
        <v>1576</v>
      </c>
      <c r="CT13" s="1273" t="s">
        <v>1578</v>
      </c>
      <c r="CU13" s="1273" t="s">
        <v>1577</v>
      </c>
      <c r="CV13" s="1273" t="s">
        <v>1576</v>
      </c>
      <c r="CW13" s="1273" t="s">
        <v>1578</v>
      </c>
      <c r="CX13" s="1273" t="s">
        <v>1577</v>
      </c>
      <c r="CY13" s="1273" t="s">
        <v>1576</v>
      </c>
      <c r="CZ13" s="1273" t="s">
        <v>1578</v>
      </c>
      <c r="DA13" s="1273" t="s">
        <v>1577</v>
      </c>
      <c r="DB13" s="1273" t="s">
        <v>1576</v>
      </c>
      <c r="DC13" s="1273" t="s">
        <v>1578</v>
      </c>
      <c r="DD13" s="1273" t="s">
        <v>1577</v>
      </c>
      <c r="DE13" s="1273" t="s">
        <v>1576</v>
      </c>
      <c r="DF13" s="1273" t="s">
        <v>1578</v>
      </c>
      <c r="DG13" s="1273" t="s">
        <v>1577</v>
      </c>
      <c r="DH13" s="1273" t="s">
        <v>1576</v>
      </c>
      <c r="DI13" s="1273" t="s">
        <v>1578</v>
      </c>
      <c r="DJ13" s="1273" t="s">
        <v>1577</v>
      </c>
      <c r="DK13" s="1273" t="s">
        <v>1576</v>
      </c>
      <c r="DL13" s="1273" t="s">
        <v>1578</v>
      </c>
      <c r="DM13" s="1273" t="s">
        <v>1577</v>
      </c>
      <c r="DN13" s="1273" t="s">
        <v>1576</v>
      </c>
      <c r="DO13" s="1273" t="s">
        <v>1578</v>
      </c>
      <c r="DP13" s="1273" t="s">
        <v>1577</v>
      </c>
      <c r="DQ13" s="1273" t="s">
        <v>1576</v>
      </c>
      <c r="DR13" s="1273" t="s">
        <v>1578</v>
      </c>
      <c r="DS13" s="1273" t="s">
        <v>1577</v>
      </c>
      <c r="DT13" s="1273" t="s">
        <v>1576</v>
      </c>
      <c r="DU13" s="1273" t="s">
        <v>1578</v>
      </c>
      <c r="DV13" s="1273" t="s">
        <v>1577</v>
      </c>
      <c r="DW13" s="1273" t="s">
        <v>1576</v>
      </c>
      <c r="DX13" s="1273" t="s">
        <v>1578</v>
      </c>
      <c r="DY13" s="1273" t="s">
        <v>1577</v>
      </c>
      <c r="DZ13" s="1273" t="s">
        <v>1576</v>
      </c>
      <c r="EA13" s="1273" t="s">
        <v>1578</v>
      </c>
      <c r="EB13" s="1273" t="s">
        <v>1577</v>
      </c>
      <c r="EC13" s="1273" t="s">
        <v>1576</v>
      </c>
      <c r="ED13" s="1273" t="s">
        <v>1578</v>
      </c>
      <c r="EE13" s="1273" t="s">
        <v>1577</v>
      </c>
      <c r="EF13" s="1273" t="s">
        <v>1576</v>
      </c>
      <c r="EG13" s="1273" t="s">
        <v>1578</v>
      </c>
      <c r="EH13" s="1273" t="s">
        <v>1577</v>
      </c>
      <c r="EI13" s="1273" t="s">
        <v>1576</v>
      </c>
      <c r="EJ13" s="1273" t="s">
        <v>1578</v>
      </c>
      <c r="EK13" s="1273" t="s">
        <v>1577</v>
      </c>
      <c r="EL13" s="1273" t="s">
        <v>1576</v>
      </c>
      <c r="EM13" s="1273" t="s">
        <v>1578</v>
      </c>
      <c r="EN13" s="1273" t="s">
        <v>1577</v>
      </c>
      <c r="EO13" s="1273" t="s">
        <v>1576</v>
      </c>
      <c r="EP13" s="1273" t="s">
        <v>1578</v>
      </c>
      <c r="EQ13" s="1273" t="s">
        <v>1577</v>
      </c>
      <c r="ER13" s="1273" t="s">
        <v>1576</v>
      </c>
      <c r="ES13" s="1273" t="s">
        <v>1578</v>
      </c>
      <c r="ET13" s="1273" t="s">
        <v>1577</v>
      </c>
      <c r="EU13" s="1273" t="s">
        <v>1576</v>
      </c>
      <c r="EV13" s="1273" t="s">
        <v>1578</v>
      </c>
      <c r="EW13" s="1273" t="s">
        <v>1577</v>
      </c>
      <c r="EX13" s="1273" t="s">
        <v>1576</v>
      </c>
      <c r="EY13" s="1273" t="s">
        <v>1578</v>
      </c>
      <c r="EZ13" s="1273" t="s">
        <v>1577</v>
      </c>
      <c r="FA13" s="1273" t="s">
        <v>1576</v>
      </c>
      <c r="FB13" s="1273" t="s">
        <v>1578</v>
      </c>
      <c r="FC13" s="1273" t="s">
        <v>1577</v>
      </c>
      <c r="FD13" s="1273" t="s">
        <v>1576</v>
      </c>
      <c r="FE13" s="1273" t="s">
        <v>1578</v>
      </c>
      <c r="FF13" s="1273" t="s">
        <v>1577</v>
      </c>
      <c r="FG13" s="1273" t="s">
        <v>1576</v>
      </c>
      <c r="FH13" s="1273" t="s">
        <v>1578</v>
      </c>
      <c r="FI13" s="1273" t="s">
        <v>1577</v>
      </c>
      <c r="FJ13" s="1273" t="s">
        <v>1576</v>
      </c>
      <c r="FK13" s="1273" t="s">
        <v>1578</v>
      </c>
      <c r="FL13" s="1273" t="s">
        <v>1577</v>
      </c>
      <c r="FM13" s="1273" t="s">
        <v>1576</v>
      </c>
      <c r="FN13" s="1273" t="s">
        <v>1578</v>
      </c>
      <c r="FO13" s="1273" t="s">
        <v>1577</v>
      </c>
      <c r="FP13" s="1273" t="s">
        <v>1576</v>
      </c>
      <c r="FQ13" s="1273" t="s">
        <v>1578</v>
      </c>
      <c r="FR13" s="1273" t="s">
        <v>1577</v>
      </c>
      <c r="FS13" s="1273" t="s">
        <v>1576</v>
      </c>
      <c r="FT13" s="1273" t="s">
        <v>1578</v>
      </c>
      <c r="FU13" s="1273" t="s">
        <v>1577</v>
      </c>
      <c r="FV13" s="1273" t="s">
        <v>1576</v>
      </c>
      <c r="FW13" s="1273" t="s">
        <v>1578</v>
      </c>
      <c r="FZ13" s="1313"/>
      <c r="GA13" s="1313"/>
      <c r="GB13" s="1313"/>
      <c r="GC13" s="1313"/>
      <c r="GD13" s="1313"/>
    </row>
    <row s="1387" customFormat="1" customHeight="1" ht="12" hidden="1">
      <c r="A14" s="1215" t="s">
        <v>384</v>
      </c>
      <c r="B14" s="1216"/>
      <c r="C14" s="1325"/>
      <c r="D14" s="1294"/>
      <c r="E14" s="1216"/>
      <c r="F14" s="1217"/>
      <c r="G14" s="1217"/>
      <c r="H14" s="1217"/>
      <c r="I14" s="1217"/>
      <c r="J14" s="1282"/>
      <c r="K14" s="1282"/>
      <c r="L14" s="1282"/>
      <c r="M14" s="1282"/>
      <c r="N14" s="1282"/>
      <c r="O14" s="1282"/>
      <c r="P14" s="1282"/>
      <c r="Q14" s="1282"/>
      <c r="R14" s="1218"/>
      <c r="S14" s="1217"/>
      <c r="T14" s="1217"/>
      <c r="U14" s="1217"/>
      <c r="V14" s="1217"/>
      <c r="W14" s="1217"/>
      <c r="X14" s="1217"/>
      <c r="Y14" s="1217"/>
      <c r="Z14" s="1217"/>
      <c r="AA14" s="1217"/>
      <c r="AB14" s="1217" t="s">
        <v>375</v>
      </c>
      <c r="AC14" s="1217"/>
      <c r="AD14" s="1217"/>
      <c r="AE14" s="1217"/>
      <c r="AF14" s="1217"/>
      <c r="AG14" s="1217"/>
      <c r="AH14" s="1217"/>
      <c r="AI14" s="1217"/>
      <c r="AJ14" s="1217"/>
      <c r="AK14" s="1217"/>
      <c r="AL14" s="1217"/>
      <c r="AM14" s="1217"/>
      <c r="AN14" s="1217"/>
      <c r="AO14" s="1217"/>
      <c r="AP14" s="1217"/>
      <c r="AQ14" s="1217"/>
      <c r="AR14" s="1217"/>
      <c r="AS14" s="1217"/>
      <c r="AT14" s="1217"/>
      <c r="AU14" s="1217"/>
      <c r="AV14" s="1217"/>
      <c r="AW14" s="1217"/>
      <c r="AX14" s="1217"/>
      <c r="AY14" s="1217"/>
      <c r="AZ14" s="1217"/>
      <c r="BA14" s="1217"/>
      <c r="BB14" s="1217"/>
      <c r="BC14" s="1217"/>
      <c r="BD14" s="1217"/>
      <c r="BE14" s="1217"/>
      <c r="BF14" s="1217"/>
      <c r="BG14" s="1217"/>
      <c r="BH14" s="1217"/>
      <c r="BI14" s="1217"/>
      <c r="BJ14" s="1217"/>
      <c r="BK14" s="1217"/>
      <c r="BL14" s="1217"/>
      <c r="BM14" s="1217"/>
      <c r="BN14" s="1217"/>
      <c r="BO14" s="1217"/>
      <c r="BP14" s="1217"/>
      <c r="BQ14" s="1217"/>
      <c r="BR14" s="1217"/>
      <c r="BS14" s="1217"/>
      <c r="BT14" s="1217"/>
      <c r="BU14" s="1217"/>
      <c r="BV14" s="1217"/>
      <c r="BW14" s="1217"/>
      <c r="BX14" s="1217"/>
      <c r="BY14" s="1217"/>
      <c r="BZ14" s="1217"/>
      <c r="CA14" s="1217"/>
      <c r="CB14" s="1217"/>
      <c r="CC14" s="1217"/>
      <c r="CD14" s="1217"/>
      <c r="CE14" s="1217"/>
      <c r="CF14" s="1217"/>
      <c r="CG14" s="1217"/>
      <c r="CH14" s="1217"/>
      <c r="CI14" s="1217"/>
      <c r="CJ14" s="1217"/>
      <c r="CK14" s="1217"/>
      <c r="CL14" s="1217"/>
      <c r="CM14" s="1217"/>
      <c r="CN14" s="1217"/>
      <c r="CO14" s="1217"/>
      <c r="CP14" s="1217"/>
      <c r="CQ14" s="1217"/>
      <c r="CR14" s="1217"/>
      <c r="CS14" s="1217"/>
      <c r="CT14" s="1217"/>
      <c r="CU14" s="1217"/>
      <c r="CV14" s="1217"/>
      <c r="CW14" s="1217"/>
      <c r="CX14" s="1217"/>
      <c r="CY14" s="1217"/>
      <c r="CZ14" s="1217"/>
      <c r="DA14" s="1217"/>
      <c r="DB14" s="1217"/>
      <c r="DC14" s="1217"/>
      <c r="DD14" s="1217"/>
      <c r="DE14" s="1217"/>
      <c r="DF14" s="1217"/>
      <c r="DG14" s="1217"/>
      <c r="DH14" s="1217"/>
      <c r="DI14" s="1217"/>
      <c r="DJ14" s="1217"/>
      <c r="DK14" s="1217"/>
      <c r="DL14" s="1217"/>
      <c r="DM14" s="1217"/>
      <c r="DN14" s="1217"/>
      <c r="DO14" s="1217"/>
      <c r="DP14" s="1217"/>
      <c r="DQ14" s="1217"/>
      <c r="DR14" s="1217"/>
      <c r="DS14" s="1217"/>
      <c r="DT14" s="1217"/>
      <c r="DU14" s="1217"/>
      <c r="DV14" s="1217"/>
      <c r="DW14" s="1217"/>
      <c r="DX14" s="1217"/>
      <c r="DY14" s="1217"/>
      <c r="DZ14" s="1217"/>
      <c r="EA14" s="1217"/>
      <c r="EB14" s="1217"/>
      <c r="EC14" s="1217"/>
      <c r="ED14" s="1217"/>
      <c r="EE14" s="1217"/>
      <c r="EF14" s="1217"/>
      <c r="EG14" s="1217"/>
      <c r="EH14" s="1217"/>
      <c r="EI14" s="1217"/>
      <c r="EJ14" s="1217"/>
      <c r="EK14" s="1217"/>
      <c r="EL14" s="1217"/>
      <c r="EM14" s="1217"/>
      <c r="EN14" s="1217"/>
      <c r="EO14" s="1217"/>
      <c r="EP14" s="1217"/>
      <c r="EQ14" s="1217"/>
      <c r="ER14" s="1217"/>
      <c r="ES14" s="1217"/>
      <c r="ET14" s="1217"/>
      <c r="EU14" s="1217"/>
      <c r="EV14" s="1217"/>
      <c r="EW14" s="1217"/>
      <c r="EX14" s="1217"/>
      <c r="EY14" s="1217"/>
      <c r="EZ14" s="1217"/>
      <c r="FA14" s="1217"/>
      <c r="FB14" s="1217"/>
      <c r="FC14" s="1217"/>
      <c r="FD14" s="1217"/>
      <c r="FE14" s="1217"/>
      <c r="FF14" s="1217"/>
      <c r="FG14" s="1217"/>
      <c r="FH14" s="1217"/>
      <c r="FI14" s="1217"/>
      <c r="FJ14" s="1217"/>
      <c r="FK14" s="1217"/>
      <c r="FL14" s="1217"/>
      <c r="FM14" s="1217"/>
      <c r="FN14" s="1217"/>
      <c r="FO14" s="1217"/>
      <c r="FP14" s="1217"/>
      <c r="FQ14" s="1217"/>
      <c r="FR14" s="1217"/>
      <c r="FS14" s="1217"/>
      <c r="FT14" s="1217"/>
      <c r="FU14" s="1217"/>
      <c r="FV14" s="1217"/>
      <c r="FW14" s="1217"/>
      <c r="FX14" s="1217"/>
      <c r="FY14" s="1217"/>
      <c r="FZ14" s="1219"/>
      <c r="GA14" s="1219"/>
      <c r="GB14" s="1219"/>
      <c r="GC14" s="1219"/>
      <c r="GD14" s="1219"/>
    </row>
    <row s="1582" customFormat="1" customHeight="1" ht="12" hidden="1">
      <c r="B15" s="788"/>
      <c r="C15" s="1325"/>
      <c r="D15" s="1294"/>
      <c r="E15" s="797"/>
      <c r="G15" s="213"/>
      <c r="H15" s="213"/>
      <c r="I15" s="213"/>
      <c r="J15" s="1299"/>
      <c r="K15" s="1299"/>
      <c r="L15" s="1299"/>
      <c r="M15" s="1299"/>
      <c r="N15" s="1299"/>
      <c r="O15" s="1299"/>
      <c r="P15" s="1299"/>
      <c r="Q15" s="1317"/>
      <c r="R15" s="739"/>
      <c r="S15" s="213"/>
      <c r="AB15" s="171"/>
      <c r="AC15" s="171"/>
      <c r="AG15" s="1582"/>
      <c r="AH15" s="1582"/>
      <c r="AI15" s="1582"/>
      <c r="AJ15" s="1582"/>
      <c r="AK15" s="1582"/>
      <c r="AL15" s="1582"/>
      <c r="AM15" s="1582"/>
      <c r="AN15" s="1582"/>
      <c r="AO15" s="1582"/>
      <c r="AP15" s="1582"/>
      <c r="AQ15" s="1582"/>
      <c r="AR15" s="1582"/>
      <c r="AS15" s="1582"/>
      <c r="AT15" s="1582"/>
      <c r="AU15" s="1582"/>
      <c r="AV15" s="1582"/>
      <c r="AW15" s="1582"/>
      <c r="AX15" s="1582"/>
      <c r="AY15" s="1582"/>
      <c r="AZ15" s="1582"/>
      <c r="BA15" s="1582"/>
      <c r="BB15" s="1582"/>
      <c r="BC15" s="1582"/>
      <c r="BD15" s="1582"/>
      <c r="BE15" s="1582"/>
      <c r="BF15" s="1582"/>
      <c r="BG15" s="1582"/>
      <c r="BH15" s="1582"/>
      <c r="BI15" s="1582"/>
      <c r="BJ15" s="1582"/>
      <c r="BK15" s="1582"/>
      <c r="BL15" s="1582"/>
      <c r="BM15" s="1582"/>
      <c r="BN15" s="1582"/>
      <c r="BO15" s="1582"/>
      <c r="BP15" s="1582"/>
      <c r="BQ15" s="1582"/>
      <c r="BR15" s="1582"/>
      <c r="BS15" s="1582"/>
      <c r="BT15" s="1582"/>
      <c r="BU15" s="1582"/>
      <c r="BV15" s="1582"/>
      <c r="BW15" s="1582"/>
      <c r="BX15" s="1582"/>
      <c r="BY15" s="1582"/>
      <c r="BZ15" s="1582"/>
      <c r="CA15" s="1582"/>
      <c r="CB15" s="1582"/>
      <c r="CC15" s="1582"/>
      <c r="CD15" s="1582"/>
      <c r="CE15" s="1582"/>
      <c r="CF15" s="1582"/>
      <c r="CG15" s="1582"/>
      <c r="CH15" s="1582"/>
      <c r="CI15" s="1582"/>
      <c r="CJ15" s="1582"/>
      <c r="CK15" s="1582"/>
      <c r="CL15" s="1582"/>
      <c r="CM15" s="1582"/>
      <c r="CN15" s="1582"/>
      <c r="CO15" s="1582"/>
      <c r="CP15" s="1582"/>
      <c r="CQ15" s="1582"/>
      <c r="CR15" s="1582"/>
      <c r="CS15" s="1582"/>
      <c r="CT15" s="1582"/>
      <c r="CU15" s="1582"/>
      <c r="CV15" s="1582"/>
      <c r="CW15" s="1582"/>
      <c r="CX15" s="1582"/>
      <c r="CY15" s="1582"/>
      <c r="CZ15" s="1582"/>
      <c r="DA15" s="1582"/>
      <c r="DB15" s="1582"/>
      <c r="DC15" s="1582"/>
      <c r="DD15" s="1582"/>
      <c r="DE15" s="1582"/>
      <c r="DF15" s="1582"/>
      <c r="DG15" s="1582"/>
      <c r="DH15" s="1582"/>
      <c r="DI15" s="1582"/>
      <c r="DJ15" s="1582"/>
      <c r="DK15" s="1582"/>
      <c r="DL15" s="1582"/>
      <c r="DM15" s="1582"/>
      <c r="DN15" s="1582"/>
      <c r="DO15" s="1582"/>
      <c r="DP15" s="1582"/>
      <c r="DQ15" s="1582"/>
      <c r="DR15" s="1582"/>
      <c r="DS15" s="1582"/>
      <c r="DT15" s="1582"/>
      <c r="DU15" s="1582"/>
      <c r="DV15" s="1582"/>
      <c r="DW15" s="1582"/>
      <c r="DX15" s="1582"/>
      <c r="DY15" s="1582"/>
      <c r="DZ15" s="1582"/>
      <c r="EA15" s="1582"/>
      <c r="EB15" s="1582"/>
      <c r="EC15" s="1582"/>
      <c r="ED15" s="1582"/>
      <c r="EE15" s="1582"/>
      <c r="EF15" s="1582"/>
      <c r="EG15" s="1582"/>
      <c r="EH15" s="1582"/>
      <c r="EI15" s="1582"/>
      <c r="EJ15" s="1582"/>
      <c r="EK15" s="1582"/>
      <c r="EL15" s="1582"/>
      <c r="EM15" s="1582"/>
      <c r="EN15" s="1582"/>
      <c r="EO15" s="1582"/>
      <c r="EP15" s="1582"/>
      <c r="EQ15" s="1582"/>
      <c r="ER15" s="1582"/>
      <c r="ES15" s="1582"/>
      <c r="ET15" s="1582"/>
      <c r="EU15" s="1582"/>
      <c r="EV15" s="1582"/>
      <c r="EW15" s="1582"/>
      <c r="EX15" s="1582"/>
      <c r="EY15" s="1582"/>
      <c r="EZ15" s="1582"/>
      <c r="FA15" s="1582"/>
      <c r="FB15" s="1582"/>
      <c r="FC15" s="1582"/>
      <c r="FD15" s="1582"/>
      <c r="FE15" s="1582"/>
      <c r="FF15" s="1582"/>
      <c r="FG15" s="1582"/>
      <c r="FH15" s="1582"/>
      <c r="FI15" s="1582"/>
      <c r="FJ15" s="1582"/>
      <c r="FK15" s="1582"/>
      <c r="FL15" s="1582"/>
      <c r="FM15" s="1582"/>
      <c r="FN15" s="1582"/>
      <c r="FO15" s="1582"/>
      <c r="FP15" s="1582"/>
      <c r="FQ15" s="1582"/>
      <c r="FR15" s="1582"/>
      <c r="FS15" s="1582"/>
      <c r="FT15" s="1582"/>
      <c r="FU15" s="1582"/>
      <c r="FV15" s="1582"/>
      <c r="FW15" s="1582"/>
      <c r="FZ15" s="1184"/>
      <c r="GA15" s="1219"/>
      <c r="GB15" s="1219"/>
      <c r="GC15" s="1219"/>
      <c r="GD15" s="1219"/>
    </row>
    <row s="1582" customFormat="1" customHeight="1" ht="12" hidden="1">
      <c r="B16" s="788"/>
      <c r="C16" s="1325"/>
      <c r="D16" s="1294"/>
      <c r="E16" s="797"/>
      <c r="G16" s="213"/>
      <c r="H16" s="213"/>
      <c r="I16" s="213"/>
      <c r="J16" s="1299"/>
      <c r="K16" s="1299"/>
      <c r="L16" s="1299"/>
      <c r="M16" s="1299"/>
      <c r="N16" s="1299"/>
      <c r="O16" s="1299"/>
      <c r="P16" s="1299"/>
      <c r="Q16" s="1317"/>
      <c r="R16" s="739"/>
      <c r="S16" s="213"/>
      <c r="AB16" s="171"/>
      <c r="AC16" s="171"/>
      <c r="AG16" s="1582"/>
      <c r="AH16" s="1582"/>
      <c r="AI16" s="1582"/>
      <c r="AJ16" s="1582"/>
      <c r="AK16" s="1582"/>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82"/>
      <c r="BN16" s="1582"/>
      <c r="BO16" s="1582"/>
      <c r="BP16" s="1582"/>
      <c r="BQ16" s="1582"/>
      <c r="BR16" s="1582"/>
      <c r="BS16" s="1582"/>
      <c r="BT16" s="1582"/>
      <c r="BU16" s="1582"/>
      <c r="BV16" s="1582"/>
      <c r="BW16" s="1582"/>
      <c r="BX16" s="1582"/>
      <c r="BY16" s="1582"/>
      <c r="BZ16" s="1582"/>
      <c r="CA16" s="1582"/>
      <c r="CB16" s="1582"/>
      <c r="CC16" s="1582"/>
      <c r="CD16" s="1582"/>
      <c r="CE16" s="1582"/>
      <c r="CF16" s="1582"/>
      <c r="CG16" s="1582"/>
      <c r="CH16" s="1582"/>
      <c r="CI16" s="1582"/>
      <c r="CJ16" s="1582"/>
      <c r="CK16" s="1582"/>
      <c r="CL16" s="1582"/>
      <c r="CM16" s="1582"/>
      <c r="CN16" s="1582"/>
      <c r="CO16" s="1582"/>
      <c r="CP16" s="1582"/>
      <c r="CQ16" s="1582"/>
      <c r="CR16" s="1582"/>
      <c r="CS16" s="1582"/>
      <c r="CT16" s="1582"/>
      <c r="CU16" s="1582"/>
      <c r="CV16" s="1582"/>
      <c r="CW16" s="1582"/>
      <c r="CX16" s="1582"/>
      <c r="CY16" s="1582"/>
      <c r="CZ16" s="1582"/>
      <c r="DA16" s="1582"/>
      <c r="DB16" s="1582"/>
      <c r="DC16" s="1582"/>
      <c r="DD16" s="1582"/>
      <c r="DE16" s="1582"/>
      <c r="DF16" s="1582"/>
      <c r="DG16" s="1582"/>
      <c r="DH16" s="1582"/>
      <c r="DI16" s="1582"/>
      <c r="DJ16" s="1582"/>
      <c r="DK16" s="1582"/>
      <c r="DL16" s="1582"/>
      <c r="DM16" s="1582"/>
      <c r="DN16" s="1582"/>
      <c r="DO16" s="1582"/>
      <c r="DP16" s="1582"/>
      <c r="DQ16" s="1582"/>
      <c r="DR16" s="1582"/>
      <c r="DS16" s="1582"/>
      <c r="DT16" s="1582"/>
      <c r="DU16" s="1582"/>
      <c r="DV16" s="1582"/>
      <c r="DW16" s="1582"/>
      <c r="DX16" s="1582"/>
      <c r="DY16" s="1582"/>
      <c r="DZ16" s="1582"/>
      <c r="EA16" s="1582"/>
      <c r="EB16" s="1582"/>
      <c r="EC16" s="1582"/>
      <c r="ED16" s="1582"/>
      <c r="EE16" s="1582"/>
      <c r="EF16" s="1582"/>
      <c r="EG16" s="1582"/>
      <c r="EH16" s="1582"/>
      <c r="EI16" s="1582"/>
      <c r="EJ16" s="1582"/>
      <c r="EK16" s="1582"/>
      <c r="EL16" s="1582"/>
      <c r="EM16" s="1582"/>
      <c r="EN16" s="1582"/>
      <c r="EO16" s="1582"/>
      <c r="EP16" s="1582"/>
      <c r="EQ16" s="1582"/>
      <c r="ER16" s="1582"/>
      <c r="ES16" s="1582"/>
      <c r="ET16" s="1582"/>
      <c r="EU16" s="1582"/>
      <c r="EV16" s="1582"/>
      <c r="EW16" s="1582"/>
      <c r="EX16" s="1582"/>
      <c r="EY16" s="1582"/>
      <c r="EZ16" s="1582"/>
      <c r="FA16" s="1582"/>
      <c r="FB16" s="1582"/>
      <c r="FC16" s="1582"/>
      <c r="FD16" s="1582"/>
      <c r="FE16" s="1582"/>
      <c r="FF16" s="1582"/>
      <c r="FG16" s="1582"/>
      <c r="FH16" s="1582"/>
      <c r="FI16" s="1582"/>
      <c r="FJ16" s="1582"/>
      <c r="FK16" s="1582"/>
      <c r="FL16" s="1582"/>
      <c r="FM16" s="1582"/>
      <c r="FN16" s="1582"/>
      <c r="FO16" s="1582"/>
      <c r="FP16" s="1582"/>
      <c r="FQ16" s="1582"/>
      <c r="FR16" s="1582"/>
      <c r="FS16" s="1582"/>
      <c r="FT16" s="1582"/>
      <c r="FU16" s="1582"/>
      <c r="FV16" s="1582"/>
      <c r="FW16" s="1582"/>
      <c r="FZ16" s="1184"/>
      <c r="GA16" s="1219"/>
      <c r="GB16" s="1219"/>
      <c r="GC16" s="1219"/>
      <c r="GD16" s="1219"/>
    </row>
    <row s="1582" customFormat="1" customHeight="1" ht="12" hidden="1">
      <c r="B17" s="788"/>
      <c r="C17" s="1325"/>
      <c r="D17" s="1294"/>
      <c r="E17" s="797"/>
      <c r="G17" s="213"/>
      <c r="H17" s="213"/>
      <c r="I17" s="213"/>
      <c r="J17" s="1299"/>
      <c r="K17" s="1299"/>
      <c r="L17" s="1299"/>
      <c r="M17" s="1299"/>
      <c r="N17" s="1299"/>
      <c r="O17" s="1299"/>
      <c r="P17" s="1299"/>
      <c r="Q17" s="1317"/>
      <c r="R17" s="739"/>
      <c r="S17" s="213"/>
      <c r="AB17" s="171"/>
      <c r="AC17" s="171"/>
      <c r="AG17" s="1582"/>
      <c r="AH17" s="1582"/>
      <c r="AI17" s="1582"/>
      <c r="AJ17" s="1582"/>
      <c r="AK17" s="1582"/>
      <c r="AL17" s="1582"/>
      <c r="AM17" s="1582"/>
      <c r="AN17" s="1582"/>
      <c r="AO17" s="1582"/>
      <c r="AP17" s="1582"/>
      <c r="AQ17" s="1582"/>
      <c r="AR17" s="1582"/>
      <c r="AS17" s="1582"/>
      <c r="AT17" s="1582"/>
      <c r="AU17" s="1582"/>
      <c r="AV17" s="1582"/>
      <c r="AW17" s="1582"/>
      <c r="AX17" s="1582"/>
      <c r="AY17" s="1582"/>
      <c r="AZ17" s="1582"/>
      <c r="BA17" s="1582"/>
      <c r="BB17" s="1582"/>
      <c r="BC17" s="1582"/>
      <c r="BD17" s="1582"/>
      <c r="BE17" s="1582"/>
      <c r="BF17" s="1582"/>
      <c r="BG17" s="1582"/>
      <c r="BH17" s="1582"/>
      <c r="BI17" s="1582"/>
      <c r="BJ17" s="1582"/>
      <c r="BK17" s="1582"/>
      <c r="BL17" s="1582"/>
      <c r="BM17" s="1582"/>
      <c r="BN17" s="1582"/>
      <c r="BO17" s="1582"/>
      <c r="BP17" s="1582"/>
      <c r="BQ17" s="1582"/>
      <c r="BR17" s="1582"/>
      <c r="BS17" s="1582"/>
      <c r="BT17" s="1582"/>
      <c r="BU17" s="1582"/>
      <c r="BV17" s="1582"/>
      <c r="BW17" s="1582"/>
      <c r="BX17" s="1582"/>
      <c r="BY17" s="1582"/>
      <c r="BZ17" s="1582"/>
      <c r="CA17" s="1582"/>
      <c r="CB17" s="1582"/>
      <c r="CC17" s="1582"/>
      <c r="CD17" s="1582"/>
      <c r="CE17" s="1582"/>
      <c r="CF17" s="1582"/>
      <c r="CG17" s="1582"/>
      <c r="CH17" s="1582"/>
      <c r="CI17" s="1582"/>
      <c r="CJ17" s="1582"/>
      <c r="CK17" s="1582"/>
      <c r="CL17" s="1582"/>
      <c r="CM17" s="1582"/>
      <c r="CN17" s="1582"/>
      <c r="CO17" s="1582"/>
      <c r="CP17" s="1582"/>
      <c r="CQ17" s="1582"/>
      <c r="CR17" s="1582"/>
      <c r="CS17" s="1582"/>
      <c r="CT17" s="1582"/>
      <c r="CU17" s="1582"/>
      <c r="CV17" s="1582"/>
      <c r="CW17" s="1582"/>
      <c r="CX17" s="1582"/>
      <c r="CY17" s="1582"/>
      <c r="CZ17" s="1582"/>
      <c r="DA17" s="1582"/>
      <c r="DB17" s="1582"/>
      <c r="DC17" s="1582"/>
      <c r="DD17" s="1582"/>
      <c r="DE17" s="1582"/>
      <c r="DF17" s="1582"/>
      <c r="DG17" s="1582"/>
      <c r="DH17" s="1582"/>
      <c r="DI17" s="1582"/>
      <c r="DJ17" s="1582"/>
      <c r="DK17" s="1582"/>
      <c r="DL17" s="1582"/>
      <c r="DM17" s="1582"/>
      <c r="DN17" s="1582"/>
      <c r="DO17" s="1582"/>
      <c r="DP17" s="1582"/>
      <c r="DQ17" s="1582"/>
      <c r="DR17" s="1582"/>
      <c r="DS17" s="1582"/>
      <c r="DT17" s="1582"/>
      <c r="DU17" s="1582"/>
      <c r="DV17" s="1582"/>
      <c r="DW17" s="1582"/>
      <c r="DX17" s="1582"/>
      <c r="DY17" s="1582"/>
      <c r="DZ17" s="1582"/>
      <c r="EA17" s="1582"/>
      <c r="EB17" s="1582"/>
      <c r="EC17" s="1582"/>
      <c r="ED17" s="1582"/>
      <c r="EE17" s="1582"/>
      <c r="EF17" s="1582"/>
      <c r="EG17" s="1582"/>
      <c r="EH17" s="1582"/>
      <c r="EI17" s="1582"/>
      <c r="EJ17" s="1582"/>
      <c r="EK17" s="1582"/>
      <c r="EL17" s="1582"/>
      <c r="EM17" s="1582"/>
      <c r="EN17" s="1582"/>
      <c r="EO17" s="1582"/>
      <c r="EP17" s="1582"/>
      <c r="EQ17" s="1582"/>
      <c r="ER17" s="1582"/>
      <c r="ES17" s="1582"/>
      <c r="ET17" s="1582"/>
      <c r="EU17" s="1582"/>
      <c r="EV17" s="1582"/>
      <c r="EW17" s="1582"/>
      <c r="EX17" s="1582"/>
      <c r="EY17" s="1582"/>
      <c r="EZ17" s="1582"/>
      <c r="FA17" s="1582"/>
      <c r="FB17" s="1582"/>
      <c r="FC17" s="1582"/>
      <c r="FD17" s="1582"/>
      <c r="FE17" s="1582"/>
      <c r="FF17" s="1582"/>
      <c r="FG17" s="1582"/>
      <c r="FH17" s="1582"/>
      <c r="FI17" s="1582"/>
      <c r="FJ17" s="1582"/>
      <c r="FK17" s="1582"/>
      <c r="FL17" s="1582"/>
      <c r="FM17" s="1582"/>
      <c r="FN17" s="1582"/>
      <c r="FO17" s="1582"/>
      <c r="FP17" s="1582"/>
      <c r="FQ17" s="1582"/>
      <c r="FR17" s="1582"/>
      <c r="FS17" s="1582"/>
      <c r="FT17" s="1582"/>
      <c r="FU17" s="1582"/>
      <c r="FV17" s="1582"/>
      <c r="FW17" s="1582"/>
      <c r="FZ17" s="1184"/>
      <c r="GA17" s="1219"/>
      <c r="GB17" s="1219"/>
      <c r="GC17" s="1219"/>
      <c r="GD17" s="1219"/>
    </row>
    <row s="1582" customFormat="1" customHeight="1" ht="12" hidden="1">
      <c r="B18" s="788"/>
      <c r="C18" s="1325"/>
      <c r="D18" s="1294"/>
      <c r="E18" s="797"/>
      <c r="G18" s="213"/>
      <c r="H18" s="213"/>
      <c r="I18" s="213"/>
      <c r="J18" s="1299"/>
      <c r="K18" s="1299"/>
      <c r="L18" s="1299"/>
      <c r="M18" s="1299"/>
      <c r="N18" s="1299"/>
      <c r="O18" s="1299"/>
      <c r="P18" s="1299"/>
      <c r="Q18" s="1317"/>
      <c r="R18" s="739"/>
      <c r="S18" s="213"/>
      <c r="AB18" s="171"/>
      <c r="AC18" s="171"/>
      <c r="AG18" s="1582"/>
      <c r="AH18" s="1582"/>
      <c r="AI18" s="1582"/>
      <c r="AJ18" s="1582"/>
      <c r="AK18" s="1582"/>
      <c r="AL18" s="1582"/>
      <c r="AM18" s="1582"/>
      <c r="AN18" s="1582"/>
      <c r="AO18" s="1582"/>
      <c r="AP18" s="1582"/>
      <c r="AQ18" s="1582"/>
      <c r="AR18" s="1582"/>
      <c r="AS18" s="1582"/>
      <c r="AT18" s="1582"/>
      <c r="AU18" s="1582"/>
      <c r="AV18" s="1582"/>
      <c r="AW18" s="1582"/>
      <c r="AX18" s="1582"/>
      <c r="AY18" s="1582"/>
      <c r="AZ18" s="1582"/>
      <c r="BA18" s="1582"/>
      <c r="BB18" s="1582"/>
      <c r="BC18" s="1582"/>
      <c r="BD18" s="1582"/>
      <c r="BE18" s="1582"/>
      <c r="BF18" s="1582"/>
      <c r="BG18" s="1582"/>
      <c r="BH18" s="1582"/>
      <c r="BI18" s="1582"/>
      <c r="BJ18" s="1582"/>
      <c r="BK18" s="1582"/>
      <c r="BL18" s="1582"/>
      <c r="BM18" s="1582"/>
      <c r="BN18" s="1582"/>
      <c r="BO18" s="1582"/>
      <c r="BP18" s="1582"/>
      <c r="BQ18" s="1582"/>
      <c r="BR18" s="1582"/>
      <c r="BS18" s="1582"/>
      <c r="BT18" s="1582"/>
      <c r="BU18" s="1582"/>
      <c r="BV18" s="1582"/>
      <c r="BW18" s="1582"/>
      <c r="BX18" s="1582"/>
      <c r="BY18" s="1582"/>
      <c r="BZ18" s="1582"/>
      <c r="CA18" s="1582"/>
      <c r="CB18" s="1582"/>
      <c r="CC18" s="1582"/>
      <c r="CD18" s="1582"/>
      <c r="CE18" s="1582"/>
      <c r="CF18" s="1582"/>
      <c r="CG18" s="1582"/>
      <c r="CH18" s="1582"/>
      <c r="CI18" s="1582"/>
      <c r="CJ18" s="1582"/>
      <c r="CK18" s="1582"/>
      <c r="CL18" s="1582"/>
      <c r="CM18" s="1582"/>
      <c r="CN18" s="1582"/>
      <c r="CO18" s="1582"/>
      <c r="CP18" s="1582"/>
      <c r="CQ18" s="1582"/>
      <c r="CR18" s="1582"/>
      <c r="CS18" s="1582"/>
      <c r="CT18" s="1582"/>
      <c r="CU18" s="1582"/>
      <c r="CV18" s="1582"/>
      <c r="CW18" s="1582"/>
      <c r="CX18" s="1582"/>
      <c r="CY18" s="1582"/>
      <c r="CZ18" s="1582"/>
      <c r="DA18" s="1582"/>
      <c r="DB18" s="1582"/>
      <c r="DC18" s="1582"/>
      <c r="DD18" s="1582"/>
      <c r="DE18" s="1582"/>
      <c r="DF18" s="1582"/>
      <c r="DG18" s="1582"/>
      <c r="DH18" s="1582"/>
      <c r="DI18" s="1582"/>
      <c r="DJ18" s="1582"/>
      <c r="DK18" s="1582"/>
      <c r="DL18" s="1582"/>
      <c r="DM18" s="1582"/>
      <c r="DN18" s="1582"/>
      <c r="DO18" s="1582"/>
      <c r="DP18" s="1582"/>
      <c r="DQ18" s="1582"/>
      <c r="DR18" s="1582"/>
      <c r="DS18" s="1582"/>
      <c r="DT18" s="1582"/>
      <c r="DU18" s="1582"/>
      <c r="DV18" s="1582"/>
      <c r="DW18" s="1582"/>
      <c r="DX18" s="1582"/>
      <c r="DY18" s="1582"/>
      <c r="DZ18" s="1582"/>
      <c r="EA18" s="1582"/>
      <c r="EB18" s="1582"/>
      <c r="EC18" s="1582"/>
      <c r="ED18" s="1582"/>
      <c r="EE18" s="1582"/>
      <c r="EF18" s="1582"/>
      <c r="EG18" s="1582"/>
      <c r="EH18" s="1582"/>
      <c r="EI18" s="1582"/>
      <c r="EJ18" s="1582"/>
      <c r="EK18" s="1582"/>
      <c r="EL18" s="1582"/>
      <c r="EM18" s="1582"/>
      <c r="EN18" s="1582"/>
      <c r="EO18" s="1582"/>
      <c r="EP18" s="1582"/>
      <c r="EQ18" s="1582"/>
      <c r="ER18" s="1582"/>
      <c r="ES18" s="1582"/>
      <c r="ET18" s="1582"/>
      <c r="EU18" s="1582"/>
      <c r="EV18" s="1582"/>
      <c r="EW18" s="1582"/>
      <c r="EX18" s="1582"/>
      <c r="EY18" s="1582"/>
      <c r="EZ18" s="1582"/>
      <c r="FA18" s="1582"/>
      <c r="FB18" s="1582"/>
      <c r="FC18" s="1582"/>
      <c r="FD18" s="1582"/>
      <c r="FE18" s="1582"/>
      <c r="FF18" s="1582"/>
      <c r="FG18" s="1582"/>
      <c r="FH18" s="1582"/>
      <c r="FI18" s="1582"/>
      <c r="FJ18" s="1582"/>
      <c r="FK18" s="1582"/>
      <c r="FL18" s="1582"/>
      <c r="FM18" s="1582"/>
      <c r="FN18" s="1582"/>
      <c r="FO18" s="1582"/>
      <c r="FP18" s="1582"/>
      <c r="FQ18" s="1582"/>
      <c r="FR18" s="1582"/>
      <c r="FS18" s="1582"/>
      <c r="FT18" s="1582"/>
      <c r="FU18" s="1582"/>
      <c r="FV18" s="1582"/>
      <c r="FW18" s="1582"/>
      <c r="FZ18" s="1184"/>
      <c r="GA18" s="1219"/>
      <c r="GB18" s="1219"/>
      <c r="GC18" s="1219"/>
      <c r="GD18" s="1219"/>
    </row>
    <row s="1582" customFormat="1" customHeight="1" ht="12" hidden="1">
      <c r="B19" s="788"/>
      <c r="C19" s="1325"/>
      <c r="D19" s="1294"/>
      <c r="E19" s="797"/>
      <c r="G19" s="213"/>
      <c r="H19" s="213"/>
      <c r="I19" s="213"/>
      <c r="J19" s="1299"/>
      <c r="K19" s="1299"/>
      <c r="L19" s="1299"/>
      <c r="M19" s="1299"/>
      <c r="N19" s="1299"/>
      <c r="O19" s="1299"/>
      <c r="P19" s="1299"/>
      <c r="Q19" s="1317"/>
      <c r="R19" s="739"/>
      <c r="S19" s="213"/>
      <c r="AB19" s="171"/>
      <c r="AC19" s="171"/>
      <c r="AG19" s="1582"/>
      <c r="AH19" s="1582"/>
      <c r="AI19" s="1582"/>
      <c r="AJ19" s="1582"/>
      <c r="AK19" s="1582"/>
      <c r="AL19" s="1582"/>
      <c r="AM19" s="1582"/>
      <c r="AN19" s="1582"/>
      <c r="AO19" s="1582"/>
      <c r="AP19" s="1582"/>
      <c r="AQ19" s="1582"/>
      <c r="AR19" s="1582"/>
      <c r="AS19" s="1582"/>
      <c r="AT19" s="1582"/>
      <c r="AU19" s="1582"/>
      <c r="AV19" s="1582"/>
      <c r="AW19" s="1582"/>
      <c r="AX19" s="1582"/>
      <c r="AY19" s="1582"/>
      <c r="AZ19" s="1582"/>
      <c r="BA19" s="1582"/>
      <c r="BB19" s="1582"/>
      <c r="BC19" s="1582"/>
      <c r="BD19" s="1582"/>
      <c r="BE19" s="1582"/>
      <c r="BF19" s="1582"/>
      <c r="BG19" s="1582"/>
      <c r="BH19" s="1582"/>
      <c r="BI19" s="1582"/>
      <c r="BJ19" s="1582"/>
      <c r="BK19" s="1582"/>
      <c r="BL19" s="1582"/>
      <c r="BM19" s="1582"/>
      <c r="BN19" s="1582"/>
      <c r="BO19" s="1582"/>
      <c r="BP19" s="1582"/>
      <c r="BQ19" s="1582"/>
      <c r="BR19" s="1582"/>
      <c r="BS19" s="1582"/>
      <c r="BT19" s="1582"/>
      <c r="BU19" s="1582"/>
      <c r="BV19" s="1582"/>
      <c r="BW19" s="1582"/>
      <c r="BX19" s="1582"/>
      <c r="BY19" s="1582"/>
      <c r="BZ19" s="1582"/>
      <c r="CA19" s="1582"/>
      <c r="CB19" s="1582"/>
      <c r="CC19" s="1582"/>
      <c r="CD19" s="1582"/>
      <c r="CE19" s="1582"/>
      <c r="CF19" s="1582"/>
      <c r="CG19" s="1582"/>
      <c r="CH19" s="1582"/>
      <c r="CI19" s="1582"/>
      <c r="CJ19" s="1582"/>
      <c r="CK19" s="1582"/>
      <c r="CL19" s="1582"/>
      <c r="CM19" s="1582"/>
      <c r="CN19" s="1582"/>
      <c r="CO19" s="1582"/>
      <c r="CP19" s="1582"/>
      <c r="CQ19" s="1582"/>
      <c r="CR19" s="1582"/>
      <c r="CS19" s="1582"/>
      <c r="CT19" s="1582"/>
      <c r="CU19" s="1582"/>
      <c r="CV19" s="1582"/>
      <c r="CW19" s="1582"/>
      <c r="CX19" s="1582"/>
      <c r="CY19" s="1582"/>
      <c r="CZ19" s="1582"/>
      <c r="DA19" s="1582"/>
      <c r="DB19" s="1582"/>
      <c r="DC19" s="1582"/>
      <c r="DD19" s="1582"/>
      <c r="DE19" s="1582"/>
      <c r="DF19" s="1582"/>
      <c r="DG19" s="1582"/>
      <c r="DH19" s="1582"/>
      <c r="DI19" s="1582"/>
      <c r="DJ19" s="1582"/>
      <c r="DK19" s="1582"/>
      <c r="DL19" s="1582"/>
      <c r="DM19" s="1582"/>
      <c r="DN19" s="1582"/>
      <c r="DO19" s="1582"/>
      <c r="DP19" s="1582"/>
      <c r="DQ19" s="1582"/>
      <c r="DR19" s="1582"/>
      <c r="DS19" s="1582"/>
      <c r="DT19" s="1582"/>
      <c r="DU19" s="1582"/>
      <c r="DV19" s="1582"/>
      <c r="DW19" s="1582"/>
      <c r="DX19" s="1582"/>
      <c r="DY19" s="1582"/>
      <c r="DZ19" s="1582"/>
      <c r="EA19" s="1582"/>
      <c r="EB19" s="1582"/>
      <c r="EC19" s="1582"/>
      <c r="ED19" s="1582"/>
      <c r="EE19" s="1582"/>
      <c r="EF19" s="1582"/>
      <c r="EG19" s="1582"/>
      <c r="EH19" s="1582"/>
      <c r="EI19" s="1582"/>
      <c r="EJ19" s="1582"/>
      <c r="EK19" s="1582"/>
      <c r="EL19" s="1582"/>
      <c r="EM19" s="1582"/>
      <c r="EN19" s="1582"/>
      <c r="EO19" s="1582"/>
      <c r="EP19" s="1582"/>
      <c r="EQ19" s="1582"/>
      <c r="ER19" s="1582"/>
      <c r="ES19" s="1582"/>
      <c r="ET19" s="1582"/>
      <c r="EU19" s="1582"/>
      <c r="EV19" s="1582"/>
      <c r="EW19" s="1582"/>
      <c r="EX19" s="1582"/>
      <c r="EY19" s="1582"/>
      <c r="EZ19" s="1582"/>
      <c r="FA19" s="1582"/>
      <c r="FB19" s="1582"/>
      <c r="FC19" s="1582"/>
      <c r="FD19" s="1582"/>
      <c r="FE19" s="1582"/>
      <c r="FF19" s="1582"/>
      <c r="FG19" s="1582"/>
      <c r="FH19" s="1582"/>
      <c r="FI19" s="1582"/>
      <c r="FJ19" s="1582"/>
      <c r="FK19" s="1582"/>
      <c r="FL19" s="1582"/>
      <c r="FM19" s="1582"/>
      <c r="FN19" s="1582"/>
      <c r="FO19" s="1582"/>
      <c r="FP19" s="1582"/>
      <c r="FQ19" s="1582"/>
      <c r="FR19" s="1582"/>
      <c r="FS19" s="1582"/>
      <c r="FT19" s="1582"/>
      <c r="FU19" s="1582"/>
      <c r="FV19" s="1582"/>
      <c r="FW19" s="1582"/>
      <c r="FZ19" s="1184"/>
      <c r="GA19" s="1219"/>
      <c r="GB19" s="1219"/>
      <c r="GC19" s="1219"/>
      <c r="GD19" s="1219"/>
    </row>
    <row s="1582" customFormat="1" customHeight="1" ht="12" hidden="1">
      <c r="B20" s="788"/>
      <c r="C20" s="1325"/>
      <c r="D20" s="1294"/>
      <c r="E20" s="797"/>
      <c r="G20" s="213"/>
      <c r="H20" s="213"/>
      <c r="I20" s="213"/>
      <c r="J20" s="1299"/>
      <c r="K20" s="1299"/>
      <c r="L20" s="1299"/>
      <c r="M20" s="1299"/>
      <c r="N20" s="1299"/>
      <c r="O20" s="1299"/>
      <c r="P20" s="1299"/>
      <c r="Q20" s="1317"/>
      <c r="R20" s="739"/>
      <c r="S20" s="213"/>
      <c r="AB20" s="171"/>
      <c r="AC20" s="171"/>
      <c r="AG20" s="1582"/>
      <c r="AH20" s="1582"/>
      <c r="AI20" s="1582"/>
      <c r="AJ20" s="1582"/>
      <c r="AK20" s="1582"/>
      <c r="AL20" s="1582"/>
      <c r="AM20" s="1582"/>
      <c r="AN20" s="1582"/>
      <c r="AO20" s="1582"/>
      <c r="AP20" s="1582"/>
      <c r="AQ20" s="1582"/>
      <c r="AR20" s="1582"/>
      <c r="AS20" s="1582"/>
      <c r="AT20" s="1582"/>
      <c r="AU20" s="1582"/>
      <c r="AV20" s="1582"/>
      <c r="AW20" s="1582"/>
      <c r="AX20" s="1582"/>
      <c r="AY20" s="1582"/>
      <c r="AZ20" s="1582"/>
      <c r="BA20" s="1582"/>
      <c r="BB20" s="1582"/>
      <c r="BC20" s="1582"/>
      <c r="BD20" s="1582"/>
      <c r="BE20" s="1582"/>
      <c r="BF20" s="1582"/>
      <c r="BG20" s="1582"/>
      <c r="BH20" s="1582"/>
      <c r="BI20" s="1582"/>
      <c r="BJ20" s="1582"/>
      <c r="BK20" s="1582"/>
      <c r="BL20" s="1582"/>
      <c r="BM20" s="1582"/>
      <c r="BN20" s="1582"/>
      <c r="BO20" s="1582"/>
      <c r="BP20" s="1582"/>
      <c r="BQ20" s="1582"/>
      <c r="BR20" s="1582"/>
      <c r="BS20" s="1582"/>
      <c r="BT20" s="1582"/>
      <c r="BU20" s="1582"/>
      <c r="BV20" s="1582"/>
      <c r="BW20" s="1582"/>
      <c r="BX20" s="1582"/>
      <c r="BY20" s="1582"/>
      <c r="BZ20" s="1582"/>
      <c r="CA20" s="1582"/>
      <c r="CB20" s="1582"/>
      <c r="CC20" s="1582"/>
      <c r="CD20" s="1582"/>
      <c r="CE20" s="1582"/>
      <c r="CF20" s="1582"/>
      <c r="CG20" s="1582"/>
      <c r="CH20" s="1582"/>
      <c r="CI20" s="1582"/>
      <c r="CJ20" s="1582"/>
      <c r="CK20" s="1582"/>
      <c r="CL20" s="1582"/>
      <c r="CM20" s="1582"/>
      <c r="CN20" s="1582"/>
      <c r="CO20" s="1582"/>
      <c r="CP20" s="1582"/>
      <c r="CQ20" s="1582"/>
      <c r="CR20" s="1582"/>
      <c r="CS20" s="1582"/>
      <c r="CT20" s="1582"/>
      <c r="CU20" s="1582"/>
      <c r="CV20" s="1582"/>
      <c r="CW20" s="1582"/>
      <c r="CX20" s="1582"/>
      <c r="CY20" s="1582"/>
      <c r="CZ20" s="1582"/>
      <c r="DA20" s="1582"/>
      <c r="DB20" s="1582"/>
      <c r="DC20" s="1582"/>
      <c r="DD20" s="1582"/>
      <c r="DE20" s="1582"/>
      <c r="DF20" s="1582"/>
      <c r="DG20" s="1582"/>
      <c r="DH20" s="1582"/>
      <c r="DI20" s="1582"/>
      <c r="DJ20" s="1582"/>
      <c r="DK20" s="1582"/>
      <c r="DL20" s="1582"/>
      <c r="DM20" s="1582"/>
      <c r="DN20" s="1582"/>
      <c r="DO20" s="1582"/>
      <c r="DP20" s="1582"/>
      <c r="DQ20" s="1582"/>
      <c r="DR20" s="1582"/>
      <c r="DS20" s="1582"/>
      <c r="DT20" s="1582"/>
      <c r="DU20" s="1582"/>
      <c r="DV20" s="1582"/>
      <c r="DW20" s="1582"/>
      <c r="DX20" s="1582"/>
      <c r="DY20" s="1582"/>
      <c r="DZ20" s="1582"/>
      <c r="EA20" s="1582"/>
      <c r="EB20" s="1582"/>
      <c r="EC20" s="1582"/>
      <c r="ED20" s="1582"/>
      <c r="EE20" s="1582"/>
      <c r="EF20" s="1582"/>
      <c r="EG20" s="1582"/>
      <c r="EH20" s="1582"/>
      <c r="EI20" s="1582"/>
      <c r="EJ20" s="1582"/>
      <c r="EK20" s="1582"/>
      <c r="EL20" s="1582"/>
      <c r="EM20" s="1582"/>
      <c r="EN20" s="1582"/>
      <c r="EO20" s="1582"/>
      <c r="EP20" s="1582"/>
      <c r="EQ20" s="1582"/>
      <c r="ER20" s="1582"/>
      <c r="ES20" s="1582"/>
      <c r="ET20" s="1582"/>
      <c r="EU20" s="1582"/>
      <c r="EV20" s="1582"/>
      <c r="EW20" s="1582"/>
      <c r="EX20" s="1582"/>
      <c r="EY20" s="1582"/>
      <c r="EZ20" s="1582"/>
      <c r="FA20" s="1582"/>
      <c r="FB20" s="1582"/>
      <c r="FC20" s="1582"/>
      <c r="FD20" s="1582"/>
      <c r="FE20" s="1582"/>
      <c r="FF20" s="1582"/>
      <c r="FG20" s="1582"/>
      <c r="FH20" s="1582"/>
      <c r="FI20" s="1582"/>
      <c r="FJ20" s="1582"/>
      <c r="FK20" s="1582"/>
      <c r="FL20" s="1582"/>
      <c r="FM20" s="1582"/>
      <c r="FN20" s="1582"/>
      <c r="FO20" s="1582"/>
      <c r="FP20" s="1582"/>
      <c r="FQ20" s="1582"/>
      <c r="FR20" s="1582"/>
      <c r="FS20" s="1582"/>
      <c r="FT20" s="1582"/>
      <c r="FU20" s="1582"/>
      <c r="FV20" s="1582"/>
      <c r="FW20" s="1582"/>
      <c r="FZ20" s="1184"/>
      <c r="GA20" s="1219"/>
      <c r="GB20" s="1219"/>
      <c r="GC20" s="1219"/>
      <c r="GD20" s="1219"/>
    </row>
    <row customHeight="1" ht="14.625">
      <c r="E21" s="797">
        <v>15</v>
      </c>
      <c r="Q21" s="1317"/>
      <c r="AA21" s="820"/>
      <c r="AB21" s="941" cm="1" t="str">
        <f t="array" ref="AB21:AB21">tpl_title</f>
        <v>Кемеровская область / 2026 / ООО "ВЕЛЕС" (ИНН:4212036655, КПП:421201001) / ДПР: 2016-2025</v>
      </c>
      <c r="AG21" s="500"/>
      <c r="AH21" s="500"/>
      <c r="AI21" s="500"/>
      <c r="AJ21" s="500"/>
      <c r="AK21" s="500"/>
      <c r="AL21" s="500"/>
      <c r="AM21" s="500"/>
      <c r="AN21" s="500"/>
      <c r="AO21" s="500"/>
      <c r="AP21" s="500"/>
      <c r="AQ21" s="500"/>
      <c r="AR21" s="500"/>
      <c r="AS21" s="500"/>
      <c r="AT21" s="500"/>
      <c r="AU21" s="500"/>
      <c r="AV21" s="500"/>
      <c r="AW21" s="500"/>
      <c r="AX21" s="500"/>
      <c r="AY21" s="500"/>
      <c r="AZ21" s="500"/>
      <c r="BA21" s="500"/>
      <c r="BB21" s="500"/>
      <c r="BC21" s="500"/>
      <c r="BD21" s="500"/>
      <c r="BE21" s="500"/>
      <c r="BF21" s="500"/>
      <c r="BG21" s="500"/>
      <c r="BH21" s="500"/>
      <c r="BI21" s="500"/>
      <c r="BJ21" s="500"/>
      <c r="BK21" s="500"/>
      <c r="BL21" s="500"/>
      <c r="BM21" s="500"/>
      <c r="BN21" s="500"/>
      <c r="BO21" s="500"/>
      <c r="BP21" s="500"/>
      <c r="BQ21" s="500"/>
      <c r="BR21" s="500"/>
      <c r="BS21" s="500"/>
      <c r="BT21" s="500"/>
      <c r="BU21" s="500"/>
      <c r="BV21" s="500"/>
      <c r="BW21" s="500"/>
      <c r="BX21" s="500"/>
      <c r="BY21" s="500"/>
      <c r="BZ21" s="500"/>
      <c r="CA21" s="500"/>
      <c r="CB21" s="500"/>
      <c r="CC21" s="500"/>
      <c r="CD21" s="500"/>
      <c r="CE21" s="500"/>
      <c r="CF21" s="500"/>
      <c r="CG21" s="500"/>
      <c r="CH21" s="500"/>
      <c r="CI21" s="500"/>
      <c r="CJ21" s="500"/>
      <c r="CK21" s="500"/>
      <c r="CL21" s="500"/>
      <c r="CM21" s="500"/>
      <c r="CN21" s="500"/>
      <c r="CO21" s="500"/>
      <c r="CP21" s="500"/>
      <c r="CQ21" s="500"/>
      <c r="CR21" s="500"/>
      <c r="CS21" s="500"/>
      <c r="CT21" s="500"/>
      <c r="CU21" s="500"/>
      <c r="CV21" s="500"/>
      <c r="CW21" s="500"/>
      <c r="CX21" s="500"/>
      <c r="CY21" s="500"/>
      <c r="CZ21" s="500"/>
      <c r="DA21" s="500"/>
      <c r="DB21" s="500"/>
      <c r="DC21" s="500"/>
      <c r="DD21" s="500"/>
      <c r="DE21" s="500"/>
      <c r="DF21" s="500"/>
      <c r="DG21" s="500"/>
      <c r="DH21" s="500"/>
      <c r="DI21" s="500"/>
      <c r="DJ21" s="500"/>
      <c r="DK21" s="500"/>
      <c r="DL21" s="500"/>
      <c r="DM21" s="500"/>
      <c r="DN21" s="500"/>
      <c r="DO21" s="500"/>
      <c r="DP21" s="500"/>
      <c r="DQ21" s="500"/>
      <c r="DR21" s="500"/>
      <c r="DS21" s="500"/>
      <c r="DT21" s="500"/>
      <c r="DU21" s="500"/>
      <c r="DV21" s="500"/>
      <c r="DW21" s="500"/>
      <c r="DX21" s="500"/>
      <c r="DY21" s="500"/>
      <c r="DZ21" s="500"/>
      <c r="EA21" s="500"/>
      <c r="EB21" s="500"/>
      <c r="EC21" s="500"/>
      <c r="ED21" s="500"/>
      <c r="EE21" s="500"/>
      <c r="EF21" s="500"/>
      <c r="EG21" s="500"/>
      <c r="EH21" s="500"/>
      <c r="EI21" s="500"/>
      <c r="EJ21" s="500"/>
      <c r="EK21" s="500"/>
      <c r="EL21" s="500"/>
      <c r="EM21" s="500"/>
      <c r="EN21" s="500"/>
      <c r="EO21" s="500"/>
      <c r="EP21" s="500"/>
      <c r="EQ21" s="500"/>
      <c r="ER21" s="500"/>
      <c r="ES21" s="500"/>
      <c r="ET21" s="500"/>
      <c r="EU21" s="500"/>
      <c r="EV21" s="500"/>
      <c r="EW21" s="500"/>
      <c r="EX21" s="500"/>
      <c r="EY21" s="500"/>
      <c r="EZ21" s="500"/>
      <c r="FA21" s="500"/>
      <c r="FB21" s="500"/>
      <c r="FC21" s="500"/>
      <c r="FD21" s="500"/>
      <c r="FE21" s="500"/>
      <c r="FF21" s="500"/>
      <c r="FG21" s="500"/>
      <c r="FH21" s="500"/>
      <c r="FI21" s="500"/>
      <c r="FJ21" s="500"/>
      <c r="FK21" s="500"/>
      <c r="FL21" s="500"/>
      <c r="FM21" s="500"/>
      <c r="FN21" s="500"/>
      <c r="FO21" s="500"/>
      <c r="FP21" s="500"/>
      <c r="FQ21" s="500"/>
      <c r="FR21" s="500"/>
      <c r="FS21" s="500"/>
      <c r="FT21" s="500"/>
      <c r="FU21" s="500"/>
      <c r="FV21" s="500"/>
      <c r="FW21" s="500"/>
      <c r="GA21" s="1219"/>
      <c r="GB21" s="1219"/>
      <c r="GC21" s="1219"/>
      <c r="GD21" s="1219"/>
    </row>
    <row s="965" customFormat="1" customHeight="1" ht="23.400000000000002">
      <c r="A22" s="179"/>
      <c r="B22" s="788"/>
      <c r="C22" s="1328"/>
      <c r="D22" s="1255"/>
      <c r="E22" s="797">
        <v>24</v>
      </c>
      <c r="F22" s="179"/>
      <c r="J22" s="1314"/>
      <c r="K22" s="1314"/>
      <c r="L22" s="1314"/>
      <c r="M22" s="1314"/>
      <c r="N22" s="1314"/>
      <c r="O22" s="1314"/>
      <c r="P22" s="1314"/>
      <c r="Q22" s="1314"/>
      <c r="R22" s="739"/>
      <c r="T22" s="179"/>
      <c r="U22" s="179"/>
      <c r="V22" s="179"/>
      <c r="W22" s="179"/>
      <c r="X22" s="179"/>
      <c r="Y22" s="179"/>
      <c r="Z22" s="179"/>
      <c r="AB22" s="392" t="s">
        <v>77</v>
      </c>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c r="BQ22" s="353"/>
      <c r="BR22" s="353"/>
      <c r="BS22" s="353"/>
      <c r="BT22" s="353"/>
      <c r="BU22" s="353"/>
      <c r="BV22" s="353"/>
      <c r="BW22" s="353"/>
      <c r="BX22" s="353"/>
      <c r="BY22" s="353"/>
      <c r="BZ22" s="353"/>
      <c r="CA22" s="353"/>
      <c r="CB22" s="353"/>
      <c r="CC22" s="353"/>
      <c r="CD22" s="353"/>
      <c r="CE22" s="353"/>
      <c r="CF22" s="353"/>
      <c r="CG22" s="353"/>
      <c r="CH22" s="353"/>
      <c r="CI22" s="353"/>
      <c r="CJ22" s="353"/>
      <c r="CK22" s="353"/>
      <c r="CL22" s="353"/>
      <c r="CM22" s="353"/>
      <c r="CN22" s="353"/>
      <c r="CO22" s="353"/>
      <c r="CP22" s="353"/>
      <c r="CQ22" s="353"/>
      <c r="CR22" s="353"/>
      <c r="CS22" s="353"/>
      <c r="CT22" s="353"/>
      <c r="CU22" s="353"/>
      <c r="CV22" s="353"/>
      <c r="CW22" s="353"/>
      <c r="CX22" s="353"/>
      <c r="CY22" s="353"/>
      <c r="CZ22" s="353"/>
      <c r="DA22" s="353"/>
      <c r="DB22" s="353"/>
      <c r="DC22" s="353"/>
      <c r="DD22" s="353"/>
      <c r="DE22" s="353"/>
      <c r="DF22" s="353"/>
      <c r="DG22" s="353"/>
      <c r="DH22" s="353"/>
      <c r="DI22" s="353"/>
      <c r="DJ22" s="353"/>
      <c r="DK22" s="353"/>
      <c r="DL22" s="353"/>
      <c r="DM22" s="353"/>
      <c r="DN22" s="353"/>
      <c r="DO22" s="353"/>
      <c r="DP22" s="353"/>
      <c r="DQ22" s="353"/>
      <c r="DR22" s="353"/>
      <c r="DS22" s="353"/>
      <c r="DT22" s="353"/>
      <c r="DU22" s="353"/>
      <c r="DV22" s="353"/>
      <c r="DW22" s="353"/>
      <c r="DX22" s="353"/>
      <c r="DY22" s="353"/>
      <c r="DZ22" s="353"/>
      <c r="EA22" s="353"/>
      <c r="EB22" s="353"/>
      <c r="EC22" s="353"/>
      <c r="ED22" s="353"/>
      <c r="EE22" s="353"/>
      <c r="EF22" s="353"/>
      <c r="EG22" s="353"/>
      <c r="EH22" s="353"/>
      <c r="EI22" s="353"/>
      <c r="EJ22" s="353"/>
      <c r="EK22" s="353"/>
      <c r="EL22" s="353"/>
      <c r="EM22" s="353"/>
      <c r="EN22" s="353"/>
      <c r="EO22" s="353"/>
      <c r="EP22" s="353"/>
      <c r="EQ22" s="353"/>
      <c r="ER22" s="353"/>
      <c r="ES22" s="353"/>
      <c r="ET22" s="353"/>
      <c r="EU22" s="353"/>
      <c r="EV22" s="353"/>
      <c r="EW22" s="353"/>
      <c r="EX22" s="353"/>
      <c r="EY22" s="353"/>
      <c r="EZ22" s="353"/>
      <c r="FA22" s="353"/>
      <c r="FB22" s="353"/>
      <c r="FC22" s="353"/>
      <c r="FD22" s="353"/>
      <c r="FE22" s="353"/>
      <c r="FF22" s="353"/>
      <c r="FG22" s="353"/>
      <c r="FH22" s="353"/>
      <c r="FI22" s="353"/>
      <c r="FJ22" s="353"/>
      <c r="FK22" s="353"/>
      <c r="FL22" s="353"/>
      <c r="FM22" s="353"/>
      <c r="FN22" s="353"/>
      <c r="FO22" s="353"/>
      <c r="FP22" s="353"/>
      <c r="FQ22" s="353"/>
      <c r="FR22" s="353"/>
      <c r="FS22" s="353"/>
      <c r="FT22" s="353"/>
      <c r="FU22" s="353"/>
      <c r="FV22" s="353"/>
      <c r="FW22" s="353"/>
      <c r="FZ22" s="1173"/>
      <c r="GA22" s="1180"/>
      <c r="GB22" s="1180"/>
      <c r="GC22" s="1180"/>
      <c r="GD22" s="1180"/>
    </row>
    <row customHeight="1" ht="21.9375">
      <c r="E23" s="797">
        <v>22.5</v>
      </c>
      <c r="Q23" s="1317"/>
      <c r="AB23" s="215"/>
      <c r="AD23" s="215"/>
      <c r="AG23" s="500"/>
      <c r="AH23" s="500"/>
      <c r="AI23" s="500"/>
      <c r="AJ23" s="500"/>
      <c r="AK23" s="500"/>
      <c r="AL23" s="500"/>
      <c r="AM23" s="500"/>
      <c r="AN23" s="500"/>
      <c r="AO23" s="500"/>
      <c r="AP23" s="500"/>
      <c r="AQ23" s="500"/>
      <c r="AR23" s="500"/>
      <c r="AS23" s="500"/>
      <c r="AT23" s="500"/>
      <c r="AU23" s="500"/>
      <c r="AV23" s="500"/>
      <c r="AW23" s="500"/>
      <c r="AX23" s="500"/>
      <c r="AY23" s="500"/>
      <c r="AZ23" s="500"/>
      <c r="BA23" s="500"/>
      <c r="BB23" s="500"/>
      <c r="BC23" s="500"/>
      <c r="BD23" s="500"/>
      <c r="BE23" s="500"/>
      <c r="BF23" s="500"/>
      <c r="BG23" s="500"/>
      <c r="BH23" s="500"/>
      <c r="BI23" s="500"/>
      <c r="BJ23" s="500"/>
      <c r="BK23" s="500"/>
      <c r="BL23" s="500"/>
      <c r="BM23" s="500"/>
      <c r="BN23" s="500"/>
      <c r="BO23" s="500"/>
      <c r="BP23" s="500"/>
      <c r="BQ23" s="500"/>
      <c r="BR23" s="500"/>
      <c r="BS23" s="500"/>
      <c r="BT23" s="500"/>
      <c r="BU23" s="500"/>
      <c r="BV23" s="500"/>
      <c r="BW23" s="500"/>
      <c r="BX23" s="500"/>
      <c r="BY23" s="500"/>
      <c r="BZ23" s="500"/>
      <c r="CA23" s="500"/>
      <c r="CB23" s="500"/>
      <c r="CC23" s="500"/>
      <c r="CD23" s="500"/>
      <c r="CE23" s="500"/>
      <c r="CF23" s="500"/>
      <c r="CG23" s="500"/>
      <c r="CH23" s="500"/>
      <c r="CI23" s="500"/>
      <c r="CJ23" s="500"/>
      <c r="CK23" s="500"/>
      <c r="CL23" s="500"/>
      <c r="CM23" s="500"/>
      <c r="CN23" s="500"/>
      <c r="CO23" s="500"/>
      <c r="CP23" s="500"/>
      <c r="CQ23" s="500"/>
      <c r="CR23" s="500"/>
      <c r="CS23" s="500"/>
      <c r="CT23" s="500"/>
      <c r="CU23" s="500"/>
      <c r="CV23" s="500"/>
      <c r="CW23" s="500"/>
      <c r="CX23" s="500"/>
      <c r="CY23" s="500"/>
      <c r="CZ23" s="500"/>
      <c r="DA23" s="500"/>
      <c r="DB23" s="500"/>
      <c r="DC23" s="500"/>
      <c r="DD23" s="500"/>
      <c r="DE23" s="500"/>
      <c r="DF23" s="500"/>
      <c r="DG23" s="500"/>
      <c r="DH23" s="500"/>
      <c r="DI23" s="500"/>
      <c r="DJ23" s="500"/>
      <c r="DK23" s="500"/>
      <c r="DL23" s="500"/>
      <c r="DM23" s="500"/>
      <c r="DN23" s="500"/>
      <c r="DO23" s="500"/>
      <c r="DP23" s="500"/>
      <c r="DQ23" s="500"/>
      <c r="DR23" s="500"/>
      <c r="DS23" s="500"/>
      <c r="DT23" s="500"/>
      <c r="DU23" s="500"/>
      <c r="DV23" s="500"/>
      <c r="DW23" s="500"/>
      <c r="DX23" s="500"/>
      <c r="DY23" s="500"/>
      <c r="DZ23" s="500"/>
      <c r="EA23" s="500"/>
      <c r="EB23" s="500"/>
      <c r="EC23" s="500"/>
      <c r="ED23" s="500"/>
      <c r="EE23" s="500"/>
      <c r="EF23" s="500"/>
      <c r="EG23" s="500"/>
      <c r="EH23" s="500"/>
      <c r="EI23" s="500"/>
      <c r="EJ23" s="500"/>
      <c r="EK23" s="500"/>
      <c r="EL23" s="500"/>
      <c r="EM23" s="500"/>
      <c r="EN23" s="500"/>
      <c r="EO23" s="500"/>
      <c r="EP23" s="500"/>
      <c r="EQ23" s="500"/>
      <c r="ER23" s="500"/>
      <c r="ES23" s="500"/>
      <c r="ET23" s="500"/>
      <c r="EU23" s="500"/>
      <c r="EV23" s="500"/>
      <c r="EW23" s="500"/>
      <c r="EX23" s="500"/>
      <c r="EY23" s="500"/>
      <c r="EZ23" s="500"/>
      <c r="FA23" s="500"/>
      <c r="FB23" s="500"/>
      <c r="FC23" s="500"/>
      <c r="FD23" s="500"/>
      <c r="FE23" s="500"/>
      <c r="FF23" s="500"/>
      <c r="FG23" s="500"/>
      <c r="FH23" s="500"/>
      <c r="FI23" s="500"/>
      <c r="FJ23" s="500"/>
      <c r="FK23" s="500"/>
      <c r="FL23" s="500"/>
      <c r="FM23" s="500"/>
      <c r="FN23" s="500"/>
      <c r="FO23" s="500"/>
      <c r="FP23" s="500"/>
      <c r="FQ23" s="500"/>
      <c r="FR23" s="500"/>
      <c r="FS23" s="500"/>
      <c r="FT23" s="500"/>
      <c r="FU23" s="500"/>
      <c r="FV23" s="500"/>
      <c r="FW23" s="500"/>
      <c r="GA23" s="1219"/>
      <c r="GB23" s="1219"/>
      <c r="GC23" s="1219"/>
      <c r="GD23" s="1219"/>
    </row>
    <row s="965" customFormat="1" customHeight="1" ht="21.9375">
      <c r="A24" s="179"/>
      <c r="B24" s="788"/>
      <c r="C24" s="1328"/>
      <c r="D24" s="1255"/>
      <c r="E24" s="797">
        <v>22.5</v>
      </c>
      <c r="F24" s="179"/>
      <c r="J24" s="1314"/>
      <c r="K24" s="1314"/>
      <c r="L24" s="1314"/>
      <c r="M24" s="1314"/>
      <c r="N24" s="1314"/>
      <c r="O24" s="1314"/>
      <c r="P24" s="1314"/>
      <c r="Q24" s="1314"/>
      <c r="S24" s="214">
        <f>OR(hasVS,hasVO)</f>
        <v>0</v>
      </c>
      <c r="T24" s="179"/>
      <c r="U24" s="179"/>
      <c r="V24" s="179"/>
      <c r="W24" s="179"/>
      <c r="X24" s="179"/>
      <c r="Y24" s="179"/>
      <c r="Z24" s="179"/>
      <c r="AA24" s="428"/>
      <c r="AB24" s="464" t="s">
        <v>77</v>
      </c>
      <c r="AC24" s="419"/>
      <c r="AD24" s="419"/>
      <c r="AE24" s="419"/>
      <c r="AF24" s="419"/>
      <c r="AG24" s="419"/>
      <c r="AH24" s="419"/>
      <c r="AI24" s="419"/>
      <c r="AJ24" s="419"/>
      <c r="AK24" s="419"/>
      <c r="AL24" s="419"/>
      <c r="AM24" s="419"/>
      <c r="AN24" s="419"/>
      <c r="AO24" s="419"/>
      <c r="AP24" s="419"/>
      <c r="AQ24" s="419"/>
      <c r="AR24" s="419"/>
      <c r="AS24" s="419"/>
      <c r="AT24" s="419"/>
      <c r="AU24" s="419"/>
      <c r="AV24" s="419"/>
      <c r="AW24" s="419"/>
      <c r="AX24" s="419"/>
      <c r="AY24" s="419"/>
      <c r="AZ24" s="419"/>
      <c r="BA24" s="419"/>
      <c r="BB24" s="419"/>
      <c r="BC24" s="419"/>
      <c r="BD24" s="419"/>
      <c r="BE24" s="419"/>
      <c r="BF24" s="419"/>
      <c r="BG24" s="420"/>
      <c r="BH24" s="420"/>
      <c r="BI24" s="420"/>
      <c r="BJ24" s="420"/>
      <c r="BK24" s="420"/>
      <c r="BL24" s="420"/>
      <c r="BM24" s="420"/>
      <c r="BN24" s="420"/>
      <c r="BO24" s="420"/>
      <c r="BP24" s="420"/>
      <c r="BQ24" s="420"/>
      <c r="BR24" s="420"/>
      <c r="BS24" s="420"/>
      <c r="BT24" s="420"/>
      <c r="BU24" s="420"/>
      <c r="BV24" s="420"/>
      <c r="BW24" s="420"/>
      <c r="BX24" s="420"/>
      <c r="BY24" s="420"/>
      <c r="BZ24" s="420"/>
      <c r="CA24" s="420"/>
      <c r="CB24" s="420"/>
      <c r="CC24" s="420"/>
      <c r="CD24" s="420"/>
      <c r="CE24" s="420"/>
      <c r="CF24" s="420"/>
      <c r="CG24" s="420"/>
      <c r="CH24" s="420"/>
      <c r="CI24" s="420"/>
      <c r="CJ24" s="420"/>
      <c r="CK24" s="420"/>
      <c r="CL24" s="420"/>
      <c r="CM24" s="420"/>
      <c r="CN24" s="420"/>
      <c r="CO24" s="420"/>
      <c r="CP24" s="420"/>
      <c r="CQ24" s="420"/>
      <c r="CR24" s="420"/>
      <c r="CS24" s="420"/>
      <c r="CT24" s="420"/>
      <c r="CU24" s="420"/>
      <c r="CV24" s="420"/>
      <c r="CW24" s="420"/>
      <c r="CX24" s="420"/>
      <c r="CY24" s="420"/>
      <c r="CZ24" s="420"/>
      <c r="DA24" s="420"/>
      <c r="DB24" s="420"/>
      <c r="DC24" s="420"/>
      <c r="DD24" s="420"/>
      <c r="DE24" s="420"/>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Z24" s="1173"/>
      <c r="GA24" s="1180"/>
      <c r="GB24" s="1180"/>
      <c r="GC24" s="1180"/>
      <c r="GD24" s="1180"/>
    </row>
    <row customHeight="1" ht="21.9375">
      <c r="E25" s="797">
        <v>22.5</v>
      </c>
      <c r="Q25" s="1317"/>
      <c r="R25" s="213"/>
      <c r="S25" s="214">
        <f>OR(hasVS,hasVO)</f>
        <v>0</v>
      </c>
      <c r="AB25" s="1468" t="s">
        <v>440</v>
      </c>
      <c r="AC25" s="1468" t="s">
        <v>441</v>
      </c>
      <c r="AD25" s="1470" t="str">
        <f>AD6&amp;" год"</f>
        <v>2026 год</v>
      </c>
      <c r="AE25" s="1569"/>
      <c r="AF25" s="1570"/>
      <c r="AG25" s="1470" t="str">
        <f>AG6&amp;" год"</f>
        <v>2027 год</v>
      </c>
      <c r="AH25" s="1569"/>
      <c r="AI25" s="1570"/>
      <c r="AJ25" s="1470" t="str">
        <f>AJ6&amp;" год"</f>
        <v>2028 год</v>
      </c>
      <c r="AK25" s="1569"/>
      <c r="AL25" s="1570"/>
      <c r="AM25" s="1470" t="str">
        <f>AM6&amp;" год"</f>
        <v>2029 год</v>
      </c>
      <c r="AN25" s="1569"/>
      <c r="AO25" s="1570"/>
      <c r="AP25" s="1470" t="str">
        <f>AP6&amp;" год"</f>
        <v>2030 год</v>
      </c>
      <c r="AQ25" s="1569"/>
      <c r="AR25" s="1570"/>
      <c r="AS25" s="1470" t="str">
        <f>AS6&amp;" год"</f>
        <v>2031 год</v>
      </c>
      <c r="AT25" s="1569"/>
      <c r="AU25" s="1570"/>
      <c r="AV25" s="1470" t="str">
        <f>AV6&amp;" год"</f>
        <v>2032 год</v>
      </c>
      <c r="AW25" s="1569"/>
      <c r="AX25" s="1570"/>
      <c r="AY25" s="1470" t="str">
        <f>AY6&amp;" год"</f>
        <v>2033 год</v>
      </c>
      <c r="AZ25" s="1569"/>
      <c r="BA25" s="1570"/>
      <c r="BB25" s="1470" t="str">
        <f>BB6&amp;" год"</f>
        <v>2034 год</v>
      </c>
      <c r="BC25" s="1569"/>
      <c r="BD25" s="1570"/>
      <c r="BE25" s="1470" t="str">
        <f>BE6&amp;" год"</f>
        <v>2035 год</v>
      </c>
      <c r="BF25" s="1569"/>
      <c r="BG25" s="1570"/>
      <c r="BH25" s="1470" t="str">
        <f>BH6&amp;" год"</f>
        <v>2036 год</v>
      </c>
      <c r="BI25" s="1569"/>
      <c r="BJ25" s="1570"/>
      <c r="BK25" s="1470" t="str">
        <f>BK6&amp;" год"</f>
        <v>2037 год</v>
      </c>
      <c r="BL25" s="1569"/>
      <c r="BM25" s="1570"/>
      <c r="BN25" s="1470" t="str">
        <f>BN6&amp;" год"</f>
        <v>2038 год</v>
      </c>
      <c r="BO25" s="1569"/>
      <c r="BP25" s="1570"/>
      <c r="BQ25" s="1470" t="str">
        <f>BQ6&amp;" год"</f>
        <v>2039 год</v>
      </c>
      <c r="BR25" s="1569"/>
      <c r="BS25" s="1570"/>
      <c r="BT25" s="1470" t="str">
        <f>BT6&amp;" год"</f>
        <v>2040 год</v>
      </c>
      <c r="BU25" s="1569"/>
      <c r="BV25" s="1570"/>
      <c r="BW25" s="1470" t="str">
        <f>BW6&amp;" год"</f>
        <v>2041 год</v>
      </c>
      <c r="BX25" s="1569"/>
      <c r="BY25" s="1570"/>
      <c r="BZ25" s="1470" t="str">
        <f>BZ6&amp;" год"</f>
        <v>2042 год</v>
      </c>
      <c r="CA25" s="1569"/>
      <c r="CB25" s="1570"/>
      <c r="CC25" s="1470" t="str">
        <f>CC6&amp;" год"</f>
        <v>2043 год</v>
      </c>
      <c r="CD25" s="1569"/>
      <c r="CE25" s="1570"/>
      <c r="CF25" s="1470" t="str">
        <f>CF6&amp;" год"</f>
        <v>2044 год</v>
      </c>
      <c r="CG25" s="1569"/>
      <c r="CH25" s="1570"/>
      <c r="CI25" s="1470" t="str">
        <f>CI6&amp;" год"</f>
        <v>2045 год</v>
      </c>
      <c r="CJ25" s="1569"/>
      <c r="CK25" s="1570"/>
      <c r="CL25" s="1470" t="str">
        <f>CL6&amp;" год"</f>
        <v>2046 год</v>
      </c>
      <c r="CM25" s="1569"/>
      <c r="CN25" s="1570"/>
      <c r="CO25" s="1470" t="str">
        <f>CO6&amp;" год"</f>
        <v>2047 год</v>
      </c>
      <c r="CP25" s="1569"/>
      <c r="CQ25" s="1570"/>
      <c r="CR25" s="1470" t="str">
        <f>CR6&amp;" год"</f>
        <v>2048 год</v>
      </c>
      <c r="CS25" s="1569"/>
      <c r="CT25" s="1570"/>
      <c r="CU25" s="1470" t="str">
        <f>CU6&amp;" год"</f>
        <v>2049 год</v>
      </c>
      <c r="CV25" s="1569"/>
      <c r="CW25" s="1570"/>
      <c r="CX25" s="1470" t="str">
        <f>CX6&amp;" год"</f>
        <v>2050 год</v>
      </c>
      <c r="CY25" s="1569"/>
      <c r="CZ25" s="1570"/>
      <c r="DA25" s="1470" t="str">
        <f>DA6&amp;" год"</f>
        <v>2051 год</v>
      </c>
      <c r="DB25" s="1569"/>
      <c r="DC25" s="1570"/>
      <c r="DD25" s="1470" t="str">
        <f>DD6&amp;" год"</f>
        <v>2052 год</v>
      </c>
      <c r="DE25" s="1569"/>
      <c r="DF25" s="1570"/>
      <c r="DG25" s="1470" t="str">
        <f>DG6&amp;" год"</f>
        <v>2053 год</v>
      </c>
      <c r="DH25" s="1569"/>
      <c r="DI25" s="1570"/>
      <c r="DJ25" s="1470" t="str">
        <f>DJ6&amp;" год"</f>
        <v>2054 год</v>
      </c>
      <c r="DK25" s="1569"/>
      <c r="DL25" s="1570"/>
      <c r="DM25" s="1470" t="str">
        <f>DM6&amp;" год"</f>
        <v>2055 год</v>
      </c>
      <c r="DN25" s="1569"/>
      <c r="DO25" s="1570"/>
      <c r="DP25" s="1470" t="str">
        <f>DP6&amp;" год"</f>
        <v>2056 год</v>
      </c>
      <c r="DQ25" s="1569"/>
      <c r="DR25" s="1570"/>
      <c r="DS25" s="1470" t="str">
        <f>DS6&amp;" год"</f>
        <v>2057 год</v>
      </c>
      <c r="DT25" s="1569"/>
      <c r="DU25" s="1570"/>
      <c r="DV25" s="1470" t="str">
        <f>DV6&amp;" год"</f>
        <v>2058 год</v>
      </c>
      <c r="DW25" s="1569"/>
      <c r="DX25" s="1570"/>
      <c r="DY25" s="1470" t="str">
        <f>DY6&amp;" год"</f>
        <v>2059 год</v>
      </c>
      <c r="DZ25" s="1569"/>
      <c r="EA25" s="1570"/>
      <c r="EB25" s="1470" t="str">
        <f>EB6&amp;" год"</f>
        <v>2060 год</v>
      </c>
      <c r="EC25" s="1569"/>
      <c r="ED25" s="1570"/>
      <c r="EE25" s="1470" t="str">
        <f>EE6&amp;" год"</f>
        <v>2061 год</v>
      </c>
      <c r="EF25" s="1569"/>
      <c r="EG25" s="1570"/>
      <c r="EH25" s="1470" t="str">
        <f>EH6&amp;" год"</f>
        <v>2062 год</v>
      </c>
      <c r="EI25" s="1569"/>
      <c r="EJ25" s="1570"/>
      <c r="EK25" s="1470" t="str">
        <f>EK6&amp;" год"</f>
        <v>2063 год</v>
      </c>
      <c r="EL25" s="1569"/>
      <c r="EM25" s="1570"/>
      <c r="EN25" s="1470" t="str">
        <f>EN6&amp;" год"</f>
        <v>2064 год</v>
      </c>
      <c r="EO25" s="1569"/>
      <c r="EP25" s="1570"/>
      <c r="EQ25" s="1470" t="str">
        <f>EQ6&amp;" год"</f>
        <v>2065 год</v>
      </c>
      <c r="ER25" s="1569"/>
      <c r="ES25" s="1570"/>
      <c r="ET25" s="1470" t="str">
        <f>ET6&amp;" год"</f>
        <v>2066 год</v>
      </c>
      <c r="EU25" s="1569"/>
      <c r="EV25" s="1570"/>
      <c r="EW25" s="1470" t="str">
        <f>EW6&amp;" год"</f>
        <v>2067 год</v>
      </c>
      <c r="EX25" s="1569"/>
      <c r="EY25" s="1570"/>
      <c r="EZ25" s="1470" t="str">
        <f>EZ6&amp;" год"</f>
        <v>2068 год</v>
      </c>
      <c r="FA25" s="1569"/>
      <c r="FB25" s="1570"/>
      <c r="FC25" s="1470" t="str">
        <f>FC6&amp;" год"</f>
        <v>2069 год</v>
      </c>
      <c r="FD25" s="1569"/>
      <c r="FE25" s="1570"/>
      <c r="FF25" s="1470" t="str">
        <f>FF6&amp;" год"</f>
        <v>2070 год</v>
      </c>
      <c r="FG25" s="1569"/>
      <c r="FH25" s="1570"/>
      <c r="FI25" s="1470" t="str">
        <f>FI6&amp;" год"</f>
        <v>2071 год</v>
      </c>
      <c r="FJ25" s="1569"/>
      <c r="FK25" s="1570"/>
      <c r="FL25" s="1470" t="str">
        <f>FL6&amp;" год"</f>
        <v>2072 год</v>
      </c>
      <c r="FM25" s="1569"/>
      <c r="FN25" s="1570"/>
      <c r="FO25" s="1470" t="str">
        <f>FO6&amp;" год"</f>
        <v>2073 год</v>
      </c>
      <c r="FP25" s="1569"/>
      <c r="FQ25" s="1570"/>
      <c r="FR25" s="1470" t="str">
        <f>FR6&amp;" год"</f>
        <v>2074 год</v>
      </c>
      <c r="FS25" s="1569"/>
      <c r="FT25" s="1570"/>
      <c r="FU25" s="1470" t="str">
        <f>FU6&amp;" год"</f>
        <v>2075 год</v>
      </c>
      <c r="FV25" s="1569"/>
      <c r="FW25" s="1570"/>
      <c r="GA25" s="1219"/>
      <c r="GB25" s="1219"/>
      <c r="GC25" s="1219"/>
      <c r="GD25" s="1219"/>
    </row>
    <row customHeight="1" ht="42.4125">
      <c r="E26" s="797">
        <v>43.5</v>
      </c>
      <c r="Q26" s="1317"/>
      <c r="R26" s="213"/>
      <c r="S26" s="214">
        <f>OR(hasVS,hasVO)</f>
        <v>0</v>
      </c>
      <c r="AB26" s="1468"/>
      <c r="AC26" s="1468"/>
      <c r="AD26" s="1357" t="s">
        <v>403</v>
      </c>
      <c r="AE26" s="172" t="s">
        <v>402</v>
      </c>
      <c r="AF26" s="172" t="s">
        <v>2084</v>
      </c>
      <c r="AG26" s="1360" t="s">
        <v>403</v>
      </c>
      <c r="AH26" s="172" t="s">
        <v>402</v>
      </c>
      <c r="AI26" s="172" t="s">
        <v>2084</v>
      </c>
      <c r="AJ26" s="1360" t="s">
        <v>403</v>
      </c>
      <c r="AK26" s="172" t="s">
        <v>402</v>
      </c>
      <c r="AL26" s="172" t="s">
        <v>2084</v>
      </c>
      <c r="AM26" s="1360" t="s">
        <v>403</v>
      </c>
      <c r="AN26" s="172" t="s">
        <v>402</v>
      </c>
      <c r="AO26" s="172" t="s">
        <v>2084</v>
      </c>
      <c r="AP26" s="1360" t="s">
        <v>403</v>
      </c>
      <c r="AQ26" s="172" t="s">
        <v>402</v>
      </c>
      <c r="AR26" s="172" t="s">
        <v>2084</v>
      </c>
      <c r="AS26" s="1360" t="s">
        <v>403</v>
      </c>
      <c r="AT26" s="172" t="s">
        <v>402</v>
      </c>
      <c r="AU26" s="172" t="s">
        <v>2084</v>
      </c>
      <c r="AV26" s="1360" t="s">
        <v>403</v>
      </c>
      <c r="AW26" s="172" t="s">
        <v>402</v>
      </c>
      <c r="AX26" s="172" t="s">
        <v>2084</v>
      </c>
      <c r="AY26" s="1360" t="s">
        <v>403</v>
      </c>
      <c r="AZ26" s="172" t="s">
        <v>402</v>
      </c>
      <c r="BA26" s="172" t="s">
        <v>2084</v>
      </c>
      <c r="BB26" s="1360" t="s">
        <v>403</v>
      </c>
      <c r="BC26" s="172" t="s">
        <v>402</v>
      </c>
      <c r="BD26" s="172" t="s">
        <v>2084</v>
      </c>
      <c r="BE26" s="1360" t="s">
        <v>403</v>
      </c>
      <c r="BF26" s="172" t="s">
        <v>402</v>
      </c>
      <c r="BG26" s="172" t="s">
        <v>2084</v>
      </c>
      <c r="BH26" s="1360" t="s">
        <v>403</v>
      </c>
      <c r="BI26" s="172" t="s">
        <v>402</v>
      </c>
      <c r="BJ26" s="172" t="s">
        <v>2084</v>
      </c>
      <c r="BK26" s="1360" t="s">
        <v>403</v>
      </c>
      <c r="BL26" s="172" t="s">
        <v>402</v>
      </c>
      <c r="BM26" s="172" t="s">
        <v>2084</v>
      </c>
      <c r="BN26" s="1360" t="s">
        <v>403</v>
      </c>
      <c r="BO26" s="172" t="s">
        <v>402</v>
      </c>
      <c r="BP26" s="172" t="s">
        <v>2084</v>
      </c>
      <c r="BQ26" s="1360" t="s">
        <v>403</v>
      </c>
      <c r="BR26" s="172" t="s">
        <v>402</v>
      </c>
      <c r="BS26" s="172" t="s">
        <v>2084</v>
      </c>
      <c r="BT26" s="1360" t="s">
        <v>403</v>
      </c>
      <c r="BU26" s="172" t="s">
        <v>402</v>
      </c>
      <c r="BV26" s="172" t="s">
        <v>2084</v>
      </c>
      <c r="BW26" s="172" t="s">
        <v>403</v>
      </c>
      <c r="BX26" s="172" t="s">
        <v>402</v>
      </c>
      <c r="BY26" s="172" t="s">
        <v>2084</v>
      </c>
      <c r="BZ26" s="172" t="s">
        <v>403</v>
      </c>
      <c r="CA26" s="172" t="s">
        <v>402</v>
      </c>
      <c r="CB26" s="172" t="s">
        <v>2084</v>
      </c>
      <c r="CC26" s="172" t="s">
        <v>403</v>
      </c>
      <c r="CD26" s="172" t="s">
        <v>402</v>
      </c>
      <c r="CE26" s="172" t="s">
        <v>2084</v>
      </c>
      <c r="CF26" s="172" t="s">
        <v>403</v>
      </c>
      <c r="CG26" s="172" t="s">
        <v>402</v>
      </c>
      <c r="CH26" s="172" t="s">
        <v>2084</v>
      </c>
      <c r="CI26" s="172" t="s">
        <v>403</v>
      </c>
      <c r="CJ26" s="172" t="s">
        <v>402</v>
      </c>
      <c r="CK26" s="172" t="s">
        <v>2084</v>
      </c>
      <c r="CL26" s="172" t="s">
        <v>403</v>
      </c>
      <c r="CM26" s="172" t="s">
        <v>402</v>
      </c>
      <c r="CN26" s="172" t="s">
        <v>2084</v>
      </c>
      <c r="CO26" s="172" t="s">
        <v>403</v>
      </c>
      <c r="CP26" s="172" t="s">
        <v>402</v>
      </c>
      <c r="CQ26" s="172" t="s">
        <v>2084</v>
      </c>
      <c r="CR26" s="172" t="s">
        <v>403</v>
      </c>
      <c r="CS26" s="172" t="s">
        <v>402</v>
      </c>
      <c r="CT26" s="172" t="s">
        <v>2084</v>
      </c>
      <c r="CU26" s="172" t="s">
        <v>403</v>
      </c>
      <c r="CV26" s="172" t="s">
        <v>402</v>
      </c>
      <c r="CW26" s="172" t="s">
        <v>2084</v>
      </c>
      <c r="CX26" s="172" t="s">
        <v>403</v>
      </c>
      <c r="CY26" s="172" t="s">
        <v>402</v>
      </c>
      <c r="CZ26" s="172" t="s">
        <v>2084</v>
      </c>
      <c r="DA26" s="172" t="s">
        <v>403</v>
      </c>
      <c r="DB26" s="172" t="s">
        <v>402</v>
      </c>
      <c r="DC26" s="172" t="s">
        <v>2084</v>
      </c>
      <c r="DD26" s="172" t="s">
        <v>403</v>
      </c>
      <c r="DE26" s="172" t="s">
        <v>402</v>
      </c>
      <c r="DF26" s="172" t="s">
        <v>2084</v>
      </c>
      <c r="DG26" s="172" t="s">
        <v>403</v>
      </c>
      <c r="DH26" s="172" t="s">
        <v>402</v>
      </c>
      <c r="DI26" s="172" t="s">
        <v>2084</v>
      </c>
      <c r="DJ26" s="172" t="s">
        <v>403</v>
      </c>
      <c r="DK26" s="172" t="s">
        <v>402</v>
      </c>
      <c r="DL26" s="172" t="s">
        <v>2084</v>
      </c>
      <c r="DM26" s="172" t="s">
        <v>403</v>
      </c>
      <c r="DN26" s="172" t="s">
        <v>402</v>
      </c>
      <c r="DO26" s="172" t="s">
        <v>2084</v>
      </c>
      <c r="DP26" s="172" t="s">
        <v>403</v>
      </c>
      <c r="DQ26" s="172" t="s">
        <v>402</v>
      </c>
      <c r="DR26" s="172" t="s">
        <v>2084</v>
      </c>
      <c r="DS26" s="172" t="s">
        <v>403</v>
      </c>
      <c r="DT26" s="172" t="s">
        <v>402</v>
      </c>
      <c r="DU26" s="172" t="s">
        <v>2084</v>
      </c>
      <c r="DV26" s="172" t="s">
        <v>403</v>
      </c>
      <c r="DW26" s="172" t="s">
        <v>402</v>
      </c>
      <c r="DX26" s="172" t="s">
        <v>2084</v>
      </c>
      <c r="DY26" s="172" t="s">
        <v>403</v>
      </c>
      <c r="DZ26" s="172" t="s">
        <v>402</v>
      </c>
      <c r="EA26" s="172" t="s">
        <v>2084</v>
      </c>
      <c r="EB26" s="172" t="s">
        <v>403</v>
      </c>
      <c r="EC26" s="172" t="s">
        <v>402</v>
      </c>
      <c r="ED26" s="172" t="s">
        <v>2084</v>
      </c>
      <c r="EE26" s="172" t="s">
        <v>403</v>
      </c>
      <c r="EF26" s="172" t="s">
        <v>402</v>
      </c>
      <c r="EG26" s="172" t="s">
        <v>2084</v>
      </c>
      <c r="EH26" s="172" t="s">
        <v>403</v>
      </c>
      <c r="EI26" s="172" t="s">
        <v>402</v>
      </c>
      <c r="EJ26" s="172" t="s">
        <v>2084</v>
      </c>
      <c r="EK26" s="172" t="s">
        <v>403</v>
      </c>
      <c r="EL26" s="172" t="s">
        <v>402</v>
      </c>
      <c r="EM26" s="172" t="s">
        <v>2084</v>
      </c>
      <c r="EN26" s="172" t="s">
        <v>403</v>
      </c>
      <c r="EO26" s="172" t="s">
        <v>402</v>
      </c>
      <c r="EP26" s="172" t="s">
        <v>2084</v>
      </c>
      <c r="EQ26" s="172" t="s">
        <v>403</v>
      </c>
      <c r="ER26" s="172" t="s">
        <v>402</v>
      </c>
      <c r="ES26" s="172" t="s">
        <v>2084</v>
      </c>
      <c r="ET26" s="172" t="s">
        <v>403</v>
      </c>
      <c r="EU26" s="172" t="s">
        <v>402</v>
      </c>
      <c r="EV26" s="172" t="s">
        <v>2084</v>
      </c>
      <c r="EW26" s="172" t="s">
        <v>403</v>
      </c>
      <c r="EX26" s="172" t="s">
        <v>402</v>
      </c>
      <c r="EY26" s="172" t="s">
        <v>2084</v>
      </c>
      <c r="EZ26" s="172" t="s">
        <v>403</v>
      </c>
      <c r="FA26" s="172" t="s">
        <v>402</v>
      </c>
      <c r="FB26" s="172" t="s">
        <v>2084</v>
      </c>
      <c r="FC26" s="172" t="s">
        <v>403</v>
      </c>
      <c r="FD26" s="172" t="s">
        <v>402</v>
      </c>
      <c r="FE26" s="172" t="s">
        <v>2084</v>
      </c>
      <c r="FF26" s="172" t="s">
        <v>403</v>
      </c>
      <c r="FG26" s="172" t="s">
        <v>402</v>
      </c>
      <c r="FH26" s="172" t="s">
        <v>2084</v>
      </c>
      <c r="FI26" s="172" t="s">
        <v>403</v>
      </c>
      <c r="FJ26" s="172" t="s">
        <v>402</v>
      </c>
      <c r="FK26" s="172" t="s">
        <v>2084</v>
      </c>
      <c r="FL26" s="172" t="s">
        <v>403</v>
      </c>
      <c r="FM26" s="172" t="s">
        <v>402</v>
      </c>
      <c r="FN26" s="172" t="s">
        <v>2084</v>
      </c>
      <c r="FO26" s="172" t="s">
        <v>403</v>
      </c>
      <c r="FP26" s="172" t="s">
        <v>402</v>
      </c>
      <c r="FQ26" s="172" t="s">
        <v>2084</v>
      </c>
      <c r="FR26" s="172" t="s">
        <v>403</v>
      </c>
      <c r="FS26" s="172" t="s">
        <v>402</v>
      </c>
      <c r="FT26" s="172" t="s">
        <v>2084</v>
      </c>
      <c r="FU26" s="172" t="s">
        <v>403</v>
      </c>
      <c r="FV26" s="172" t="s">
        <v>402</v>
      </c>
      <c r="FW26" s="172" t="s">
        <v>2084</v>
      </c>
      <c r="GA26" s="1219"/>
      <c r="GB26" s="1219"/>
      <c r="GC26" s="1219"/>
      <c r="GD26" s="1219"/>
    </row>
    <row customHeight="1" ht="43.5" hidden="1">
      <c r="E27" s="797">
        <v>0</v>
      </c>
      <c r="Q27" s="1317"/>
      <c r="R27" s="213"/>
      <c r="S27" s="214"/>
      <c r="AB27" s="714"/>
      <c r="AC27" s="715"/>
      <c r="AD27" s="678"/>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B27" s="679"/>
      <c r="BC27" s="679"/>
      <c r="BD27" s="679"/>
      <c r="BE27" s="679"/>
      <c r="BF27" s="679"/>
      <c r="BG27" s="679"/>
      <c r="BH27" s="679"/>
      <c r="BI27" s="679"/>
      <c r="BJ27" s="679"/>
      <c r="BK27" s="679"/>
      <c r="BL27" s="679"/>
      <c r="BM27" s="679"/>
      <c r="BN27" s="679"/>
      <c r="BO27" s="679"/>
      <c r="BP27" s="679"/>
      <c r="BQ27" s="679"/>
      <c r="BR27" s="679"/>
      <c r="BS27" s="679"/>
      <c r="BT27" s="679"/>
      <c r="BU27" s="679"/>
      <c r="BV27" s="679"/>
      <c r="BW27" s="679"/>
      <c r="BX27" s="679"/>
      <c r="BY27" s="679"/>
      <c r="BZ27" s="679"/>
      <c r="CA27" s="679"/>
      <c r="CB27" s="679"/>
      <c r="CC27" s="679"/>
      <c r="CD27" s="679"/>
      <c r="CE27" s="679"/>
      <c r="CF27" s="679"/>
      <c r="CG27" s="679"/>
      <c r="CH27" s="679"/>
      <c r="CI27" s="679"/>
      <c r="CJ27" s="679"/>
      <c r="CK27" s="679"/>
      <c r="CL27" s="679"/>
      <c r="CM27" s="679"/>
      <c r="CN27" s="679"/>
      <c r="CO27" s="679"/>
      <c r="CP27" s="679"/>
      <c r="CQ27" s="679"/>
      <c r="CR27" s="679"/>
      <c r="CS27" s="679"/>
      <c r="CT27" s="679"/>
      <c r="CU27" s="679"/>
      <c r="CV27" s="679"/>
      <c r="CW27" s="679"/>
      <c r="CX27" s="679"/>
      <c r="CY27" s="679"/>
      <c r="CZ27" s="679"/>
      <c r="DA27" s="679"/>
      <c r="DB27" s="679"/>
      <c r="DC27" s="679"/>
      <c r="DD27" s="679"/>
      <c r="DE27" s="679"/>
      <c r="DF27" s="679"/>
      <c r="DG27" s="679"/>
      <c r="DH27" s="679"/>
      <c r="DI27" s="679"/>
      <c r="DJ27" s="679"/>
      <c r="DK27" s="679"/>
      <c r="DL27" s="679"/>
      <c r="DM27" s="679"/>
      <c r="DN27" s="679"/>
      <c r="DO27" s="679"/>
      <c r="DP27" s="679"/>
      <c r="DQ27" s="679"/>
      <c r="DR27" s="679"/>
      <c r="DS27" s="679"/>
      <c r="DT27" s="679"/>
      <c r="DU27" s="679"/>
      <c r="DV27" s="679"/>
      <c r="DW27" s="679"/>
      <c r="DX27" s="679"/>
      <c r="DY27" s="679"/>
      <c r="DZ27" s="679"/>
      <c r="EA27" s="679"/>
      <c r="EB27" s="679"/>
      <c r="EC27" s="679"/>
      <c r="ED27" s="679"/>
      <c r="EE27" s="679"/>
      <c r="EF27" s="679"/>
      <c r="EG27" s="679"/>
      <c r="EH27" s="679"/>
      <c r="EI27" s="679"/>
      <c r="EJ27" s="679"/>
      <c r="EK27" s="679"/>
      <c r="EL27" s="679"/>
      <c r="EM27" s="679"/>
      <c r="EN27" s="679"/>
      <c r="EO27" s="679"/>
      <c r="EP27" s="679"/>
      <c r="EQ27" s="679"/>
      <c r="ER27" s="679"/>
      <c r="ES27" s="679"/>
      <c r="ET27" s="679"/>
      <c r="EU27" s="679"/>
      <c r="EV27" s="679"/>
      <c r="EW27" s="679"/>
      <c r="EX27" s="679"/>
      <c r="EY27" s="679"/>
      <c r="EZ27" s="679"/>
      <c r="FA27" s="679"/>
      <c r="FB27" s="679"/>
      <c r="FC27" s="679"/>
      <c r="FD27" s="679"/>
      <c r="FE27" s="679"/>
      <c r="FF27" s="679"/>
      <c r="FG27" s="679"/>
      <c r="FH27" s="679"/>
      <c r="FI27" s="679"/>
      <c r="FJ27" s="679"/>
      <c r="FK27" s="679"/>
      <c r="FL27" s="679"/>
      <c r="FM27" s="679"/>
      <c r="FN27" s="679"/>
      <c r="FO27" s="679"/>
      <c r="FP27" s="679"/>
      <c r="FQ27" s="679"/>
      <c r="FR27" s="679"/>
      <c r="FS27" s="679"/>
      <c r="FT27" s="679"/>
      <c r="FU27" s="679"/>
      <c r="FV27" s="679"/>
      <c r="FW27" s="680"/>
      <c r="GA27" s="1219"/>
      <c r="GB27" s="1219"/>
      <c r="GC27" s="1219"/>
      <c r="GD27" s="1219"/>
    </row>
    <row customHeight="1" ht="21.9375" hidden="1">
      <c r="E28" s="797">
        <v>22.5</v>
      </c>
      <c r="F28" s="922" cm="1" t="str">
        <f t="array" ref="F28:F28">X28</f>
        <v>0</v>
      </c>
      <c r="G28" s="739" cm="1" t="str">
        <f t="array" ref="G28:G28">INDEX('Общие сведения'!$AK$169:$AK$202,MATCH($F28,'Общие сведения'!$Z$169:$Z$202,0))</f>
        <v>0</v>
      </c>
      <c r="Q28" s="1299"/>
      <c r="R28" s="213" cm="1" t="str">
        <f t="array" ref="R28:R28">INDEX('Общие сведения'!$AK$169:$AK$202,MATCH($F28,'Общие сведения'!$Z$169:$Z$202,0))</f>
        <v>0</v>
      </c>
      <c r="T28" s="808">
        <f>X28&gt;0</f>
        <v>0</v>
      </c>
      <c r="V28" s="175" t="s">
        <v>310</v>
      </c>
      <c r="X28" s="175">
        <v>0</v>
      </c>
      <c r="AB28" s="1572" t="s">
        <v>386</v>
      </c>
      <c r="AC28" s="1573"/>
      <c r="AD28" s="354" t="str">
        <f>"Тариф "&amp;F28</f>
        <v>Тариф 0</v>
      </c>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355"/>
      <c r="BT28" s="355"/>
      <c r="BU28" s="355"/>
      <c r="BV28" s="355"/>
      <c r="BW28" s="355"/>
      <c r="BX28" s="355"/>
      <c r="BY28" s="355"/>
      <c r="BZ28" s="355"/>
      <c r="CA28" s="355"/>
      <c r="CB28" s="355"/>
      <c r="CC28" s="355"/>
      <c r="CD28" s="355"/>
      <c r="CE28" s="355"/>
      <c r="CF28" s="355"/>
      <c r="CG28" s="355"/>
      <c r="CH28" s="355"/>
      <c r="CI28" s="355"/>
      <c r="CJ28" s="355"/>
      <c r="CK28" s="355"/>
      <c r="CL28" s="355"/>
      <c r="CM28" s="355"/>
      <c r="CN28" s="355"/>
      <c r="CO28" s="355"/>
      <c r="CP28" s="355"/>
      <c r="CQ28" s="355"/>
      <c r="CR28" s="355"/>
      <c r="CS28" s="355"/>
      <c r="CT28" s="355"/>
      <c r="CU28" s="355"/>
      <c r="CV28" s="355"/>
      <c r="CW28" s="355"/>
      <c r="CX28" s="355"/>
      <c r="CY28" s="355"/>
      <c r="CZ28" s="355"/>
      <c r="DA28" s="355"/>
      <c r="DB28" s="355"/>
      <c r="DC28" s="355"/>
      <c r="DD28" s="355"/>
      <c r="DE28" s="355"/>
      <c r="DF28" s="355"/>
      <c r="DG28" s="355"/>
      <c r="DH28" s="355"/>
      <c r="DI28" s="355"/>
      <c r="DJ28" s="355"/>
      <c r="DK28" s="355"/>
      <c r="DL28" s="355"/>
      <c r="DM28" s="355"/>
      <c r="DN28" s="355"/>
      <c r="DO28" s="355"/>
      <c r="DP28" s="355"/>
      <c r="DQ28" s="355"/>
      <c r="DR28" s="355"/>
      <c r="DS28" s="355"/>
      <c r="DT28" s="355"/>
      <c r="DU28" s="355"/>
      <c r="DV28" s="355"/>
      <c r="DW28" s="355"/>
      <c r="DX28" s="355"/>
      <c r="DY28" s="355"/>
      <c r="DZ28" s="355"/>
      <c r="EA28" s="355"/>
      <c r="EB28" s="355"/>
      <c r="EC28" s="355"/>
      <c r="ED28" s="355"/>
      <c r="EE28" s="355"/>
      <c r="EF28" s="355"/>
      <c r="EG28" s="355"/>
      <c r="EH28" s="355"/>
      <c r="EI28" s="355"/>
      <c r="EJ28" s="355"/>
      <c r="EK28" s="355"/>
      <c r="EL28" s="355"/>
      <c r="EM28" s="355"/>
      <c r="EN28" s="355"/>
      <c r="EO28" s="355"/>
      <c r="EP28" s="355"/>
      <c r="EQ28" s="355"/>
      <c r="ER28" s="355"/>
      <c r="ES28" s="355"/>
      <c r="ET28" s="355"/>
      <c r="EU28" s="355"/>
      <c r="EV28" s="355"/>
      <c r="EW28" s="355"/>
      <c r="EX28" s="355"/>
      <c r="EY28" s="355"/>
      <c r="EZ28" s="355"/>
      <c r="FA28" s="355"/>
      <c r="FB28" s="355"/>
      <c r="FC28" s="355"/>
      <c r="FD28" s="355"/>
      <c r="FE28" s="355"/>
      <c r="FF28" s="355"/>
      <c r="FG28" s="355"/>
      <c r="FH28" s="355"/>
      <c r="FI28" s="355"/>
      <c r="FJ28" s="355"/>
      <c r="FK28" s="355"/>
      <c r="FL28" s="355"/>
      <c r="FM28" s="355"/>
      <c r="FN28" s="355"/>
      <c r="FO28" s="355"/>
      <c r="FP28" s="355"/>
      <c r="FQ28" s="355"/>
      <c r="FR28" s="355"/>
      <c r="FS28" s="355"/>
      <c r="FT28" s="355"/>
      <c r="FU28" s="355"/>
      <c r="FV28" s="355"/>
      <c r="FW28" s="356"/>
      <c r="GA28" s="1184"/>
      <c r="GB28" s="1184"/>
      <c r="GC28" s="1184"/>
      <c r="GD28" s="1184"/>
    </row>
    <row customHeight="1" ht="15" hidden="1">
      <c r="E29" s="797">
        <v>0</v>
      </c>
      <c r="F29" s="922" cm="1" t="str">
        <f t="array" ref="F29:F29">OFFSET(G29,-1,-1)</f>
        <v>0</v>
      </c>
      <c r="Q29" s="1299"/>
      <c r="T29" s="808" t="b">
        <v>0</v>
      </c>
      <c r="AB29" s="1445"/>
      <c r="AC29" s="1447"/>
      <c r="AD29" s="354"/>
      <c r="AE29" s="357"/>
      <c r="AF29" s="357"/>
      <c r="AG29" s="357"/>
      <c r="AH29" s="357"/>
      <c r="AI29" s="357"/>
      <c r="AJ29" s="357"/>
      <c r="AK29" s="357"/>
      <c r="AL29" s="357"/>
      <c r="AM29" s="357"/>
      <c r="AN29" s="357"/>
      <c r="AO29" s="357"/>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7"/>
      <c r="BQ29" s="357"/>
      <c r="BR29" s="357"/>
      <c r="BS29" s="357"/>
      <c r="BT29" s="357"/>
      <c r="BU29" s="357"/>
      <c r="BV29" s="357"/>
      <c r="BW29" s="357"/>
      <c r="BX29" s="357"/>
      <c r="BY29" s="357"/>
      <c r="BZ29" s="357"/>
      <c r="CA29" s="357"/>
      <c r="CB29" s="357"/>
      <c r="CC29" s="357"/>
      <c r="CD29" s="357"/>
      <c r="CE29" s="357"/>
      <c r="CF29" s="357"/>
      <c r="CG29" s="357"/>
      <c r="CH29" s="357"/>
      <c r="CI29" s="357"/>
      <c r="CJ29" s="357"/>
      <c r="CK29" s="357"/>
      <c r="CL29" s="357"/>
      <c r="CM29" s="357"/>
      <c r="CN29" s="357"/>
      <c r="CO29" s="357"/>
      <c r="CP29" s="357"/>
      <c r="CQ29" s="357"/>
      <c r="CR29" s="357"/>
      <c r="CS29" s="357"/>
      <c r="CT29" s="357"/>
      <c r="CU29" s="357"/>
      <c r="CV29" s="357"/>
      <c r="CW29" s="357"/>
      <c r="CX29" s="357"/>
      <c r="CY29" s="357"/>
      <c r="CZ29" s="357"/>
      <c r="DA29" s="357"/>
      <c r="DB29" s="357"/>
      <c r="DC29" s="357"/>
      <c r="DD29" s="357"/>
      <c r="DE29" s="357"/>
      <c r="DF29" s="357"/>
      <c r="DG29" s="357"/>
      <c r="DH29" s="357"/>
      <c r="DI29" s="357"/>
      <c r="DJ29" s="357"/>
      <c r="DK29" s="357"/>
      <c r="DL29" s="357"/>
      <c r="DM29" s="357"/>
      <c r="DN29" s="357"/>
      <c r="DO29" s="357"/>
      <c r="DP29" s="357"/>
      <c r="DQ29" s="357"/>
      <c r="DR29" s="357"/>
      <c r="DS29" s="357"/>
      <c r="DT29" s="357"/>
      <c r="DU29" s="357"/>
      <c r="DV29" s="357"/>
      <c r="DW29" s="357"/>
      <c r="DX29" s="357"/>
      <c r="DY29" s="357"/>
      <c r="DZ29" s="357"/>
      <c r="EA29" s="357"/>
      <c r="EB29" s="357"/>
      <c r="EC29" s="357"/>
      <c r="ED29" s="357"/>
      <c r="EE29" s="357"/>
      <c r="EF29" s="357"/>
      <c r="EG29" s="357"/>
      <c r="EH29" s="357"/>
      <c r="EI29" s="357"/>
      <c r="EJ29" s="357"/>
      <c r="EK29" s="357"/>
      <c r="EL29" s="357"/>
      <c r="EM29" s="357"/>
      <c r="EN29" s="357"/>
      <c r="EO29" s="357"/>
      <c r="EP29" s="357"/>
      <c r="EQ29" s="357"/>
      <c r="ER29" s="357"/>
      <c r="ES29" s="357"/>
      <c r="ET29" s="357"/>
      <c r="EU29" s="357"/>
      <c r="EV29" s="357"/>
      <c r="EW29" s="357"/>
      <c r="EX29" s="357"/>
      <c r="EY29" s="357"/>
      <c r="EZ29" s="357"/>
      <c r="FA29" s="357"/>
      <c r="FB29" s="357"/>
      <c r="FC29" s="357"/>
      <c r="FD29" s="357"/>
      <c r="FE29" s="357"/>
      <c r="FF29" s="357"/>
      <c r="FG29" s="357"/>
      <c r="FH29" s="357"/>
      <c r="FI29" s="357"/>
      <c r="FJ29" s="357"/>
      <c r="FK29" s="357"/>
      <c r="FL29" s="357"/>
      <c r="FM29" s="357"/>
      <c r="FN29" s="357"/>
      <c r="FO29" s="357"/>
      <c r="FP29" s="357"/>
      <c r="FQ29" s="357"/>
      <c r="FR29" s="357"/>
      <c r="FS29" s="357"/>
      <c r="FT29" s="357"/>
      <c r="FU29" s="357"/>
      <c r="FV29" s="357"/>
      <c r="FW29" s="358"/>
      <c r="GA29" s="1184"/>
      <c r="GB29" s="1184"/>
      <c r="GC29" s="1184"/>
      <c r="GD29" s="1184"/>
    </row>
    <row customHeight="1" ht="16.672500000000003" hidden="1">
      <c r="E30" s="797">
        <v>17.1</v>
      </c>
      <c r="F30" s="922" cm="1" t="str">
        <f t="array" ref="F30:F30">OFFSET(G30,-1,-1)</f>
        <v>0</v>
      </c>
      <c r="Q30" s="1299"/>
      <c r="T30" s="808" cm="1" t="str">
        <f t="array" ref="T30:T30">T28</f>
        <v>false</v>
      </c>
      <c r="AB30" s="1445" t="s">
        <v>2085</v>
      </c>
      <c r="AC30" s="1447"/>
      <c r="AD30" s="354" cm="1" t="str">
        <f t="array" ref="AD30:AD30">INDEX('Общие сведения'!$AM$169:$AM$202,MATCH($F30,'Общие сведения'!$Z$169:$Z$202,0))</f>
        <v>0</v>
      </c>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7"/>
      <c r="BQ30" s="357"/>
      <c r="BR30" s="357"/>
      <c r="BS30" s="357"/>
      <c r="BT30" s="357"/>
      <c r="BU30" s="357"/>
      <c r="BV30" s="357"/>
      <c r="BW30" s="357"/>
      <c r="BX30" s="357"/>
      <c r="BY30" s="357"/>
      <c r="BZ30" s="357"/>
      <c r="CA30" s="357"/>
      <c r="CB30" s="357"/>
      <c r="CC30" s="357"/>
      <c r="CD30" s="357"/>
      <c r="CE30" s="357"/>
      <c r="CF30" s="357"/>
      <c r="CG30" s="357"/>
      <c r="CH30" s="357"/>
      <c r="CI30" s="357"/>
      <c r="CJ30" s="357"/>
      <c r="CK30" s="357"/>
      <c r="CL30" s="357"/>
      <c r="CM30" s="357"/>
      <c r="CN30" s="357"/>
      <c r="CO30" s="357"/>
      <c r="CP30" s="357"/>
      <c r="CQ30" s="357"/>
      <c r="CR30" s="357"/>
      <c r="CS30" s="357"/>
      <c r="CT30" s="357"/>
      <c r="CU30" s="357"/>
      <c r="CV30" s="357"/>
      <c r="CW30" s="357"/>
      <c r="CX30" s="357"/>
      <c r="CY30" s="357"/>
      <c r="CZ30" s="357"/>
      <c r="DA30" s="357"/>
      <c r="DB30" s="357"/>
      <c r="DC30" s="357"/>
      <c r="DD30" s="357"/>
      <c r="DE30" s="357"/>
      <c r="DF30" s="357"/>
      <c r="DG30" s="357"/>
      <c r="DH30" s="357"/>
      <c r="DI30" s="357"/>
      <c r="DJ30" s="357"/>
      <c r="DK30" s="357"/>
      <c r="DL30" s="357"/>
      <c r="DM30" s="357"/>
      <c r="DN30" s="357"/>
      <c r="DO30" s="357"/>
      <c r="DP30" s="357"/>
      <c r="DQ30" s="357"/>
      <c r="DR30" s="357"/>
      <c r="DS30" s="357"/>
      <c r="DT30" s="357"/>
      <c r="DU30" s="357"/>
      <c r="DV30" s="357"/>
      <c r="DW30" s="357"/>
      <c r="DX30" s="357"/>
      <c r="DY30" s="357"/>
      <c r="DZ30" s="357"/>
      <c r="EA30" s="357"/>
      <c r="EB30" s="357"/>
      <c r="EC30" s="357"/>
      <c r="ED30" s="357"/>
      <c r="EE30" s="357"/>
      <c r="EF30" s="357"/>
      <c r="EG30" s="357"/>
      <c r="EH30" s="357"/>
      <c r="EI30" s="357"/>
      <c r="EJ30" s="357"/>
      <c r="EK30" s="357"/>
      <c r="EL30" s="357"/>
      <c r="EM30" s="357"/>
      <c r="EN30" s="357"/>
      <c r="EO30" s="357"/>
      <c r="EP30" s="357"/>
      <c r="EQ30" s="357"/>
      <c r="ER30" s="357"/>
      <c r="ES30" s="357"/>
      <c r="ET30" s="357"/>
      <c r="EU30" s="357"/>
      <c r="EV30" s="357"/>
      <c r="EW30" s="357"/>
      <c r="EX30" s="357"/>
      <c r="EY30" s="357"/>
      <c r="EZ30" s="357"/>
      <c r="FA30" s="357"/>
      <c r="FB30" s="357"/>
      <c r="FC30" s="357"/>
      <c r="FD30" s="357"/>
      <c r="FE30" s="357"/>
      <c r="FF30" s="357"/>
      <c r="FG30" s="357"/>
      <c r="FH30" s="357"/>
      <c r="FI30" s="357"/>
      <c r="FJ30" s="357"/>
      <c r="FK30" s="357"/>
      <c r="FL30" s="357"/>
      <c r="FM30" s="357"/>
      <c r="FN30" s="357"/>
      <c r="FO30" s="357"/>
      <c r="FP30" s="357"/>
      <c r="FQ30" s="357"/>
      <c r="FR30" s="357"/>
      <c r="FS30" s="357"/>
      <c r="FT30" s="357"/>
      <c r="FU30" s="357"/>
      <c r="FV30" s="357"/>
      <c r="FW30" s="358"/>
      <c r="GA30" s="1184"/>
      <c r="GB30" s="1184"/>
      <c r="GC30" s="1184"/>
      <c r="GD30" s="1184"/>
    </row>
    <row customHeight="1" ht="16.672500000000003" hidden="1">
      <c r="E31" s="797">
        <v>17.1</v>
      </c>
      <c r="F31" s="922" cm="1" t="str">
        <f t="array" ref="F31:F31">OFFSET(G31,-1,-1)</f>
        <v>0</v>
      </c>
      <c r="Q31" s="1299"/>
      <c r="T31" s="808" cm="1" t="str">
        <f t="array" ref="T31:T31">T30</f>
        <v>false</v>
      </c>
      <c r="AB31" s="1445" t="s">
        <v>2086</v>
      </c>
      <c r="AC31" s="1447"/>
      <c r="AD31" s="354" cm="1" t="str">
        <f t="array" ref="AD31:AD31">INDEX('Общие сведения'!$AJ$169:$AJ$202,MATCH($F31,'Общие сведения'!$Z$169:$Z$202,0))</f>
        <v>0</v>
      </c>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c r="BS31" s="357"/>
      <c r="BT31" s="357"/>
      <c r="BU31" s="357"/>
      <c r="BV31" s="357"/>
      <c r="BW31" s="357"/>
      <c r="BX31" s="357"/>
      <c r="BY31" s="357"/>
      <c r="BZ31" s="357"/>
      <c r="CA31" s="357"/>
      <c r="CB31" s="357"/>
      <c r="CC31" s="357"/>
      <c r="CD31" s="357"/>
      <c r="CE31" s="357"/>
      <c r="CF31" s="357"/>
      <c r="CG31" s="357"/>
      <c r="CH31" s="357"/>
      <c r="CI31" s="357"/>
      <c r="CJ31" s="357"/>
      <c r="CK31" s="357"/>
      <c r="CL31" s="357"/>
      <c r="CM31" s="357"/>
      <c r="CN31" s="357"/>
      <c r="CO31" s="357"/>
      <c r="CP31" s="357"/>
      <c r="CQ31" s="357"/>
      <c r="CR31" s="357"/>
      <c r="CS31" s="357"/>
      <c r="CT31" s="357"/>
      <c r="CU31" s="357"/>
      <c r="CV31" s="357"/>
      <c r="CW31" s="357"/>
      <c r="CX31" s="357"/>
      <c r="CY31" s="357"/>
      <c r="CZ31" s="357"/>
      <c r="DA31" s="357"/>
      <c r="DB31" s="357"/>
      <c r="DC31" s="357"/>
      <c r="DD31" s="357"/>
      <c r="DE31" s="357"/>
      <c r="DF31" s="357"/>
      <c r="DG31" s="357"/>
      <c r="DH31" s="357"/>
      <c r="DI31" s="357"/>
      <c r="DJ31" s="357"/>
      <c r="DK31" s="357"/>
      <c r="DL31" s="357"/>
      <c r="DM31" s="357"/>
      <c r="DN31" s="357"/>
      <c r="DO31" s="357"/>
      <c r="DP31" s="357"/>
      <c r="DQ31" s="357"/>
      <c r="DR31" s="357"/>
      <c r="DS31" s="357"/>
      <c r="DT31" s="357"/>
      <c r="DU31" s="357"/>
      <c r="DV31" s="357"/>
      <c r="DW31" s="357"/>
      <c r="DX31" s="357"/>
      <c r="DY31" s="357"/>
      <c r="DZ31" s="357"/>
      <c r="EA31" s="357"/>
      <c r="EB31" s="357"/>
      <c r="EC31" s="357"/>
      <c r="ED31" s="357"/>
      <c r="EE31" s="357"/>
      <c r="EF31" s="357"/>
      <c r="EG31" s="357"/>
      <c r="EH31" s="357"/>
      <c r="EI31" s="357"/>
      <c r="EJ31" s="357"/>
      <c r="EK31" s="357"/>
      <c r="EL31" s="357"/>
      <c r="EM31" s="357"/>
      <c r="EN31" s="357"/>
      <c r="EO31" s="357"/>
      <c r="EP31" s="357"/>
      <c r="EQ31" s="357"/>
      <c r="ER31" s="357"/>
      <c r="ES31" s="357"/>
      <c r="ET31" s="357"/>
      <c r="EU31" s="357"/>
      <c r="EV31" s="357"/>
      <c r="EW31" s="357"/>
      <c r="EX31" s="357"/>
      <c r="EY31" s="357"/>
      <c r="EZ31" s="357"/>
      <c r="FA31" s="357"/>
      <c r="FB31" s="357"/>
      <c r="FC31" s="357"/>
      <c r="FD31" s="357"/>
      <c r="FE31" s="357"/>
      <c r="FF31" s="357"/>
      <c r="FG31" s="357"/>
      <c r="FH31" s="357"/>
      <c r="FI31" s="357"/>
      <c r="FJ31" s="357"/>
      <c r="FK31" s="357"/>
      <c r="FL31" s="357"/>
      <c r="FM31" s="357"/>
      <c r="FN31" s="357"/>
      <c r="FO31" s="357"/>
      <c r="FP31" s="357"/>
      <c r="FQ31" s="357"/>
      <c r="FR31" s="357"/>
      <c r="FS31" s="357"/>
      <c r="FT31" s="357"/>
      <c r="FU31" s="357"/>
      <c r="FV31" s="357"/>
      <c r="FW31" s="358"/>
      <c r="GA31" s="1184"/>
      <c r="GB31" s="1184"/>
      <c r="GC31" s="1184"/>
      <c r="GD31" s="1184"/>
    </row>
    <row customHeight="1" ht="16.672500000000003" hidden="1">
      <c r="B32" s="964">
        <f>R28="одноставочный"</f>
        <v>0</v>
      </c>
      <c r="E32" s="797">
        <v>17.1</v>
      </c>
      <c r="F32" s="922" cm="1" t="str">
        <f t="array" ref="F32:F32">OFFSET(G32,-1,-1)</f>
        <v>0</v>
      </c>
      <c r="Q32" s="1299"/>
      <c r="T32" s="808">
        <f>AND(F32&gt;0,G28="одноставочный")</f>
        <v>0</v>
      </c>
      <c r="AB32" s="359" t="s">
        <v>2087</v>
      </c>
      <c r="AC32" s="360"/>
      <c r="AD32" s="361"/>
      <c r="AE32" s="361"/>
      <c r="AF32" s="361"/>
      <c r="AG32" s="361"/>
      <c r="AH32" s="361"/>
      <c r="AI32" s="361"/>
      <c r="AJ32" s="361"/>
      <c r="AK32" s="361"/>
      <c r="AL32" s="361"/>
      <c r="AM32" s="361"/>
      <c r="AN32" s="361"/>
      <c r="AO32" s="361"/>
      <c r="AP32" s="361"/>
      <c r="AQ32" s="361"/>
      <c r="AR32" s="361"/>
      <c r="AS32" s="361"/>
      <c r="AT32" s="361"/>
      <c r="AU32" s="361"/>
      <c r="AV32" s="361"/>
      <c r="AW32" s="361"/>
      <c r="AX32" s="361"/>
      <c r="AY32" s="361"/>
      <c r="AZ32" s="361"/>
      <c r="BA32" s="361"/>
      <c r="BB32" s="361"/>
      <c r="BC32" s="361"/>
      <c r="BD32" s="361"/>
      <c r="BE32" s="361"/>
      <c r="BF32" s="361"/>
      <c r="BG32" s="361"/>
      <c r="BH32" s="361"/>
      <c r="BI32" s="361"/>
      <c r="BJ32" s="362"/>
      <c r="BK32" s="361"/>
      <c r="BL32" s="361"/>
      <c r="BM32" s="362"/>
      <c r="BN32" s="361"/>
      <c r="BO32" s="361"/>
      <c r="BP32" s="362"/>
      <c r="BQ32" s="361"/>
      <c r="BR32" s="361"/>
      <c r="BS32" s="362"/>
      <c r="BT32" s="361"/>
      <c r="BU32" s="361"/>
      <c r="BV32" s="362"/>
      <c r="BW32" s="361"/>
      <c r="BX32" s="361"/>
      <c r="BY32" s="362"/>
      <c r="BZ32" s="361"/>
      <c r="CA32" s="361"/>
      <c r="CB32" s="362"/>
      <c r="CC32" s="361"/>
      <c r="CD32" s="361"/>
      <c r="CE32" s="362"/>
      <c r="CF32" s="361"/>
      <c r="CG32" s="361"/>
      <c r="CH32" s="362"/>
      <c r="CI32" s="361"/>
      <c r="CJ32" s="361"/>
      <c r="CK32" s="362"/>
      <c r="CL32" s="361"/>
      <c r="CM32" s="361"/>
      <c r="CN32" s="362"/>
      <c r="CO32" s="361"/>
      <c r="CP32" s="361"/>
      <c r="CQ32" s="362"/>
      <c r="CR32" s="361"/>
      <c r="CS32" s="361"/>
      <c r="CT32" s="362"/>
      <c r="CU32" s="361"/>
      <c r="CV32" s="361"/>
      <c r="CW32" s="362"/>
      <c r="CX32" s="361"/>
      <c r="CY32" s="361"/>
      <c r="CZ32" s="362"/>
      <c r="DA32" s="361"/>
      <c r="DB32" s="361"/>
      <c r="DC32" s="362"/>
      <c r="DD32" s="361"/>
      <c r="DE32" s="361"/>
      <c r="DF32" s="362"/>
      <c r="DG32" s="361"/>
      <c r="DH32" s="361"/>
      <c r="DI32" s="362"/>
      <c r="DJ32" s="361"/>
      <c r="DK32" s="361"/>
      <c r="DL32" s="362"/>
      <c r="DM32" s="361"/>
      <c r="DN32" s="361"/>
      <c r="DO32" s="362"/>
      <c r="DP32" s="361"/>
      <c r="DQ32" s="361"/>
      <c r="DR32" s="362"/>
      <c r="DS32" s="361"/>
      <c r="DT32" s="361"/>
      <c r="DU32" s="362"/>
      <c r="DV32" s="361"/>
      <c r="DW32" s="361"/>
      <c r="DX32" s="362"/>
      <c r="DY32" s="361"/>
      <c r="DZ32" s="361"/>
      <c r="EA32" s="362"/>
      <c r="EB32" s="361"/>
      <c r="EC32" s="361"/>
      <c r="ED32" s="362"/>
      <c r="EE32" s="361"/>
      <c r="EF32" s="361"/>
      <c r="EG32" s="362"/>
      <c r="EH32" s="361"/>
      <c r="EI32" s="361"/>
      <c r="EJ32" s="362"/>
      <c r="EK32" s="361"/>
      <c r="EL32" s="361"/>
      <c r="EM32" s="362"/>
      <c r="EN32" s="361"/>
      <c r="EO32" s="361"/>
      <c r="EP32" s="362"/>
      <c r="EQ32" s="361"/>
      <c r="ER32" s="361"/>
      <c r="ES32" s="362"/>
      <c r="ET32" s="361"/>
      <c r="EU32" s="361"/>
      <c r="EV32" s="362"/>
      <c r="EW32" s="361"/>
      <c r="EX32" s="361"/>
      <c r="EY32" s="362"/>
      <c r="EZ32" s="361"/>
      <c r="FA32" s="361"/>
      <c r="FB32" s="362"/>
      <c r="FC32" s="361"/>
      <c r="FD32" s="361"/>
      <c r="FE32" s="362"/>
      <c r="FF32" s="361"/>
      <c r="FG32" s="361"/>
      <c r="FH32" s="362"/>
      <c r="FI32" s="361"/>
      <c r="FJ32" s="361"/>
      <c r="FK32" s="362"/>
      <c r="FL32" s="361"/>
      <c r="FM32" s="361"/>
      <c r="FN32" s="362"/>
      <c r="FO32" s="361"/>
      <c r="FP32" s="361"/>
      <c r="FQ32" s="362"/>
      <c r="FR32" s="361"/>
      <c r="FS32" s="361"/>
      <c r="FT32" s="362"/>
      <c r="FU32" s="361"/>
      <c r="FV32" s="361"/>
      <c r="FW32" s="362"/>
      <c r="GA32" s="1184"/>
      <c r="GB32" s="1184"/>
      <c r="GC32" s="1184"/>
      <c r="GD32" s="1184"/>
    </row>
    <row s="363" customFormat="1" customHeight="1" ht="16.672500000000003" hidden="1">
      <c r="B33" s="964" cm="1" t="str">
        <f t="array" ref="B33:B33">B32</f>
        <v>false</v>
      </c>
      <c r="C33" s="1325" t="s">
        <v>2088</v>
      </c>
      <c r="D33" s="1294" t="s">
        <v>2089</v>
      </c>
      <c r="E33" s="797">
        <v>17.1</v>
      </c>
      <c r="F33" s="922" cm="1" t="str">
        <f t="array" ref="F33:F33">OFFSET(G33,-1,-1)</f>
        <v>0</v>
      </c>
      <c r="G33" s="739" t="s">
        <v>1731</v>
      </c>
      <c r="H33" s="213" t="s">
        <v>501</v>
      </c>
      <c r="I33" s="213" t="s">
        <v>2090</v>
      </c>
      <c r="J33" s="1315" t="s">
        <v>2091</v>
      </c>
      <c r="K33" s="1315" cm="1" t="str">
        <f t="array" ref="K33:K33">INDEX('Общие сведения'!$N$169:$N$202,MATCH($F33,'Общие сведения'!$Z$169:$Z$202,0)+1)</f>
        <v>0</v>
      </c>
      <c r="L33" s="1315" t="s">
        <v>2092</v>
      </c>
      <c r="M33" s="1315" t="s">
        <v>1726</v>
      </c>
      <c r="N33" s="1315" t="s">
        <v>2093</v>
      </c>
      <c r="O33" s="1316" t="s">
        <v>2094</v>
      </c>
      <c r="P33" s="1315"/>
      <c r="Q33" s="1315"/>
      <c r="T33" s="808" cm="1" t="str">
        <f t="array" ref="T33:T33">T32</f>
        <v>false</v>
      </c>
      <c r="AB33" s="1354" t="s">
        <v>2095</v>
      </c>
      <c r="AC33" s="364" t="s">
        <v>900</v>
      </c>
      <c r="AD33" s="147">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7">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6">
        <f>IF(AD33=0,0,(AE33-AD33)/AD33*100)</f>
        <v>0</v>
      </c>
      <c r="AG33" s="147">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7">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6">
        <f>IF(AG33=0,0,(AH33-AG33)/AG33*100)</f>
        <v>0</v>
      </c>
      <c r="AJ33" s="147">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7">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6">
        <f>IF(AJ33=0,0,(AK33-AJ33)/AJ33*100)</f>
        <v>0</v>
      </c>
      <c r="AM33" s="147">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7">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6">
        <f>IF(AM33=0,0,(AN33-AM33)/AM33*100)</f>
        <v>0</v>
      </c>
      <c r="AP33" s="147">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7">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6">
        <f>IF(AP33=0,0,(AQ33-AP33)/AP33*100)</f>
        <v>0</v>
      </c>
      <c r="AS33" s="147">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7">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6">
        <f>IF(AS33=0,0,(AT33-AS33)/AS33*100)</f>
        <v>0</v>
      </c>
      <c r="AV33" s="147">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7">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6">
        <f>IF(AV33=0,0,(AW33-AV33)/AV33*100)</f>
        <v>0</v>
      </c>
      <c r="AY33" s="147">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7">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6">
        <f>IF(AY33=0,0,(AZ33-AY33)/AY33*100)</f>
        <v>0</v>
      </c>
      <c r="BB33" s="147">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7">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6">
        <f>IF(BB33=0,0,(BC33-BB33)/BB33*100)</f>
        <v>0</v>
      </c>
      <c r="BE33" s="147">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7">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6">
        <f>IF(BE33=0,0,(BF33-BE33)/BE33*100)</f>
        <v>0</v>
      </c>
      <c r="BH33" s="147"/>
      <c r="BI33" s="147"/>
      <c r="BJ33" s="366">
        <f>IF(BH33=0,0,(BI33-BH33)/BH33*100)</f>
        <v>0</v>
      </c>
      <c r="BK33" s="147"/>
      <c r="BL33" s="147"/>
      <c r="BM33" s="366">
        <f>IF(BK33=0,0,(BL33-BK33)/BK33*100)</f>
        <v>0</v>
      </c>
      <c r="BN33" s="147"/>
      <c r="BO33" s="147"/>
      <c r="BP33" s="366">
        <f>IF(BN33=0,0,(BO33-BN33)/BN33*100)</f>
        <v>0</v>
      </c>
      <c r="BQ33" s="147"/>
      <c r="BR33" s="147"/>
      <c r="BS33" s="366">
        <f>IF(BQ33=0,0,(BR33-BQ33)/BQ33*100)</f>
        <v>0</v>
      </c>
      <c r="BT33" s="147"/>
      <c r="BU33" s="147"/>
      <c r="BV33" s="366">
        <f>IF(BT33=0,0,(BU33-BT33)/BT33*100)</f>
        <v>0</v>
      </c>
      <c r="BW33" s="147"/>
      <c r="BX33" s="147"/>
      <c r="BY33" s="366">
        <f>IF(BW33=0,0,(BX33-BW33)/BW33*100)</f>
        <v>0</v>
      </c>
      <c r="BZ33" s="147"/>
      <c r="CA33" s="147"/>
      <c r="CB33" s="366">
        <f>IF(BZ33=0,0,(CA33-BZ33)/BZ33*100)</f>
        <v>0</v>
      </c>
      <c r="CC33" s="147"/>
      <c r="CD33" s="147"/>
      <c r="CE33" s="366">
        <f>IF(CC33=0,0,(CD33-CC33)/CC33*100)</f>
        <v>0</v>
      </c>
      <c r="CF33" s="147"/>
      <c r="CG33" s="147"/>
      <c r="CH33" s="366">
        <f>IF(CF33=0,0,(CG33-CF33)/CF33*100)</f>
        <v>0</v>
      </c>
      <c r="CI33" s="147"/>
      <c r="CJ33" s="147"/>
      <c r="CK33" s="366">
        <f>IF(CI33=0,0,(CJ33-CI33)/CI33*100)</f>
        <v>0</v>
      </c>
      <c r="CL33" s="147"/>
      <c r="CM33" s="147"/>
      <c r="CN33" s="366">
        <f>IF(CL33=0,0,(CM33-CL33)/CL33*100)</f>
        <v>0</v>
      </c>
      <c r="CO33" s="147"/>
      <c r="CP33" s="147"/>
      <c r="CQ33" s="366">
        <f>IF(CO33=0,0,(CP33-CO33)/CO33*100)</f>
        <v>0</v>
      </c>
      <c r="CR33" s="147"/>
      <c r="CS33" s="147"/>
      <c r="CT33" s="366">
        <f>IF(CR33=0,0,(CS33-CR33)/CR33*100)</f>
        <v>0</v>
      </c>
      <c r="CU33" s="147"/>
      <c r="CV33" s="147"/>
      <c r="CW33" s="366">
        <f>IF(CU33=0,0,(CV33-CU33)/CU33*100)</f>
        <v>0</v>
      </c>
      <c r="CX33" s="147"/>
      <c r="CY33" s="147"/>
      <c r="CZ33" s="366">
        <f>IF(CX33=0,0,(CY33-CX33)/CX33*100)</f>
        <v>0</v>
      </c>
      <c r="DA33" s="147"/>
      <c r="DB33" s="147"/>
      <c r="DC33" s="366">
        <f>IF(DA33=0,0,(DB33-DA33)/DA33*100)</f>
        <v>0</v>
      </c>
      <c r="DD33" s="147"/>
      <c r="DE33" s="147"/>
      <c r="DF33" s="366">
        <f>IF(DD33=0,0,(DE33-DD33)/DD33*100)</f>
        <v>0</v>
      </c>
      <c r="DG33" s="147"/>
      <c r="DH33" s="147"/>
      <c r="DI33" s="366">
        <f>IF(DG33=0,0,(DH33-DG33)/DG33*100)</f>
        <v>0</v>
      </c>
      <c r="DJ33" s="147"/>
      <c r="DK33" s="147"/>
      <c r="DL33" s="366">
        <f>IF(DJ33=0,0,(DK33-DJ33)/DJ33*100)</f>
        <v>0</v>
      </c>
      <c r="DM33" s="147"/>
      <c r="DN33" s="147"/>
      <c r="DO33" s="366">
        <f>IF(DM33=0,0,(DN33-DM33)/DM33*100)</f>
        <v>0</v>
      </c>
      <c r="DP33" s="147"/>
      <c r="DQ33" s="147"/>
      <c r="DR33" s="366">
        <f>IF(DP33=0,0,(DQ33-DP33)/DP33*100)</f>
        <v>0</v>
      </c>
      <c r="DS33" s="147"/>
      <c r="DT33" s="147"/>
      <c r="DU33" s="366">
        <f>IF(DS33=0,0,(DT33-DS33)/DS33*100)</f>
        <v>0</v>
      </c>
      <c r="DV33" s="147"/>
      <c r="DW33" s="147"/>
      <c r="DX33" s="366">
        <f>IF(DV33=0,0,(DW33-DV33)/DV33*100)</f>
        <v>0</v>
      </c>
      <c r="DY33" s="147"/>
      <c r="DZ33" s="147"/>
      <c r="EA33" s="366">
        <f>IF(DY33=0,0,(DZ33-DY33)/DY33*100)</f>
        <v>0</v>
      </c>
      <c r="EB33" s="147"/>
      <c r="EC33" s="147"/>
      <c r="ED33" s="366">
        <f>IF(EB33=0,0,(EC33-EB33)/EB33*100)</f>
        <v>0</v>
      </c>
      <c r="EE33" s="147"/>
      <c r="EF33" s="147"/>
      <c r="EG33" s="366">
        <f>IF(EE33=0,0,(EF33-EE33)/EE33*100)</f>
        <v>0</v>
      </c>
      <c r="EH33" s="147"/>
      <c r="EI33" s="147"/>
      <c r="EJ33" s="366">
        <f>IF(EH33=0,0,(EI33-EH33)/EH33*100)</f>
        <v>0</v>
      </c>
      <c r="EK33" s="147"/>
      <c r="EL33" s="147"/>
      <c r="EM33" s="366">
        <f>IF(EK33=0,0,(EL33-EK33)/EK33*100)</f>
        <v>0</v>
      </c>
      <c r="EN33" s="147"/>
      <c r="EO33" s="147"/>
      <c r="EP33" s="366">
        <f>IF(EN33=0,0,(EO33-EN33)/EN33*100)</f>
        <v>0</v>
      </c>
      <c r="EQ33" s="147"/>
      <c r="ER33" s="147"/>
      <c r="ES33" s="366">
        <f>IF(EQ33=0,0,(ER33-EQ33)/EQ33*100)</f>
        <v>0</v>
      </c>
      <c r="ET33" s="147"/>
      <c r="EU33" s="147"/>
      <c r="EV33" s="366">
        <f>IF(ET33=0,0,(EU33-ET33)/ET33*100)</f>
        <v>0</v>
      </c>
      <c r="EW33" s="147"/>
      <c r="EX33" s="147"/>
      <c r="EY33" s="366">
        <f>IF(EW33=0,0,(EX33-EW33)/EW33*100)</f>
        <v>0</v>
      </c>
      <c r="EZ33" s="147"/>
      <c r="FA33" s="147"/>
      <c r="FB33" s="366">
        <f>IF(EZ33=0,0,(FA33-EZ33)/EZ33*100)</f>
        <v>0</v>
      </c>
      <c r="FC33" s="147"/>
      <c r="FD33" s="147"/>
      <c r="FE33" s="366">
        <f>IF(FC33=0,0,(FD33-FC33)/FC33*100)</f>
        <v>0</v>
      </c>
      <c r="FF33" s="147"/>
      <c r="FG33" s="147"/>
      <c r="FH33" s="366">
        <f>IF(FF33=0,0,(FG33-FF33)/FF33*100)</f>
        <v>0</v>
      </c>
      <c r="FI33" s="147"/>
      <c r="FJ33" s="147"/>
      <c r="FK33" s="366">
        <f>IF(FI33=0,0,(FJ33-FI33)/FI33*100)</f>
        <v>0</v>
      </c>
      <c r="FL33" s="147"/>
      <c r="FM33" s="147"/>
      <c r="FN33" s="366">
        <f>IF(FL33=0,0,(FM33-FL33)/FL33*100)</f>
        <v>0</v>
      </c>
      <c r="FO33" s="147"/>
      <c r="FP33" s="147"/>
      <c r="FQ33" s="366">
        <f>IF(FO33=0,0,(FP33-FO33)/FO33*100)</f>
        <v>0</v>
      </c>
      <c r="FR33" s="147"/>
      <c r="FS33" s="147"/>
      <c r="FT33" s="366">
        <f>IF(FR33=0,0,(FS33-FR33)/FR33*100)</f>
        <v>0</v>
      </c>
      <c r="FU33" s="147"/>
      <c r="FV33" s="147"/>
      <c r="FW33" s="366">
        <f>IF(FU33=0,0,(FV33-FU33)/FU33*100)</f>
        <v>0</v>
      </c>
      <c r="FZ33" s="1184" t="s">
        <v>2096</v>
      </c>
      <c r="GA33" s="1184"/>
      <c r="GB33" s="1184"/>
      <c r="GC33" s="1184"/>
      <c r="GD33" s="1184"/>
    </row>
    <row s="363" customFormat="1" customHeight="1" ht="16.672500000000003" hidden="1">
      <c r="B34" s="964" cm="1" t="str">
        <f t="array" ref="B34:B34">B33</f>
        <v>false</v>
      </c>
      <c r="C34" s="1325" t="s">
        <v>2088</v>
      </c>
      <c r="D34" s="1294" t="s">
        <v>2089</v>
      </c>
      <c r="E34" s="797">
        <v>17.1</v>
      </c>
      <c r="F34" s="922" cm="1" t="str">
        <f t="array" ref="F34:F34">OFFSET(G34,-1,-1)</f>
        <v>0</v>
      </c>
      <c r="G34" s="739" t="s">
        <v>1738</v>
      </c>
      <c r="H34" s="213" t="s">
        <v>501</v>
      </c>
      <c r="I34" s="213" t="s">
        <v>2097</v>
      </c>
      <c r="J34" s="1315" t="s">
        <v>2091</v>
      </c>
      <c r="K34" s="1315" cm="1" t="str">
        <f t="array" ref="K34:K34">OFFSET(J34,-1,1)</f>
        <v>0</v>
      </c>
      <c r="L34" s="1315" t="s">
        <v>2092</v>
      </c>
      <c r="M34" s="1315" t="s">
        <v>1735</v>
      </c>
      <c r="N34" s="1315" t="s">
        <v>2093</v>
      </c>
      <c r="O34" s="1316" t="s">
        <v>2094</v>
      </c>
      <c r="P34" s="1315"/>
      <c r="Q34" s="1315"/>
      <c r="T34" s="808" cm="1" t="str">
        <f t="array" ref="T34:T34">T33</f>
        <v>false</v>
      </c>
      <c r="AB34" s="1354" t="s">
        <v>2098</v>
      </c>
      <c r="AC34" s="364" t="s">
        <v>900</v>
      </c>
      <c r="AD34" s="147">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7">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6">
        <f>IF(AD34=0,0,(AE34-AD34)/AD34*100)</f>
        <v>0</v>
      </c>
      <c r="AG34" s="147">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7">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6">
        <f>IF(AG34=0,0,(AH34-AG34)/AG34*100)</f>
        <v>0</v>
      </c>
      <c r="AJ34" s="147">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7">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6">
        <f>IF(AJ34=0,0,(AK34-AJ34)/AJ34*100)</f>
        <v>0</v>
      </c>
      <c r="AM34" s="147">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7">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6">
        <f>IF(AM34=0,0,(AN34-AM34)/AM34*100)</f>
        <v>0</v>
      </c>
      <c r="AP34" s="147">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7">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6">
        <f>IF(AP34=0,0,(AQ34-AP34)/AP34*100)</f>
        <v>0</v>
      </c>
      <c r="AS34" s="147">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7">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6">
        <f>IF(AS34=0,0,(AT34-AS34)/AS34*100)</f>
        <v>0</v>
      </c>
      <c r="AV34" s="147">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7">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6">
        <f>IF(AV34=0,0,(AW34-AV34)/AV34*100)</f>
        <v>0</v>
      </c>
      <c r="AY34" s="147">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7">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6">
        <f>IF(AY34=0,0,(AZ34-AY34)/AY34*100)</f>
        <v>0</v>
      </c>
      <c r="BB34" s="147">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7">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6">
        <f>IF(BB34=0,0,(BC34-BB34)/BB34*100)</f>
        <v>0</v>
      </c>
      <c r="BE34" s="147">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7">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6">
        <f>IF(BE34=0,0,(BF34-BE34)/BE34*100)</f>
        <v>0</v>
      </c>
      <c r="BH34" s="147"/>
      <c r="BI34" s="147"/>
      <c r="BJ34" s="366">
        <f>IF(BH34=0,0,(BI34-BH34)/BH34*100)</f>
        <v>0</v>
      </c>
      <c r="BK34" s="147"/>
      <c r="BL34" s="147"/>
      <c r="BM34" s="366">
        <f>IF(BK34=0,0,(BL34-BK34)/BK34*100)</f>
        <v>0</v>
      </c>
      <c r="BN34" s="147"/>
      <c r="BO34" s="147"/>
      <c r="BP34" s="366">
        <f>IF(BN34=0,0,(BO34-BN34)/BN34*100)</f>
        <v>0</v>
      </c>
      <c r="BQ34" s="147"/>
      <c r="BR34" s="147"/>
      <c r="BS34" s="366">
        <f>IF(BQ34=0,0,(BR34-BQ34)/BQ34*100)</f>
        <v>0</v>
      </c>
      <c r="BT34" s="147"/>
      <c r="BU34" s="147"/>
      <c r="BV34" s="366">
        <f>IF(BT34=0,0,(BU34-BT34)/BT34*100)</f>
        <v>0</v>
      </c>
      <c r="BW34" s="147"/>
      <c r="BX34" s="147"/>
      <c r="BY34" s="366">
        <f>IF(BW34=0,0,(BX34-BW34)/BW34*100)</f>
        <v>0</v>
      </c>
      <c r="BZ34" s="147"/>
      <c r="CA34" s="147"/>
      <c r="CB34" s="366">
        <f>IF(BZ34=0,0,(CA34-BZ34)/BZ34*100)</f>
        <v>0</v>
      </c>
      <c r="CC34" s="147"/>
      <c r="CD34" s="147"/>
      <c r="CE34" s="366">
        <f>IF(CC34=0,0,(CD34-CC34)/CC34*100)</f>
        <v>0</v>
      </c>
      <c r="CF34" s="147"/>
      <c r="CG34" s="147"/>
      <c r="CH34" s="366">
        <f>IF(CF34=0,0,(CG34-CF34)/CF34*100)</f>
        <v>0</v>
      </c>
      <c r="CI34" s="147"/>
      <c r="CJ34" s="147"/>
      <c r="CK34" s="366">
        <f>IF(CI34=0,0,(CJ34-CI34)/CI34*100)</f>
        <v>0</v>
      </c>
      <c r="CL34" s="147"/>
      <c r="CM34" s="147"/>
      <c r="CN34" s="366">
        <f>IF(CL34=0,0,(CM34-CL34)/CL34*100)</f>
        <v>0</v>
      </c>
      <c r="CO34" s="147"/>
      <c r="CP34" s="147"/>
      <c r="CQ34" s="366">
        <f>IF(CO34=0,0,(CP34-CO34)/CO34*100)</f>
        <v>0</v>
      </c>
      <c r="CR34" s="147"/>
      <c r="CS34" s="147"/>
      <c r="CT34" s="366">
        <f>IF(CR34=0,0,(CS34-CR34)/CR34*100)</f>
        <v>0</v>
      </c>
      <c r="CU34" s="147"/>
      <c r="CV34" s="147"/>
      <c r="CW34" s="366">
        <f>IF(CU34=0,0,(CV34-CU34)/CU34*100)</f>
        <v>0</v>
      </c>
      <c r="CX34" s="147"/>
      <c r="CY34" s="147"/>
      <c r="CZ34" s="366">
        <f>IF(CX34=0,0,(CY34-CX34)/CX34*100)</f>
        <v>0</v>
      </c>
      <c r="DA34" s="147"/>
      <c r="DB34" s="147"/>
      <c r="DC34" s="366">
        <f>IF(DA34=0,0,(DB34-DA34)/DA34*100)</f>
        <v>0</v>
      </c>
      <c r="DD34" s="147"/>
      <c r="DE34" s="147"/>
      <c r="DF34" s="366">
        <f>IF(DD34=0,0,(DE34-DD34)/DD34*100)</f>
        <v>0</v>
      </c>
      <c r="DG34" s="147"/>
      <c r="DH34" s="147"/>
      <c r="DI34" s="366">
        <f>IF(DG34=0,0,(DH34-DG34)/DG34*100)</f>
        <v>0</v>
      </c>
      <c r="DJ34" s="147"/>
      <c r="DK34" s="147"/>
      <c r="DL34" s="366">
        <f>IF(DJ34=0,0,(DK34-DJ34)/DJ34*100)</f>
        <v>0</v>
      </c>
      <c r="DM34" s="147"/>
      <c r="DN34" s="147"/>
      <c r="DO34" s="366">
        <f>IF(DM34=0,0,(DN34-DM34)/DM34*100)</f>
        <v>0</v>
      </c>
      <c r="DP34" s="147"/>
      <c r="DQ34" s="147"/>
      <c r="DR34" s="366">
        <f>IF(DP34=0,0,(DQ34-DP34)/DP34*100)</f>
        <v>0</v>
      </c>
      <c r="DS34" s="147"/>
      <c r="DT34" s="147"/>
      <c r="DU34" s="366">
        <f>IF(DS34=0,0,(DT34-DS34)/DS34*100)</f>
        <v>0</v>
      </c>
      <c r="DV34" s="147"/>
      <c r="DW34" s="147"/>
      <c r="DX34" s="366">
        <f>IF(DV34=0,0,(DW34-DV34)/DV34*100)</f>
        <v>0</v>
      </c>
      <c r="DY34" s="147"/>
      <c r="DZ34" s="147"/>
      <c r="EA34" s="366">
        <f>IF(DY34=0,0,(DZ34-DY34)/DY34*100)</f>
        <v>0</v>
      </c>
      <c r="EB34" s="147"/>
      <c r="EC34" s="147"/>
      <c r="ED34" s="366">
        <f>IF(EB34=0,0,(EC34-EB34)/EB34*100)</f>
        <v>0</v>
      </c>
      <c r="EE34" s="147"/>
      <c r="EF34" s="147"/>
      <c r="EG34" s="366">
        <f>IF(EE34=0,0,(EF34-EE34)/EE34*100)</f>
        <v>0</v>
      </c>
      <c r="EH34" s="147"/>
      <c r="EI34" s="147"/>
      <c r="EJ34" s="366">
        <f>IF(EH34=0,0,(EI34-EH34)/EH34*100)</f>
        <v>0</v>
      </c>
      <c r="EK34" s="147"/>
      <c r="EL34" s="147"/>
      <c r="EM34" s="366">
        <f>IF(EK34=0,0,(EL34-EK34)/EK34*100)</f>
        <v>0</v>
      </c>
      <c r="EN34" s="147"/>
      <c r="EO34" s="147"/>
      <c r="EP34" s="366">
        <f>IF(EN34=0,0,(EO34-EN34)/EN34*100)</f>
        <v>0</v>
      </c>
      <c r="EQ34" s="147"/>
      <c r="ER34" s="147"/>
      <c r="ES34" s="366">
        <f>IF(EQ34=0,0,(ER34-EQ34)/EQ34*100)</f>
        <v>0</v>
      </c>
      <c r="ET34" s="147"/>
      <c r="EU34" s="147"/>
      <c r="EV34" s="366">
        <f>IF(ET34=0,0,(EU34-ET34)/ET34*100)</f>
        <v>0</v>
      </c>
      <c r="EW34" s="147"/>
      <c r="EX34" s="147"/>
      <c r="EY34" s="366">
        <f>IF(EW34=0,0,(EX34-EW34)/EW34*100)</f>
        <v>0</v>
      </c>
      <c r="EZ34" s="147"/>
      <c r="FA34" s="147"/>
      <c r="FB34" s="366">
        <f>IF(EZ34=0,0,(FA34-EZ34)/EZ34*100)</f>
        <v>0</v>
      </c>
      <c r="FC34" s="147"/>
      <c r="FD34" s="147"/>
      <c r="FE34" s="366">
        <f>IF(FC34=0,0,(FD34-FC34)/FC34*100)</f>
        <v>0</v>
      </c>
      <c r="FF34" s="147"/>
      <c r="FG34" s="147"/>
      <c r="FH34" s="366">
        <f>IF(FF34=0,0,(FG34-FF34)/FF34*100)</f>
        <v>0</v>
      </c>
      <c r="FI34" s="147"/>
      <c r="FJ34" s="147"/>
      <c r="FK34" s="366">
        <f>IF(FI34=0,0,(FJ34-FI34)/FI34*100)</f>
        <v>0</v>
      </c>
      <c r="FL34" s="147"/>
      <c r="FM34" s="147"/>
      <c r="FN34" s="366">
        <f>IF(FL34=0,0,(FM34-FL34)/FL34*100)</f>
        <v>0</v>
      </c>
      <c r="FO34" s="147"/>
      <c r="FP34" s="147"/>
      <c r="FQ34" s="366">
        <f>IF(FO34=0,0,(FP34-FO34)/FO34*100)</f>
        <v>0</v>
      </c>
      <c r="FR34" s="147"/>
      <c r="FS34" s="147"/>
      <c r="FT34" s="366">
        <f>IF(FR34=0,0,(FS34-FR34)/FR34*100)</f>
        <v>0</v>
      </c>
      <c r="FU34" s="147"/>
      <c r="FV34" s="147"/>
      <c r="FW34" s="366">
        <f>IF(FU34=0,0,(FV34-FU34)/FU34*100)</f>
        <v>0</v>
      </c>
      <c r="FZ34" s="1184" t="s">
        <v>2099</v>
      </c>
      <c r="GA34" s="1184"/>
      <c r="GB34" s="1184"/>
      <c r="GC34" s="1184"/>
      <c r="GD34" s="1184"/>
    </row>
    <row customHeight="1" ht="16.672500000000003" hidden="1">
      <c r="B35" s="964" cm="1" t="str">
        <f t="array" ref="B35:B35">B34</f>
        <v>false</v>
      </c>
      <c r="C35" s="1325" t="s">
        <v>1741</v>
      </c>
      <c r="D35" s="1294" t="s">
        <v>1742</v>
      </c>
      <c r="E35" s="797">
        <v>17.1</v>
      </c>
      <c r="F35" s="922" cm="1" t="str">
        <f t="array" ref="F35:F35">OFFSET(G35,-1,-1)</f>
        <v>0</v>
      </c>
      <c r="H35" s="213" t="s">
        <v>504</v>
      </c>
      <c r="I35" s="213" t="s">
        <v>2100</v>
      </c>
      <c r="J35" s="1315" t="s">
        <v>2091</v>
      </c>
      <c r="K35" s="1315" cm="1" t="str">
        <f t="array" ref="K35:K35">OFFSET(J35,-1,1)</f>
        <v>0</v>
      </c>
      <c r="L35" s="1315" t="s">
        <v>2101</v>
      </c>
      <c r="M35" s="1315"/>
      <c r="N35" s="1315" t="s">
        <v>2093</v>
      </c>
      <c r="O35" s="1316" t="s">
        <v>2094</v>
      </c>
      <c r="P35" s="1315"/>
      <c r="Q35" s="1315"/>
      <c r="T35" s="808" cm="1" t="str">
        <f t="array" ref="T35:T35">T34</f>
        <v>false</v>
      </c>
      <c r="AB35" s="1060" t="s">
        <v>2102</v>
      </c>
      <c r="AC35" s="172" t="s">
        <v>498</v>
      </c>
      <c r="AD35" s="1044">
        <f>IF(AD33=0,0,AD34/AD33)</f>
        <v>0</v>
      </c>
      <c r="AE35" s="1044">
        <f>IF(AE33=0,0,AE34/AE33)</f>
        <v>0</v>
      </c>
      <c r="AF35" s="1069"/>
      <c r="AG35" s="1044">
        <f>IF(AG33=0,0,AG34/AG33)</f>
        <v>0</v>
      </c>
      <c r="AH35" s="1044">
        <f>IF(AH33=0,0,AH34/AH33)</f>
        <v>0</v>
      </c>
      <c r="AI35" s="1069"/>
      <c r="AJ35" s="1044">
        <f>IF(AJ33=0,0,AJ34/AJ33)</f>
        <v>0</v>
      </c>
      <c r="AK35" s="1044">
        <f>IF(AK33=0,0,AK34/AK33)</f>
        <v>0</v>
      </c>
      <c r="AL35" s="1069"/>
      <c r="AM35" s="1044">
        <f>IF(AM33=0,0,AM34/AM33)</f>
        <v>0</v>
      </c>
      <c r="AN35" s="1044">
        <f>IF(AN33=0,0,AN34/AN33)</f>
        <v>0</v>
      </c>
      <c r="AO35" s="1069"/>
      <c r="AP35" s="1044">
        <f>IF(AP33=0,0,AP34/AP33)</f>
        <v>0</v>
      </c>
      <c r="AQ35" s="1044">
        <f>IF(AQ33=0,0,AQ34/AQ33)</f>
        <v>0</v>
      </c>
      <c r="AR35" s="1069"/>
      <c r="AS35" s="1044">
        <f>IF(AS33=0,0,AS34/AS33)</f>
        <v>0</v>
      </c>
      <c r="AT35" s="1044">
        <f>IF(AT33=0,0,AT34/AT33)</f>
        <v>0</v>
      </c>
      <c r="AU35" s="1069"/>
      <c r="AV35" s="1044">
        <f>IF(AV33=0,0,AV34/AV33)</f>
        <v>0</v>
      </c>
      <c r="AW35" s="1044">
        <f>IF(AW33=0,0,AW34/AW33)</f>
        <v>0</v>
      </c>
      <c r="AX35" s="1069"/>
      <c r="AY35" s="1044">
        <f>IF(AY33=0,0,AY34/AY33)</f>
        <v>0</v>
      </c>
      <c r="AZ35" s="1044">
        <f>IF(AZ33=0,0,AZ34/AZ33)</f>
        <v>0</v>
      </c>
      <c r="BA35" s="1069"/>
      <c r="BB35" s="1044">
        <f>IF(BB33=0,0,BB34/BB33)</f>
        <v>0</v>
      </c>
      <c r="BC35" s="1044">
        <f>IF(BC33=0,0,BC34/BC33)</f>
        <v>0</v>
      </c>
      <c r="BD35" s="1069"/>
      <c r="BE35" s="1044">
        <f>IF(BE33=0,0,BE34/BE33)</f>
        <v>0</v>
      </c>
      <c r="BF35" s="1044">
        <f>IF(BF33=0,0,BF34/BF33)</f>
        <v>0</v>
      </c>
      <c r="BG35" s="1069"/>
      <c r="BH35" s="1044">
        <f>IF(BH33=0,0,BH34/BH33)</f>
        <v>0</v>
      </c>
      <c r="BI35" s="1044">
        <f>IF(BI33=0,0,BI34/BI33)</f>
        <v>0</v>
      </c>
      <c r="BJ35" s="368"/>
      <c r="BK35" s="1044">
        <f>IF(BK33=0,0,BK34/BK33)</f>
        <v>0</v>
      </c>
      <c r="BL35" s="1044">
        <f>IF(BL33=0,0,BL34/BL33)</f>
        <v>0</v>
      </c>
      <c r="BM35" s="368"/>
      <c r="BN35" s="1044">
        <f>IF(BN33=0,0,BN34/BN33)</f>
        <v>0</v>
      </c>
      <c r="BO35" s="1044">
        <f>IF(BO33=0,0,BO34/BO33)</f>
        <v>0</v>
      </c>
      <c r="BP35" s="368"/>
      <c r="BQ35" s="1044">
        <f>IF(BQ33=0,0,BQ34/BQ33)</f>
        <v>0</v>
      </c>
      <c r="BR35" s="1044">
        <f>IF(BR33=0,0,BR34/BR33)</f>
        <v>0</v>
      </c>
      <c r="BS35" s="368"/>
      <c r="BT35" s="1044">
        <f>IF(BT33=0,0,BT34/BT33)</f>
        <v>0</v>
      </c>
      <c r="BU35" s="1044">
        <f>IF(BU33=0,0,BU34/BU33)</f>
        <v>0</v>
      </c>
      <c r="BV35" s="368"/>
      <c r="BW35" s="1044">
        <f>IF(BW33=0,0,BW34/BW33)</f>
        <v>0</v>
      </c>
      <c r="BX35" s="1044">
        <f>IF(BX33=0,0,BX34/BX33)</f>
        <v>0</v>
      </c>
      <c r="BY35" s="368"/>
      <c r="BZ35" s="1044">
        <f>IF(BZ33=0,0,BZ34/BZ33)</f>
        <v>0</v>
      </c>
      <c r="CA35" s="1044">
        <f>IF(CA33=0,0,CA34/CA33)</f>
        <v>0</v>
      </c>
      <c r="CB35" s="368"/>
      <c r="CC35" s="1044">
        <f>IF(CC33=0,0,CC34/CC33)</f>
        <v>0</v>
      </c>
      <c r="CD35" s="1044">
        <f>IF(CD33=0,0,CD34/CD33)</f>
        <v>0</v>
      </c>
      <c r="CE35" s="368"/>
      <c r="CF35" s="1044">
        <f>IF(CF33=0,0,CF34/CF33)</f>
        <v>0</v>
      </c>
      <c r="CG35" s="1044">
        <f>IF(CG33=0,0,CG34/CG33)</f>
        <v>0</v>
      </c>
      <c r="CH35" s="368"/>
      <c r="CI35" s="1044">
        <f>IF(CI33=0,0,CI34/CI33)</f>
        <v>0</v>
      </c>
      <c r="CJ35" s="1044">
        <f>IF(CJ33=0,0,CJ34/CJ33)</f>
        <v>0</v>
      </c>
      <c r="CK35" s="368"/>
      <c r="CL35" s="1044">
        <f>IF(CL33=0,0,CL34/CL33)</f>
        <v>0</v>
      </c>
      <c r="CM35" s="1044">
        <f>IF(CM33=0,0,CM34/CM33)</f>
        <v>0</v>
      </c>
      <c r="CN35" s="368"/>
      <c r="CO35" s="1044">
        <f>IF(CO33=0,0,CO34/CO33)</f>
        <v>0</v>
      </c>
      <c r="CP35" s="1044">
        <f>IF(CP33=0,0,CP34/CP33)</f>
        <v>0</v>
      </c>
      <c r="CQ35" s="368"/>
      <c r="CR35" s="1044">
        <f>IF(CR33=0,0,CR34/CR33)</f>
        <v>0</v>
      </c>
      <c r="CS35" s="1044">
        <f>IF(CS33=0,0,CS34/CS33)</f>
        <v>0</v>
      </c>
      <c r="CT35" s="368"/>
      <c r="CU35" s="1044">
        <f>IF(CU33=0,0,CU34/CU33)</f>
        <v>0</v>
      </c>
      <c r="CV35" s="1044">
        <f>IF(CV33=0,0,CV34/CV33)</f>
        <v>0</v>
      </c>
      <c r="CW35" s="368"/>
      <c r="CX35" s="1044">
        <f>IF(CX33=0,0,CX34/CX33)</f>
        <v>0</v>
      </c>
      <c r="CY35" s="1044">
        <f>IF(CY33=0,0,CY34/CY33)</f>
        <v>0</v>
      </c>
      <c r="CZ35" s="368"/>
      <c r="DA35" s="1044">
        <f>IF(DA33=0,0,DA34/DA33)</f>
        <v>0</v>
      </c>
      <c r="DB35" s="1044">
        <f>IF(DB33=0,0,DB34/DB33)</f>
        <v>0</v>
      </c>
      <c r="DC35" s="368"/>
      <c r="DD35" s="1044">
        <f>IF(DD33=0,0,DD34/DD33)</f>
        <v>0</v>
      </c>
      <c r="DE35" s="1044">
        <f>IF(DE33=0,0,DE34/DE33)</f>
        <v>0</v>
      </c>
      <c r="DF35" s="368"/>
      <c r="DG35" s="1044">
        <f>IF(DG33=0,0,DG34/DG33)</f>
        <v>0</v>
      </c>
      <c r="DH35" s="1044">
        <f>IF(DH33=0,0,DH34/DH33)</f>
        <v>0</v>
      </c>
      <c r="DI35" s="368"/>
      <c r="DJ35" s="1044">
        <f>IF(DJ33=0,0,DJ34/DJ33)</f>
        <v>0</v>
      </c>
      <c r="DK35" s="1044">
        <f>IF(DK33=0,0,DK34/DK33)</f>
        <v>0</v>
      </c>
      <c r="DL35" s="368"/>
      <c r="DM35" s="1044">
        <f>IF(DM33=0,0,DM34/DM33)</f>
        <v>0</v>
      </c>
      <c r="DN35" s="1044">
        <f>IF(DN33=0,0,DN34/DN33)</f>
        <v>0</v>
      </c>
      <c r="DO35" s="368"/>
      <c r="DP35" s="1044">
        <f>IF(DP33=0,0,DP34/DP33)</f>
        <v>0</v>
      </c>
      <c r="DQ35" s="1044">
        <f>IF(DQ33=0,0,DQ34/DQ33)</f>
        <v>0</v>
      </c>
      <c r="DR35" s="368"/>
      <c r="DS35" s="1044">
        <f>IF(DS33=0,0,DS34/DS33)</f>
        <v>0</v>
      </c>
      <c r="DT35" s="1044">
        <f>IF(DT33=0,0,DT34/DT33)</f>
        <v>0</v>
      </c>
      <c r="DU35" s="368"/>
      <c r="DV35" s="1044">
        <f>IF(DV33=0,0,DV34/DV33)</f>
        <v>0</v>
      </c>
      <c r="DW35" s="1044">
        <f>IF(DW33=0,0,DW34/DW33)</f>
        <v>0</v>
      </c>
      <c r="DX35" s="368"/>
      <c r="DY35" s="1044">
        <f>IF(DY33=0,0,DY34/DY33)</f>
        <v>0</v>
      </c>
      <c r="DZ35" s="1044">
        <f>IF(DZ33=0,0,DZ34/DZ33)</f>
        <v>0</v>
      </c>
      <c r="EA35" s="368"/>
      <c r="EB35" s="1044">
        <f>IF(EB33=0,0,EB34/EB33)</f>
        <v>0</v>
      </c>
      <c r="EC35" s="1044">
        <f>IF(EC33=0,0,EC34/EC33)</f>
        <v>0</v>
      </c>
      <c r="ED35" s="368"/>
      <c r="EE35" s="1044">
        <f>IF(EE33=0,0,EE34/EE33)</f>
        <v>0</v>
      </c>
      <c r="EF35" s="1044">
        <f>IF(EF33=0,0,EF34/EF33)</f>
        <v>0</v>
      </c>
      <c r="EG35" s="368"/>
      <c r="EH35" s="1044">
        <f>IF(EH33=0,0,EH34/EH33)</f>
        <v>0</v>
      </c>
      <c r="EI35" s="1044">
        <f>IF(EI33=0,0,EI34/EI33)</f>
        <v>0</v>
      </c>
      <c r="EJ35" s="368"/>
      <c r="EK35" s="1044">
        <f>IF(EK33=0,0,EK34/EK33)</f>
        <v>0</v>
      </c>
      <c r="EL35" s="1044">
        <f>IF(EL33=0,0,EL34/EL33)</f>
        <v>0</v>
      </c>
      <c r="EM35" s="368"/>
      <c r="EN35" s="1044">
        <f>IF(EN33=0,0,EN34/EN33)</f>
        <v>0</v>
      </c>
      <c r="EO35" s="1044">
        <f>IF(EO33=0,0,EO34/EO33)</f>
        <v>0</v>
      </c>
      <c r="EP35" s="368"/>
      <c r="EQ35" s="1044">
        <f>IF(EQ33=0,0,EQ34/EQ33)</f>
        <v>0</v>
      </c>
      <c r="ER35" s="1044">
        <f>IF(ER33=0,0,ER34/ER33)</f>
        <v>0</v>
      </c>
      <c r="ES35" s="368"/>
      <c r="ET35" s="1044">
        <f>IF(ET33=0,0,ET34/ET33)</f>
        <v>0</v>
      </c>
      <c r="EU35" s="1044">
        <f>IF(EU33=0,0,EU34/EU33)</f>
        <v>0</v>
      </c>
      <c r="EV35" s="368"/>
      <c r="EW35" s="1044">
        <f>IF(EW33=0,0,EW34/EW33)</f>
        <v>0</v>
      </c>
      <c r="EX35" s="1044">
        <f>IF(EX33=0,0,EX34/EX33)</f>
        <v>0</v>
      </c>
      <c r="EY35" s="368"/>
      <c r="EZ35" s="1044">
        <f>IF(EZ33=0,0,EZ34/EZ33)</f>
        <v>0</v>
      </c>
      <c r="FA35" s="1044">
        <f>IF(FA33=0,0,FA34/FA33)</f>
        <v>0</v>
      </c>
      <c r="FB35" s="368"/>
      <c r="FC35" s="1044">
        <f>IF(FC33=0,0,FC34/FC33)</f>
        <v>0</v>
      </c>
      <c r="FD35" s="1044">
        <f>IF(FD33=0,0,FD34/FD33)</f>
        <v>0</v>
      </c>
      <c r="FE35" s="368"/>
      <c r="FF35" s="1044">
        <f>IF(FF33=0,0,FF34/FF33)</f>
        <v>0</v>
      </c>
      <c r="FG35" s="1044">
        <f>IF(FG33=0,0,FG34/FG33)</f>
        <v>0</v>
      </c>
      <c r="FH35" s="368"/>
      <c r="FI35" s="1044">
        <f>IF(FI33=0,0,FI34/FI33)</f>
        <v>0</v>
      </c>
      <c r="FJ35" s="1044">
        <f>IF(FJ33=0,0,FJ34/FJ33)</f>
        <v>0</v>
      </c>
      <c r="FK35" s="368"/>
      <c r="FL35" s="1044">
        <f>IF(FL33=0,0,FL34/FL33)</f>
        <v>0</v>
      </c>
      <c r="FM35" s="1044">
        <f>IF(FM33=0,0,FM34/FM33)</f>
        <v>0</v>
      </c>
      <c r="FN35" s="368"/>
      <c r="FO35" s="1044">
        <f>IF(FO33=0,0,FO34/FO33)</f>
        <v>0</v>
      </c>
      <c r="FP35" s="1044">
        <f>IF(FP33=0,0,FP34/FP33)</f>
        <v>0</v>
      </c>
      <c r="FQ35" s="368"/>
      <c r="FR35" s="1044">
        <f>IF(FR33=0,0,FR34/FR33)</f>
        <v>0</v>
      </c>
      <c r="FS35" s="1044">
        <f>IF(FS33=0,0,FS34/FS33)</f>
        <v>0</v>
      </c>
      <c r="FT35" s="368"/>
      <c r="FU35" s="1044">
        <f>IF(FU33=0,0,FU34/FU33)</f>
        <v>0</v>
      </c>
      <c r="FV35" s="1044">
        <f>IF(FV33=0,0,FV34/FV33)</f>
        <v>0</v>
      </c>
      <c r="FW35" s="368"/>
      <c r="FZ35" s="1184" t="s">
        <v>2103</v>
      </c>
      <c r="GA35" s="1184"/>
      <c r="GB35" s="1184"/>
      <c r="GC35" s="1184"/>
      <c r="GD35" s="1184"/>
    </row>
    <row customHeight="1" ht="16.672500000000003" hidden="1">
      <c r="B36" s="964" cm="1" t="str">
        <f t="array" ref="B36:B36">B35</f>
        <v>false</v>
      </c>
      <c r="C36" s="1325" t="s">
        <v>1723</v>
      </c>
      <c r="D36" s="1294" t="s">
        <v>1724</v>
      </c>
      <c r="E36" s="797">
        <v>17.1</v>
      </c>
      <c r="F36" s="922" cm="1" t="str">
        <f t="array" ref="F36:F36">OFFSET(G36,-1,-1)</f>
        <v>0</v>
      </c>
      <c r="G36" s="193" t="s">
        <v>2104</v>
      </c>
      <c r="H36" s="213" t="s">
        <v>511</v>
      </c>
      <c r="I36" s="213" t="s">
        <v>2100</v>
      </c>
      <c r="J36" s="1315" t="s">
        <v>2091</v>
      </c>
      <c r="K36" s="1315" cm="1" t="str">
        <f t="array" ref="K36:K36">OFFSET(J36,-1,1)</f>
        <v>0</v>
      </c>
      <c r="L36" s="1315" t="s">
        <v>2105</v>
      </c>
      <c r="M36" s="1315"/>
      <c r="N36" s="1315" t="s">
        <v>2093</v>
      </c>
      <c r="O36" s="1316" t="s">
        <v>2094</v>
      </c>
      <c r="P36" s="1315"/>
      <c r="Q36" s="1315"/>
      <c r="T36" s="808" cm="1" t="str">
        <f t="array" ref="T36:T36">T35</f>
        <v>false</v>
      </c>
      <c r="AB36" s="1060" t="s">
        <v>2106</v>
      </c>
      <c r="AC36" s="172" t="s">
        <v>599</v>
      </c>
      <c r="AD36" s="148">
        <f>SUM(AD37:AD38)</f>
        <v>0</v>
      </c>
      <c r="AE36" s="148">
        <f>SUM(AE37:AE38)</f>
        <v>0</v>
      </c>
      <c r="AF36" s="400">
        <f>IF(AD36=0,0,(AE36-AD36)/AD36*100)</f>
        <v>0</v>
      </c>
      <c r="AG36" s="148">
        <f>SUM(AG37:AG38)</f>
        <v>0</v>
      </c>
      <c r="AH36" s="148">
        <f>SUM(AH37:AH38)</f>
        <v>0</v>
      </c>
      <c r="AI36" s="400">
        <f>IF(AG36=0,0,(AH36-AG36)/AG36*100)</f>
        <v>0</v>
      </c>
      <c r="AJ36" s="148">
        <f>SUM(AJ37:AJ38)</f>
        <v>0</v>
      </c>
      <c r="AK36" s="148">
        <f>SUM(AK37:AK38)</f>
        <v>0</v>
      </c>
      <c r="AL36" s="400">
        <f>IF(AJ36=0,0,(AK36-AJ36)/AJ36*100)</f>
        <v>0</v>
      </c>
      <c r="AM36" s="148">
        <f>SUM(AM37:AM38)</f>
        <v>0</v>
      </c>
      <c r="AN36" s="148">
        <f>SUM(AN37:AN38)</f>
        <v>0</v>
      </c>
      <c r="AO36" s="400">
        <f>IF(AM36=0,0,(AN36-AM36)/AM36*100)</f>
        <v>0</v>
      </c>
      <c r="AP36" s="148">
        <f>SUM(AP37:AP38)</f>
        <v>0</v>
      </c>
      <c r="AQ36" s="148">
        <f>SUM(AQ37:AQ38)</f>
        <v>0</v>
      </c>
      <c r="AR36" s="400">
        <f>IF(AP36=0,0,(AQ36-AP36)/AP36*100)</f>
        <v>0</v>
      </c>
      <c r="AS36" s="148">
        <f>SUM(AS37:AS38)</f>
        <v>0</v>
      </c>
      <c r="AT36" s="148">
        <f>SUM(AT37:AT38)</f>
        <v>0</v>
      </c>
      <c r="AU36" s="400">
        <f>IF(AS36=0,0,(AT36-AS36)/AS36*100)</f>
        <v>0</v>
      </c>
      <c r="AV36" s="148">
        <f>SUM(AV37:AV38)</f>
        <v>0</v>
      </c>
      <c r="AW36" s="148">
        <f>SUM(AW37:AW38)</f>
        <v>0</v>
      </c>
      <c r="AX36" s="400">
        <f>IF(AV36=0,0,(AW36-AV36)/AV36*100)</f>
        <v>0</v>
      </c>
      <c r="AY36" s="148">
        <f>SUM(AY37:AY38)</f>
        <v>0</v>
      </c>
      <c r="AZ36" s="148">
        <f>SUM(AZ37:AZ38)</f>
        <v>0</v>
      </c>
      <c r="BA36" s="400">
        <f>IF(AY36=0,0,(AZ36-AY36)/AY36*100)</f>
        <v>0</v>
      </c>
      <c r="BB36" s="148">
        <f>SUM(BB37:BB38)</f>
        <v>0</v>
      </c>
      <c r="BC36" s="148">
        <f>SUM(BC37:BC38)</f>
        <v>0</v>
      </c>
      <c r="BD36" s="400">
        <f>IF(BB36=0,0,(BC36-BB36)/BB36*100)</f>
        <v>0</v>
      </c>
      <c r="BE36" s="148">
        <f>SUM(BE37:BE38)</f>
        <v>0</v>
      </c>
      <c r="BF36" s="148">
        <f>SUM(BF37:BF38)</f>
        <v>0</v>
      </c>
      <c r="BG36" s="400">
        <f>IF(BE36=0,0,(BF36-BE36)/BE36*100)</f>
        <v>0</v>
      </c>
      <c r="BH36" s="148">
        <f>SUM(BH37:BH38)</f>
        <v>0</v>
      </c>
      <c r="BI36" s="148">
        <f>SUM(BI37:BI38)</f>
        <v>0</v>
      </c>
      <c r="BJ36" s="400">
        <f>IF(BH36=0,0,(BI36-BH36)/BH36*100)</f>
        <v>0</v>
      </c>
      <c r="BK36" s="148">
        <f>SUM(BK37:BK38)</f>
        <v>0</v>
      </c>
      <c r="BL36" s="148">
        <f>SUM(BL37:BL38)</f>
        <v>0</v>
      </c>
      <c r="BM36" s="400">
        <f>IF(BK36=0,0,(BL36-BK36)/BK36*100)</f>
        <v>0</v>
      </c>
      <c r="BN36" s="148">
        <f>SUM(BN37:BN38)</f>
        <v>0</v>
      </c>
      <c r="BO36" s="148">
        <f>SUM(BO37:BO38)</f>
        <v>0</v>
      </c>
      <c r="BP36" s="400">
        <f>IF(BN36=0,0,(BO36-BN36)/BN36*100)</f>
        <v>0</v>
      </c>
      <c r="BQ36" s="148">
        <f>SUM(BQ37:BQ38)</f>
        <v>0</v>
      </c>
      <c r="BR36" s="148">
        <f>SUM(BR37:BR38)</f>
        <v>0</v>
      </c>
      <c r="BS36" s="400">
        <f>IF(BQ36=0,0,(BR36-BQ36)/BQ36*100)</f>
        <v>0</v>
      </c>
      <c r="BT36" s="148">
        <f>SUM(BT37:BT38)</f>
        <v>0</v>
      </c>
      <c r="BU36" s="148">
        <f>SUM(BU37:BU38)</f>
        <v>0</v>
      </c>
      <c r="BV36" s="400">
        <f>IF(BT36=0,0,(BU36-BT36)/BT36*100)</f>
        <v>0</v>
      </c>
      <c r="BW36" s="148">
        <f>SUM(BW37:BW38)</f>
        <v>0</v>
      </c>
      <c r="BX36" s="148">
        <f>SUM(BX37:BX38)</f>
        <v>0</v>
      </c>
      <c r="BY36" s="400">
        <f>IF(BW36=0,0,(BX36-BW36)/BW36*100)</f>
        <v>0</v>
      </c>
      <c r="BZ36" s="148">
        <f>SUM(BZ37:BZ38)</f>
        <v>0</v>
      </c>
      <c r="CA36" s="148">
        <f>SUM(CA37:CA38)</f>
        <v>0</v>
      </c>
      <c r="CB36" s="400">
        <f>IF(BZ36=0,0,(CA36-BZ36)/BZ36*100)</f>
        <v>0</v>
      </c>
      <c r="CC36" s="148">
        <f>SUM(CC37:CC38)</f>
        <v>0</v>
      </c>
      <c r="CD36" s="148">
        <f>SUM(CD37:CD38)</f>
        <v>0</v>
      </c>
      <c r="CE36" s="400">
        <f>IF(CC36=0,0,(CD36-CC36)/CC36*100)</f>
        <v>0</v>
      </c>
      <c r="CF36" s="148">
        <f>SUM(CF37:CF38)</f>
        <v>0</v>
      </c>
      <c r="CG36" s="148">
        <f>SUM(CG37:CG38)</f>
        <v>0</v>
      </c>
      <c r="CH36" s="400">
        <f>IF(CF36=0,0,(CG36-CF36)/CF36*100)</f>
        <v>0</v>
      </c>
      <c r="CI36" s="148">
        <f>SUM(CI37:CI38)</f>
        <v>0</v>
      </c>
      <c r="CJ36" s="148">
        <f>SUM(CJ37:CJ38)</f>
        <v>0</v>
      </c>
      <c r="CK36" s="400">
        <f>IF(CI36=0,0,(CJ36-CI36)/CI36*100)</f>
        <v>0</v>
      </c>
      <c r="CL36" s="148">
        <f>SUM(CL37:CL38)</f>
        <v>0</v>
      </c>
      <c r="CM36" s="148">
        <f>SUM(CM37:CM38)</f>
        <v>0</v>
      </c>
      <c r="CN36" s="400">
        <f>IF(CL36=0,0,(CM36-CL36)/CL36*100)</f>
        <v>0</v>
      </c>
      <c r="CO36" s="148">
        <f>SUM(CO37:CO38)</f>
        <v>0</v>
      </c>
      <c r="CP36" s="148">
        <f>SUM(CP37:CP38)</f>
        <v>0</v>
      </c>
      <c r="CQ36" s="400">
        <f>IF(CO36=0,0,(CP36-CO36)/CO36*100)</f>
        <v>0</v>
      </c>
      <c r="CR36" s="148">
        <f>SUM(CR37:CR38)</f>
        <v>0</v>
      </c>
      <c r="CS36" s="148">
        <f>SUM(CS37:CS38)</f>
        <v>0</v>
      </c>
      <c r="CT36" s="400">
        <f>IF(CR36=0,0,(CS36-CR36)/CR36*100)</f>
        <v>0</v>
      </c>
      <c r="CU36" s="148">
        <f>SUM(CU37:CU38)</f>
        <v>0</v>
      </c>
      <c r="CV36" s="148">
        <f>SUM(CV37:CV38)</f>
        <v>0</v>
      </c>
      <c r="CW36" s="400">
        <f>IF(CU36=0,0,(CV36-CU36)/CU36*100)</f>
        <v>0</v>
      </c>
      <c r="CX36" s="148">
        <f>SUM(CX37:CX38)</f>
        <v>0</v>
      </c>
      <c r="CY36" s="148">
        <f>SUM(CY37:CY38)</f>
        <v>0</v>
      </c>
      <c r="CZ36" s="400">
        <f>IF(CX36=0,0,(CY36-CX36)/CX36*100)</f>
        <v>0</v>
      </c>
      <c r="DA36" s="148">
        <f>SUM(DA37:DA38)</f>
        <v>0</v>
      </c>
      <c r="DB36" s="148">
        <f>SUM(DB37:DB38)</f>
        <v>0</v>
      </c>
      <c r="DC36" s="400">
        <f>IF(DA36=0,0,(DB36-DA36)/DA36*100)</f>
        <v>0</v>
      </c>
      <c r="DD36" s="148">
        <f>SUM(DD37:DD38)</f>
        <v>0</v>
      </c>
      <c r="DE36" s="148">
        <f>SUM(DE37:DE38)</f>
        <v>0</v>
      </c>
      <c r="DF36" s="400">
        <f>IF(DD36=0,0,(DE36-DD36)/DD36*100)</f>
        <v>0</v>
      </c>
      <c r="DG36" s="148">
        <f>SUM(DG37:DG38)</f>
        <v>0</v>
      </c>
      <c r="DH36" s="148">
        <f>SUM(DH37:DH38)</f>
        <v>0</v>
      </c>
      <c r="DI36" s="400">
        <f>IF(DG36=0,0,(DH36-DG36)/DG36*100)</f>
        <v>0</v>
      </c>
      <c r="DJ36" s="148">
        <f>SUM(DJ37:DJ38)</f>
        <v>0</v>
      </c>
      <c r="DK36" s="148">
        <f>SUM(DK37:DK38)</f>
        <v>0</v>
      </c>
      <c r="DL36" s="400">
        <f>IF(DJ36=0,0,(DK36-DJ36)/DJ36*100)</f>
        <v>0</v>
      </c>
      <c r="DM36" s="148">
        <f>SUM(DM37:DM38)</f>
        <v>0</v>
      </c>
      <c r="DN36" s="148">
        <f>SUM(DN37:DN38)</f>
        <v>0</v>
      </c>
      <c r="DO36" s="400">
        <f>IF(DM36=0,0,(DN36-DM36)/DM36*100)</f>
        <v>0</v>
      </c>
      <c r="DP36" s="148">
        <f>SUM(DP37:DP38)</f>
        <v>0</v>
      </c>
      <c r="DQ36" s="148">
        <f>SUM(DQ37:DQ38)</f>
        <v>0</v>
      </c>
      <c r="DR36" s="400">
        <f>IF(DP36=0,0,(DQ36-DP36)/DP36*100)</f>
        <v>0</v>
      </c>
      <c r="DS36" s="148">
        <f>SUM(DS37:DS38)</f>
        <v>0</v>
      </c>
      <c r="DT36" s="148">
        <f>SUM(DT37:DT38)</f>
        <v>0</v>
      </c>
      <c r="DU36" s="400">
        <f>IF(DS36=0,0,(DT36-DS36)/DS36*100)</f>
        <v>0</v>
      </c>
      <c r="DV36" s="148">
        <f>SUM(DV37:DV38)</f>
        <v>0</v>
      </c>
      <c r="DW36" s="148">
        <f>SUM(DW37:DW38)</f>
        <v>0</v>
      </c>
      <c r="DX36" s="400">
        <f>IF(DV36=0,0,(DW36-DV36)/DV36*100)</f>
        <v>0</v>
      </c>
      <c r="DY36" s="148">
        <f>SUM(DY37:DY38)</f>
        <v>0</v>
      </c>
      <c r="DZ36" s="148">
        <f>SUM(DZ37:DZ38)</f>
        <v>0</v>
      </c>
      <c r="EA36" s="400">
        <f>IF(DY36=0,0,(DZ36-DY36)/DY36*100)</f>
        <v>0</v>
      </c>
      <c r="EB36" s="148">
        <f>SUM(EB37:EB38)</f>
        <v>0</v>
      </c>
      <c r="EC36" s="148">
        <f>SUM(EC37:EC38)</f>
        <v>0</v>
      </c>
      <c r="ED36" s="400">
        <f>IF(EB36=0,0,(EC36-EB36)/EB36*100)</f>
        <v>0</v>
      </c>
      <c r="EE36" s="148">
        <f>SUM(EE37:EE38)</f>
        <v>0</v>
      </c>
      <c r="EF36" s="148">
        <f>SUM(EF37:EF38)</f>
        <v>0</v>
      </c>
      <c r="EG36" s="400">
        <f>IF(EE36=0,0,(EF36-EE36)/EE36*100)</f>
        <v>0</v>
      </c>
      <c r="EH36" s="148">
        <f>SUM(EH37:EH38)</f>
        <v>0</v>
      </c>
      <c r="EI36" s="148">
        <f>SUM(EI37:EI38)</f>
        <v>0</v>
      </c>
      <c r="EJ36" s="400">
        <f>IF(EH36=0,0,(EI36-EH36)/EH36*100)</f>
        <v>0</v>
      </c>
      <c r="EK36" s="148">
        <f>SUM(EK37:EK38)</f>
        <v>0</v>
      </c>
      <c r="EL36" s="148">
        <f>SUM(EL37:EL38)</f>
        <v>0</v>
      </c>
      <c r="EM36" s="400">
        <f>IF(EK36=0,0,(EL36-EK36)/EK36*100)</f>
        <v>0</v>
      </c>
      <c r="EN36" s="148">
        <f>SUM(EN37:EN38)</f>
        <v>0</v>
      </c>
      <c r="EO36" s="148">
        <f>SUM(EO37:EO38)</f>
        <v>0</v>
      </c>
      <c r="EP36" s="400">
        <f>IF(EN36=0,0,(EO36-EN36)/EN36*100)</f>
        <v>0</v>
      </c>
      <c r="EQ36" s="148">
        <f>SUM(EQ37:EQ38)</f>
        <v>0</v>
      </c>
      <c r="ER36" s="148">
        <f>SUM(ER37:ER38)</f>
        <v>0</v>
      </c>
      <c r="ES36" s="400">
        <f>IF(EQ36=0,0,(ER36-EQ36)/EQ36*100)</f>
        <v>0</v>
      </c>
      <c r="ET36" s="148">
        <f>SUM(ET37:ET38)</f>
        <v>0</v>
      </c>
      <c r="EU36" s="148">
        <f>SUM(EU37:EU38)</f>
        <v>0</v>
      </c>
      <c r="EV36" s="400">
        <f>IF(ET36=0,0,(EU36-ET36)/ET36*100)</f>
        <v>0</v>
      </c>
      <c r="EW36" s="148">
        <f>SUM(EW37:EW38)</f>
        <v>0</v>
      </c>
      <c r="EX36" s="148">
        <f>SUM(EX37:EX38)</f>
        <v>0</v>
      </c>
      <c r="EY36" s="400">
        <f>IF(EW36=0,0,(EX36-EW36)/EW36*100)</f>
        <v>0</v>
      </c>
      <c r="EZ36" s="148">
        <f>SUM(EZ37:EZ38)</f>
        <v>0</v>
      </c>
      <c r="FA36" s="148">
        <f>SUM(FA37:FA38)</f>
        <v>0</v>
      </c>
      <c r="FB36" s="400">
        <f>IF(EZ36=0,0,(FA36-EZ36)/EZ36*100)</f>
        <v>0</v>
      </c>
      <c r="FC36" s="148">
        <f>SUM(FC37:FC38)</f>
        <v>0</v>
      </c>
      <c r="FD36" s="148">
        <f>SUM(FD37:FD38)</f>
        <v>0</v>
      </c>
      <c r="FE36" s="400">
        <f>IF(FC36=0,0,(FD36-FC36)/FC36*100)</f>
        <v>0</v>
      </c>
      <c r="FF36" s="148">
        <f>SUM(FF37:FF38)</f>
        <v>0</v>
      </c>
      <c r="FG36" s="148">
        <f>SUM(FG37:FG38)</f>
        <v>0</v>
      </c>
      <c r="FH36" s="400">
        <f>IF(FF36=0,0,(FG36-FF36)/FF36*100)</f>
        <v>0</v>
      </c>
      <c r="FI36" s="148">
        <f>SUM(FI37:FI38)</f>
        <v>0</v>
      </c>
      <c r="FJ36" s="148">
        <f>SUM(FJ37:FJ38)</f>
        <v>0</v>
      </c>
      <c r="FK36" s="400">
        <f>IF(FI36=0,0,(FJ36-FI36)/FI36*100)</f>
        <v>0</v>
      </c>
      <c r="FL36" s="148">
        <f>SUM(FL37:FL38)</f>
        <v>0</v>
      </c>
      <c r="FM36" s="148">
        <f>SUM(FM37:FM38)</f>
        <v>0</v>
      </c>
      <c r="FN36" s="400">
        <f>IF(FL36=0,0,(FM36-FL36)/FL36*100)</f>
        <v>0</v>
      </c>
      <c r="FO36" s="148">
        <f>SUM(FO37:FO38)</f>
        <v>0</v>
      </c>
      <c r="FP36" s="148">
        <f>SUM(FP37:FP38)</f>
        <v>0</v>
      </c>
      <c r="FQ36" s="400">
        <f>IF(FO36=0,0,(FP36-FO36)/FO36*100)</f>
        <v>0</v>
      </c>
      <c r="FR36" s="148">
        <f>SUM(FR37:FR38)</f>
        <v>0</v>
      </c>
      <c r="FS36" s="148">
        <f>SUM(FS37:FS38)</f>
        <v>0</v>
      </c>
      <c r="FT36" s="400">
        <f>IF(FR36=0,0,(FS36-FR36)/FR36*100)</f>
        <v>0</v>
      </c>
      <c r="FU36" s="148">
        <f>SUM(FU37:FU38)</f>
        <v>0</v>
      </c>
      <c r="FV36" s="148">
        <f>SUM(FV37:FV38)</f>
        <v>0</v>
      </c>
      <c r="FW36" s="400">
        <f>IF(FU36=0,0,(FV36-FU36)/FU36*100)</f>
        <v>0</v>
      </c>
      <c r="FZ36" s="1184" t="s">
        <v>2107</v>
      </c>
      <c r="GA36" s="1184"/>
      <c r="GB36" s="1184"/>
      <c r="GC36" s="1184"/>
      <c r="GD36" s="1184"/>
    </row>
    <row customHeight="1" ht="16.672500000000003" hidden="1">
      <c r="B37" s="964" cm="1" t="str">
        <f t="array" ref="B37:B37">B36</f>
        <v>false</v>
      </c>
      <c r="C37" s="1325" t="s">
        <v>1723</v>
      </c>
      <c r="D37" s="1294" t="s">
        <v>1724</v>
      </c>
      <c r="E37" s="797">
        <v>17.1</v>
      </c>
      <c r="F37" s="922" cm="1" t="str">
        <f t="array" ref="F37:F37">OFFSET(G37,-1,-1)</f>
        <v>0</v>
      </c>
      <c r="G37" s="193" t="s">
        <v>1725</v>
      </c>
      <c r="J37" s="1315" t="s">
        <v>2091</v>
      </c>
      <c r="K37" s="1315" cm="1" t="str">
        <f t="array" ref="K37:K37">OFFSET(J37,-1,1)</f>
        <v>0</v>
      </c>
      <c r="L37" s="1315" t="s">
        <v>2105</v>
      </c>
      <c r="M37" s="1315" t="s">
        <v>1726</v>
      </c>
      <c r="N37" s="1315" t="s">
        <v>2093</v>
      </c>
      <c r="O37" s="1316" t="s">
        <v>2094</v>
      </c>
      <c r="P37" s="1315"/>
      <c r="Q37" s="1315"/>
      <c r="T37" s="808" cm="1" t="str">
        <f t="array" ref="T37:T37">T36</f>
        <v>false</v>
      </c>
      <c r="AB37" s="289" t="s">
        <v>1727</v>
      </c>
      <c r="AC37" s="172" t="s">
        <v>599</v>
      </c>
      <c r="AD37" s="148">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8">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0">
        <f>IF(AD37=0,0,(AE37-AD37)/AD37*100)</f>
        <v>0</v>
      </c>
      <c r="AG37" s="14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0">
        <f>IF(AG37=0,0,(AH37-AG37)/AG37*100)</f>
        <v>0</v>
      </c>
      <c r="AJ37" s="14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0">
        <f>IF(AJ37=0,0,(AK37-AJ37)/AJ37*100)</f>
        <v>0</v>
      </c>
      <c r="AM37" s="14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0">
        <f>IF(AM37=0,0,(AN37-AM37)/AM37*100)</f>
        <v>0</v>
      </c>
      <c r="AP37" s="14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0">
        <f>IF(AP37=0,0,(AQ37-AP37)/AP37*100)</f>
        <v>0</v>
      </c>
      <c r="AS37" s="148">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8">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0">
        <f>IF(AS37=0,0,(AT37-AS37)/AS37*100)</f>
        <v>0</v>
      </c>
      <c r="AV37" s="148">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8">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0">
        <f>IF(AV37=0,0,(AW37-AV37)/AV37*100)</f>
        <v>0</v>
      </c>
      <c r="AY37" s="148">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8">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0">
        <f>IF(AY37=0,0,(AZ37-AY37)/AY37*100)</f>
        <v>0</v>
      </c>
      <c r="BB37" s="148">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8">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0">
        <f>IF(BB37=0,0,(BC37-BB37)/BB37*100)</f>
        <v>0</v>
      </c>
      <c r="BE37" s="148">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8">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0">
        <f>IF(BE37=0,0,(BF37-BE37)/BE37*100)</f>
        <v>0</v>
      </c>
      <c r="BH37" s="148"/>
      <c r="BI37" s="148"/>
      <c r="BJ37" s="400">
        <f>IF(BH37=0,0,(BI37-BH37)/BH37*100)</f>
        <v>0</v>
      </c>
      <c r="BK37" s="148"/>
      <c r="BL37" s="148"/>
      <c r="BM37" s="400">
        <f>IF(BK37=0,0,(BL37-BK37)/BK37*100)</f>
        <v>0</v>
      </c>
      <c r="BN37" s="148"/>
      <c r="BO37" s="148"/>
      <c r="BP37" s="400">
        <f>IF(BN37=0,0,(BO37-BN37)/BN37*100)</f>
        <v>0</v>
      </c>
      <c r="BQ37" s="148"/>
      <c r="BR37" s="148"/>
      <c r="BS37" s="400">
        <f>IF(BQ37=0,0,(BR37-BQ37)/BQ37*100)</f>
        <v>0</v>
      </c>
      <c r="BT37" s="148"/>
      <c r="BU37" s="148"/>
      <c r="BV37" s="400">
        <f>IF(BT37=0,0,(BU37-BT37)/BT37*100)</f>
        <v>0</v>
      </c>
      <c r="BW37" s="148"/>
      <c r="BX37" s="148"/>
      <c r="BY37" s="400">
        <f>IF(BW37=0,0,(BX37-BW37)/BW37*100)</f>
        <v>0</v>
      </c>
      <c r="BZ37" s="148"/>
      <c r="CA37" s="148"/>
      <c r="CB37" s="400">
        <f>IF(BZ37=0,0,(CA37-BZ37)/BZ37*100)</f>
        <v>0</v>
      </c>
      <c r="CC37" s="148"/>
      <c r="CD37" s="148"/>
      <c r="CE37" s="400">
        <f>IF(CC37=0,0,(CD37-CC37)/CC37*100)</f>
        <v>0</v>
      </c>
      <c r="CF37" s="148"/>
      <c r="CG37" s="148"/>
      <c r="CH37" s="400">
        <f>IF(CF37=0,0,(CG37-CF37)/CF37*100)</f>
        <v>0</v>
      </c>
      <c r="CI37" s="148"/>
      <c r="CJ37" s="148"/>
      <c r="CK37" s="400">
        <f>IF(CI37=0,0,(CJ37-CI37)/CI37*100)</f>
        <v>0</v>
      </c>
      <c r="CL37" s="148"/>
      <c r="CM37" s="148"/>
      <c r="CN37" s="400">
        <f>IF(CL37=0,0,(CM37-CL37)/CL37*100)</f>
        <v>0</v>
      </c>
      <c r="CO37" s="148"/>
      <c r="CP37" s="148"/>
      <c r="CQ37" s="400">
        <f>IF(CO37=0,0,(CP37-CO37)/CO37*100)</f>
        <v>0</v>
      </c>
      <c r="CR37" s="148"/>
      <c r="CS37" s="148"/>
      <c r="CT37" s="400">
        <f>IF(CR37=0,0,(CS37-CR37)/CR37*100)</f>
        <v>0</v>
      </c>
      <c r="CU37" s="148"/>
      <c r="CV37" s="148"/>
      <c r="CW37" s="400">
        <f>IF(CU37=0,0,(CV37-CU37)/CU37*100)</f>
        <v>0</v>
      </c>
      <c r="CX37" s="148"/>
      <c r="CY37" s="148"/>
      <c r="CZ37" s="400">
        <f>IF(CX37=0,0,(CY37-CX37)/CX37*100)</f>
        <v>0</v>
      </c>
      <c r="DA37" s="148"/>
      <c r="DB37" s="148"/>
      <c r="DC37" s="400">
        <f>IF(DA37=0,0,(DB37-DA37)/DA37*100)</f>
        <v>0</v>
      </c>
      <c r="DD37" s="148"/>
      <c r="DE37" s="148"/>
      <c r="DF37" s="400">
        <f>IF(DD37=0,0,(DE37-DD37)/DD37*100)</f>
        <v>0</v>
      </c>
      <c r="DG37" s="148"/>
      <c r="DH37" s="148"/>
      <c r="DI37" s="400">
        <f>IF(DG37=0,0,(DH37-DG37)/DG37*100)</f>
        <v>0</v>
      </c>
      <c r="DJ37" s="148"/>
      <c r="DK37" s="148"/>
      <c r="DL37" s="400">
        <f>IF(DJ37=0,0,(DK37-DJ37)/DJ37*100)</f>
        <v>0</v>
      </c>
      <c r="DM37" s="148"/>
      <c r="DN37" s="148"/>
      <c r="DO37" s="400">
        <f>IF(DM37=0,0,(DN37-DM37)/DM37*100)</f>
        <v>0</v>
      </c>
      <c r="DP37" s="148"/>
      <c r="DQ37" s="148"/>
      <c r="DR37" s="400">
        <f>IF(DP37=0,0,(DQ37-DP37)/DP37*100)</f>
        <v>0</v>
      </c>
      <c r="DS37" s="148"/>
      <c r="DT37" s="148"/>
      <c r="DU37" s="400">
        <f>IF(DS37=0,0,(DT37-DS37)/DS37*100)</f>
        <v>0</v>
      </c>
      <c r="DV37" s="148"/>
      <c r="DW37" s="148"/>
      <c r="DX37" s="400">
        <f>IF(DV37=0,0,(DW37-DV37)/DV37*100)</f>
        <v>0</v>
      </c>
      <c r="DY37" s="148"/>
      <c r="DZ37" s="148"/>
      <c r="EA37" s="400">
        <f>IF(DY37=0,0,(DZ37-DY37)/DY37*100)</f>
        <v>0</v>
      </c>
      <c r="EB37" s="148"/>
      <c r="EC37" s="148"/>
      <c r="ED37" s="400">
        <f>IF(EB37=0,0,(EC37-EB37)/EB37*100)</f>
        <v>0</v>
      </c>
      <c r="EE37" s="148"/>
      <c r="EF37" s="148"/>
      <c r="EG37" s="400">
        <f>IF(EE37=0,0,(EF37-EE37)/EE37*100)</f>
        <v>0</v>
      </c>
      <c r="EH37" s="148"/>
      <c r="EI37" s="148"/>
      <c r="EJ37" s="400">
        <f>IF(EH37=0,0,(EI37-EH37)/EH37*100)</f>
        <v>0</v>
      </c>
      <c r="EK37" s="148"/>
      <c r="EL37" s="148"/>
      <c r="EM37" s="400">
        <f>IF(EK37=0,0,(EL37-EK37)/EK37*100)</f>
        <v>0</v>
      </c>
      <c r="EN37" s="148"/>
      <c r="EO37" s="148"/>
      <c r="EP37" s="400">
        <f>IF(EN37=0,0,(EO37-EN37)/EN37*100)</f>
        <v>0</v>
      </c>
      <c r="EQ37" s="148"/>
      <c r="ER37" s="148"/>
      <c r="ES37" s="400">
        <f>IF(EQ37=0,0,(ER37-EQ37)/EQ37*100)</f>
        <v>0</v>
      </c>
      <c r="ET37" s="148"/>
      <c r="EU37" s="148"/>
      <c r="EV37" s="400">
        <f>IF(ET37=0,0,(EU37-ET37)/ET37*100)</f>
        <v>0</v>
      </c>
      <c r="EW37" s="148"/>
      <c r="EX37" s="148"/>
      <c r="EY37" s="400">
        <f>IF(EW37=0,0,(EX37-EW37)/EW37*100)</f>
        <v>0</v>
      </c>
      <c r="EZ37" s="148"/>
      <c r="FA37" s="148"/>
      <c r="FB37" s="400">
        <f>IF(EZ37=0,0,(FA37-EZ37)/EZ37*100)</f>
        <v>0</v>
      </c>
      <c r="FC37" s="148"/>
      <c r="FD37" s="148"/>
      <c r="FE37" s="400">
        <f>IF(FC37=0,0,(FD37-FC37)/FC37*100)</f>
        <v>0</v>
      </c>
      <c r="FF37" s="148"/>
      <c r="FG37" s="148"/>
      <c r="FH37" s="400">
        <f>IF(FF37=0,0,(FG37-FF37)/FF37*100)</f>
        <v>0</v>
      </c>
      <c r="FI37" s="148"/>
      <c r="FJ37" s="148"/>
      <c r="FK37" s="400">
        <f>IF(FI37=0,0,(FJ37-FI37)/FI37*100)</f>
        <v>0</v>
      </c>
      <c r="FL37" s="148"/>
      <c r="FM37" s="148"/>
      <c r="FN37" s="400">
        <f>IF(FL37=0,0,(FM37-FL37)/FL37*100)</f>
        <v>0</v>
      </c>
      <c r="FO37" s="148"/>
      <c r="FP37" s="148"/>
      <c r="FQ37" s="400">
        <f>IF(FO37=0,0,(FP37-FO37)/FO37*100)</f>
        <v>0</v>
      </c>
      <c r="FR37" s="148"/>
      <c r="FS37" s="148"/>
      <c r="FT37" s="400">
        <f>IF(FR37=0,0,(FS37-FR37)/FR37*100)</f>
        <v>0</v>
      </c>
      <c r="FU37" s="148"/>
      <c r="FV37" s="148"/>
      <c r="FW37" s="400">
        <f>IF(FU37=0,0,(FV37-FU37)/FU37*100)</f>
        <v>0</v>
      </c>
      <c r="FZ37" s="1184" t="s">
        <v>2108</v>
      </c>
      <c r="GA37" s="1184"/>
      <c r="GB37" s="1184"/>
      <c r="GC37" s="1184"/>
      <c r="GD37" s="1184"/>
    </row>
    <row customHeight="1" ht="16.672500000000003" hidden="1">
      <c r="B38" s="964" cm="1" t="str">
        <f t="array" ref="B38:B38">B37</f>
        <v>false</v>
      </c>
      <c r="C38" s="1325" t="s">
        <v>1723</v>
      </c>
      <c r="D38" s="1294" t="s">
        <v>1724</v>
      </c>
      <c r="E38" s="797">
        <v>17.1</v>
      </c>
      <c r="F38" s="922" cm="1" t="str">
        <f t="array" ref="F38:F38">OFFSET(G38,-1,-1)</f>
        <v>0</v>
      </c>
      <c r="G38" s="193" t="s">
        <v>1734</v>
      </c>
      <c r="J38" s="1315" t="s">
        <v>2091</v>
      </c>
      <c r="K38" s="1315" cm="1" t="str">
        <f t="array" ref="K38:K38">OFFSET(J38,-1,1)</f>
        <v>0</v>
      </c>
      <c r="L38" s="1315" t="s">
        <v>2105</v>
      </c>
      <c r="M38" s="1315" t="s">
        <v>1735</v>
      </c>
      <c r="N38" s="1315" t="s">
        <v>2093</v>
      </c>
      <c r="O38" s="1316" t="s">
        <v>2094</v>
      </c>
      <c r="P38" s="1315"/>
      <c r="Q38" s="1315"/>
      <c r="T38" s="808" cm="1" t="str">
        <f t="array" ref="T38:T38">T37</f>
        <v>false</v>
      </c>
      <c r="AB38" s="289" t="s">
        <v>1736</v>
      </c>
      <c r="AC38" s="172" t="s">
        <v>599</v>
      </c>
      <c r="AD38" s="148">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8">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0">
        <f>IF(AD38=0,0,(AE38-AD38)/AD38*100)</f>
        <v>0</v>
      </c>
      <c r="AG38" s="14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0">
        <f>IF(AG38=0,0,(AH38-AG38)/AG38*100)</f>
        <v>0</v>
      </c>
      <c r="AJ38" s="14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0">
        <f>IF(AJ38=0,0,(AK38-AJ38)/AJ38*100)</f>
        <v>0</v>
      </c>
      <c r="AM38" s="14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0">
        <f>IF(AM38=0,0,(AN38-AM38)/AM38*100)</f>
        <v>0</v>
      </c>
      <c r="AP38" s="14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0">
        <f>IF(AP38=0,0,(AQ38-AP38)/AP38*100)</f>
        <v>0</v>
      </c>
      <c r="AS38" s="148">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8">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0">
        <f>IF(AS38=0,0,(AT38-AS38)/AS38*100)</f>
        <v>0</v>
      </c>
      <c r="AV38" s="148">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8">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0">
        <f>IF(AV38=0,0,(AW38-AV38)/AV38*100)</f>
        <v>0</v>
      </c>
      <c r="AY38" s="148">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8">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0">
        <f>IF(AY38=0,0,(AZ38-AY38)/AY38*100)</f>
        <v>0</v>
      </c>
      <c r="BB38" s="148">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8">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0">
        <f>IF(BB38=0,0,(BC38-BB38)/BB38*100)</f>
        <v>0</v>
      </c>
      <c r="BE38" s="148">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8">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0">
        <f>IF(BE38=0,0,(BF38-BE38)/BE38*100)</f>
        <v>0</v>
      </c>
      <c r="BH38" s="148"/>
      <c r="BI38" s="148"/>
      <c r="BJ38" s="400">
        <f>IF(BH38=0,0,(BI38-BH38)/BH38*100)</f>
        <v>0</v>
      </c>
      <c r="BK38" s="148"/>
      <c r="BL38" s="148"/>
      <c r="BM38" s="400">
        <f>IF(BK38=0,0,(BL38-BK38)/BK38*100)</f>
        <v>0</v>
      </c>
      <c r="BN38" s="148"/>
      <c r="BO38" s="148"/>
      <c r="BP38" s="400">
        <f>IF(BN38=0,0,(BO38-BN38)/BN38*100)</f>
        <v>0</v>
      </c>
      <c r="BQ38" s="148"/>
      <c r="BR38" s="148"/>
      <c r="BS38" s="400">
        <f>IF(BQ38=0,0,(BR38-BQ38)/BQ38*100)</f>
        <v>0</v>
      </c>
      <c r="BT38" s="148"/>
      <c r="BU38" s="148"/>
      <c r="BV38" s="400">
        <f>IF(BT38=0,0,(BU38-BT38)/BT38*100)</f>
        <v>0</v>
      </c>
      <c r="BW38" s="148"/>
      <c r="BX38" s="148"/>
      <c r="BY38" s="400">
        <f>IF(BW38=0,0,(BX38-BW38)/BW38*100)</f>
        <v>0</v>
      </c>
      <c r="BZ38" s="148"/>
      <c r="CA38" s="148"/>
      <c r="CB38" s="400">
        <f>IF(BZ38=0,0,(CA38-BZ38)/BZ38*100)</f>
        <v>0</v>
      </c>
      <c r="CC38" s="148"/>
      <c r="CD38" s="148"/>
      <c r="CE38" s="400">
        <f>IF(CC38=0,0,(CD38-CC38)/CC38*100)</f>
        <v>0</v>
      </c>
      <c r="CF38" s="148"/>
      <c r="CG38" s="148"/>
      <c r="CH38" s="400">
        <f>IF(CF38=0,0,(CG38-CF38)/CF38*100)</f>
        <v>0</v>
      </c>
      <c r="CI38" s="148"/>
      <c r="CJ38" s="148"/>
      <c r="CK38" s="400">
        <f>IF(CI38=0,0,(CJ38-CI38)/CI38*100)</f>
        <v>0</v>
      </c>
      <c r="CL38" s="148"/>
      <c r="CM38" s="148"/>
      <c r="CN38" s="400">
        <f>IF(CL38=0,0,(CM38-CL38)/CL38*100)</f>
        <v>0</v>
      </c>
      <c r="CO38" s="148"/>
      <c r="CP38" s="148"/>
      <c r="CQ38" s="400">
        <f>IF(CO38=0,0,(CP38-CO38)/CO38*100)</f>
        <v>0</v>
      </c>
      <c r="CR38" s="148"/>
      <c r="CS38" s="148"/>
      <c r="CT38" s="400">
        <f>IF(CR38=0,0,(CS38-CR38)/CR38*100)</f>
        <v>0</v>
      </c>
      <c r="CU38" s="148"/>
      <c r="CV38" s="148"/>
      <c r="CW38" s="400">
        <f>IF(CU38=0,0,(CV38-CU38)/CU38*100)</f>
        <v>0</v>
      </c>
      <c r="CX38" s="148"/>
      <c r="CY38" s="148"/>
      <c r="CZ38" s="400">
        <f>IF(CX38=0,0,(CY38-CX38)/CX38*100)</f>
        <v>0</v>
      </c>
      <c r="DA38" s="148"/>
      <c r="DB38" s="148"/>
      <c r="DC38" s="400">
        <f>IF(DA38=0,0,(DB38-DA38)/DA38*100)</f>
        <v>0</v>
      </c>
      <c r="DD38" s="148"/>
      <c r="DE38" s="148"/>
      <c r="DF38" s="400">
        <f>IF(DD38=0,0,(DE38-DD38)/DD38*100)</f>
        <v>0</v>
      </c>
      <c r="DG38" s="148"/>
      <c r="DH38" s="148"/>
      <c r="DI38" s="400">
        <f>IF(DG38=0,0,(DH38-DG38)/DG38*100)</f>
        <v>0</v>
      </c>
      <c r="DJ38" s="148"/>
      <c r="DK38" s="148"/>
      <c r="DL38" s="400">
        <f>IF(DJ38=0,0,(DK38-DJ38)/DJ38*100)</f>
        <v>0</v>
      </c>
      <c r="DM38" s="148"/>
      <c r="DN38" s="148"/>
      <c r="DO38" s="400">
        <f>IF(DM38=0,0,(DN38-DM38)/DM38*100)</f>
        <v>0</v>
      </c>
      <c r="DP38" s="148"/>
      <c r="DQ38" s="148"/>
      <c r="DR38" s="400">
        <f>IF(DP38=0,0,(DQ38-DP38)/DP38*100)</f>
        <v>0</v>
      </c>
      <c r="DS38" s="148"/>
      <c r="DT38" s="148"/>
      <c r="DU38" s="400">
        <f>IF(DS38=0,0,(DT38-DS38)/DS38*100)</f>
        <v>0</v>
      </c>
      <c r="DV38" s="148"/>
      <c r="DW38" s="148"/>
      <c r="DX38" s="400">
        <f>IF(DV38=0,0,(DW38-DV38)/DV38*100)</f>
        <v>0</v>
      </c>
      <c r="DY38" s="148"/>
      <c r="DZ38" s="148"/>
      <c r="EA38" s="400">
        <f>IF(DY38=0,0,(DZ38-DY38)/DY38*100)</f>
        <v>0</v>
      </c>
      <c r="EB38" s="148"/>
      <c r="EC38" s="148"/>
      <c r="ED38" s="400">
        <f>IF(EB38=0,0,(EC38-EB38)/EB38*100)</f>
        <v>0</v>
      </c>
      <c r="EE38" s="148"/>
      <c r="EF38" s="148"/>
      <c r="EG38" s="400">
        <f>IF(EE38=0,0,(EF38-EE38)/EE38*100)</f>
        <v>0</v>
      </c>
      <c r="EH38" s="148"/>
      <c r="EI38" s="148"/>
      <c r="EJ38" s="400">
        <f>IF(EH38=0,0,(EI38-EH38)/EH38*100)</f>
        <v>0</v>
      </c>
      <c r="EK38" s="148"/>
      <c r="EL38" s="148"/>
      <c r="EM38" s="400">
        <f>IF(EK38=0,0,(EL38-EK38)/EK38*100)</f>
        <v>0</v>
      </c>
      <c r="EN38" s="148"/>
      <c r="EO38" s="148"/>
      <c r="EP38" s="400">
        <f>IF(EN38=0,0,(EO38-EN38)/EN38*100)</f>
        <v>0</v>
      </c>
      <c r="EQ38" s="148"/>
      <c r="ER38" s="148"/>
      <c r="ES38" s="400">
        <f>IF(EQ38=0,0,(ER38-EQ38)/EQ38*100)</f>
        <v>0</v>
      </c>
      <c r="ET38" s="148"/>
      <c r="EU38" s="148"/>
      <c r="EV38" s="400">
        <f>IF(ET38=0,0,(EU38-ET38)/ET38*100)</f>
        <v>0</v>
      </c>
      <c r="EW38" s="148"/>
      <c r="EX38" s="148"/>
      <c r="EY38" s="400">
        <f>IF(EW38=0,0,(EX38-EW38)/EW38*100)</f>
        <v>0</v>
      </c>
      <c r="EZ38" s="148"/>
      <c r="FA38" s="148"/>
      <c r="FB38" s="400">
        <f>IF(EZ38=0,0,(FA38-EZ38)/EZ38*100)</f>
        <v>0</v>
      </c>
      <c r="FC38" s="148"/>
      <c r="FD38" s="148"/>
      <c r="FE38" s="400">
        <f>IF(FC38=0,0,(FD38-FC38)/FC38*100)</f>
        <v>0</v>
      </c>
      <c r="FF38" s="148"/>
      <c r="FG38" s="148"/>
      <c r="FH38" s="400">
        <f>IF(FF38=0,0,(FG38-FF38)/FF38*100)</f>
        <v>0</v>
      </c>
      <c r="FI38" s="148"/>
      <c r="FJ38" s="148"/>
      <c r="FK38" s="400">
        <f>IF(FI38=0,0,(FJ38-FI38)/FI38*100)</f>
        <v>0</v>
      </c>
      <c r="FL38" s="148"/>
      <c r="FM38" s="148"/>
      <c r="FN38" s="400">
        <f>IF(FL38=0,0,(FM38-FL38)/FL38*100)</f>
        <v>0</v>
      </c>
      <c r="FO38" s="148"/>
      <c r="FP38" s="148"/>
      <c r="FQ38" s="400">
        <f>IF(FO38=0,0,(FP38-FO38)/FO38*100)</f>
        <v>0</v>
      </c>
      <c r="FR38" s="148"/>
      <c r="FS38" s="148"/>
      <c r="FT38" s="400">
        <f>IF(FR38=0,0,(FS38-FR38)/FR38*100)</f>
        <v>0</v>
      </c>
      <c r="FU38" s="148"/>
      <c r="FV38" s="148"/>
      <c r="FW38" s="400">
        <f>IF(FU38=0,0,(FV38-FU38)/FU38*100)</f>
        <v>0</v>
      </c>
      <c r="FZ38" s="1184" t="s">
        <v>2109</v>
      </c>
      <c r="GA38" s="1184"/>
      <c r="GB38" s="1184"/>
      <c r="GC38" s="1184"/>
      <c r="GD38" s="1184"/>
    </row>
    <row s="363" customFormat="1" customHeight="1" ht="16.672500000000003" hidden="1">
      <c r="B39" s="964" cm="1" t="str">
        <f t="array" ref="B39:B39">B38</f>
        <v>false</v>
      </c>
      <c r="C39" s="1325" t="s">
        <v>2110</v>
      </c>
      <c r="D39" s="1294" t="s">
        <v>2111</v>
      </c>
      <c r="E39" s="797">
        <v>17.1</v>
      </c>
      <c r="F39" s="922" cm="1" t="str">
        <f t="array" ref="F39:F39">OFFSET(G39,-1,-1)</f>
        <v>0</v>
      </c>
      <c r="H39" s="213" t="s">
        <v>501</v>
      </c>
      <c r="I39" s="213" t="s">
        <v>2112</v>
      </c>
      <c r="J39" s="1315" t="s">
        <v>2091</v>
      </c>
      <c r="K39" s="1315" cm="1" t="str">
        <f t="array" ref="K39:K39">OFFSET(J39,-1,1)</f>
        <v>0</v>
      </c>
      <c r="L39" s="1315"/>
      <c r="M39" s="1315" t="s">
        <v>1726</v>
      </c>
      <c r="N39" s="1315" t="s">
        <v>2113</v>
      </c>
      <c r="O39" s="1316" t="s">
        <v>2114</v>
      </c>
      <c r="P39" s="1315"/>
      <c r="Q39" s="1315"/>
      <c r="T39" s="808" cm="1" t="str">
        <f t="array" ref="T39:T39">T38</f>
        <v>false</v>
      </c>
      <c r="AB39" s="1354" t="s">
        <v>2115</v>
      </c>
      <c r="AC39" s="364" t="s">
        <v>900</v>
      </c>
      <c r="AD39" s="147" cm="1" t="str">
        <f t="array" ref="AD39:AD39">IF(tax_system="ОСНО",AD33*(1+Сценарии!AE$26%),AD33)</f>
        <v>0</v>
      </c>
      <c r="AE39" s="147" cm="1" t="str">
        <f t="array" ref="AE39:AE39">IF(tax_system="ОСНО",AE33*(1+Сценарии!AO$26%),AE33)</f>
        <v>0</v>
      </c>
      <c r="AF39" s="366">
        <f>IF(AD39=0,0,(AE39-AD39)/AD39*100)</f>
        <v>0</v>
      </c>
      <c r="AG39" s="147" cm="1" t="str">
        <f t="array" ref="AG39:AG39">IF(tax_system="ОСНО",AG33*(1+Сценарии!AF$26%),AG33)</f>
        <v>0</v>
      </c>
      <c r="AH39" s="147" cm="1" t="str">
        <f t="array" ref="AH39:AH39">IF(tax_system="ОСНО",AH33*(1+Сценарии!AP$26%),AH33)</f>
        <v>0</v>
      </c>
      <c r="AI39" s="366">
        <f>IF(AG39=0,0,(AH39-AG39)/AG39*100)</f>
        <v>0</v>
      </c>
      <c r="AJ39" s="147" cm="1" t="str">
        <f t="array" ref="AJ39:AJ39">IF(tax_system="ОСНО",AJ33*(1+Сценарии!AG$26%),AJ33)</f>
        <v>0</v>
      </c>
      <c r="AK39" s="147" cm="1" t="str">
        <f t="array" ref="AK39:AK39">IF(tax_system="ОСНО",AK33*(1+Сценарии!AQ$26%),AK33)</f>
        <v>0</v>
      </c>
      <c r="AL39" s="366">
        <f>IF(AJ39=0,0,(AK39-AJ39)/AJ39*100)</f>
        <v>0</v>
      </c>
      <c r="AM39" s="147" cm="1" t="str">
        <f t="array" ref="AM39:AM39">IF(tax_system="ОСНО",AM33*(1+Сценарии!AH$26%),AM33)</f>
        <v>0</v>
      </c>
      <c r="AN39" s="147" cm="1" t="str">
        <f t="array" ref="AN39:AN39">IF(tax_system="ОСНО",AN33*(1+Сценарии!AR$26%),AN33)</f>
        <v>0</v>
      </c>
      <c r="AO39" s="366">
        <f>IF(AM39=0,0,(AN39-AM39)/AM39*100)</f>
        <v>0</v>
      </c>
      <c r="AP39" s="147" cm="1" t="str">
        <f t="array" ref="AP39:AP39">IF(tax_system="ОСНО",AP33*(1+Сценарии!AI$26%),AP33)</f>
        <v>0</v>
      </c>
      <c r="AQ39" s="147" cm="1" t="str">
        <f t="array" ref="AQ39:AQ39">IF(tax_system="ОСНО",AQ33*(1+Сценарии!AS$26%),AQ33)</f>
        <v>0</v>
      </c>
      <c r="AR39" s="366">
        <f>IF(AP39=0,0,(AQ39-AP39)/AP39*100)</f>
        <v>0</v>
      </c>
      <c r="AS39" s="147" cm="1" t="str">
        <f t="array" ref="AS39:AS39">IF(tax_system="ОСНО",AS33*(1+Сценарии!AJ$26%),AS33)</f>
        <v>0</v>
      </c>
      <c r="AT39" s="147" cm="1" t="str">
        <f t="array" ref="AT39:AT39">IF(tax_system="ОСНО",AT33*(1+Сценарии!AT$26%),AT33)</f>
        <v>0</v>
      </c>
      <c r="AU39" s="366">
        <f>IF(AS39=0,0,(AT39-AS39)/AS39*100)</f>
        <v>0</v>
      </c>
      <c r="AV39" s="147" cm="1" t="str">
        <f t="array" ref="AV39:AV39">IF(tax_system="ОСНО",AV33*(1+Сценарии!AK$26%),AV33)</f>
        <v>0</v>
      </c>
      <c r="AW39" s="147" cm="1" t="str">
        <f t="array" ref="AW39:AW39">IF(tax_system="ОСНО",AW33*(1+Сценарии!AU$26%),AW33)</f>
        <v>0</v>
      </c>
      <c r="AX39" s="366">
        <f>IF(AV39=0,0,(AW39-AV39)/AV39*100)</f>
        <v>0</v>
      </c>
      <c r="AY39" s="147" cm="1" t="str">
        <f t="array" ref="AY39:AY39">IF(tax_system="ОСНО",AY33*(1+Сценарии!AL$26%),AY33)</f>
        <v>0</v>
      </c>
      <c r="AZ39" s="147" cm="1" t="str">
        <f t="array" ref="AZ39:AZ39">IF(tax_system="ОСНО",AZ33*(1+Сценарии!AV$26%),AZ33)</f>
        <v>0</v>
      </c>
      <c r="BA39" s="366">
        <f>IF(AY39=0,0,(AZ39-AY39)/AY39*100)</f>
        <v>0</v>
      </c>
      <c r="BB39" s="147" cm="1" t="str">
        <f t="array" ref="BB39:BB39">IF(tax_system="ОСНО",BB33*(1+Сценарии!AM$26%),BB33)</f>
        <v>0</v>
      </c>
      <c r="BC39" s="147" cm="1" t="str">
        <f t="array" ref="BC39:BC39">IF(tax_system="ОСНО",BC33*(1+Сценарии!AW$26%),BC33)</f>
        <v>0</v>
      </c>
      <c r="BD39" s="366">
        <f>IF(BB39=0,0,(BC39-BB39)/BB39*100)</f>
        <v>0</v>
      </c>
      <c r="BE39" s="147" cm="1" t="str">
        <f t="array" ref="BE39:BE39">IF(tax_system="ОСНО",BE33*(1+Сценарии!AN$26%),BE33)</f>
        <v>0</v>
      </c>
      <c r="BF39" s="147" cm="1" t="str">
        <f t="array" ref="BF39:BF39">IF(tax_system="ОСНО",BF33*(1+Сценарии!AX$26%),BF33)</f>
        <v>0</v>
      </c>
      <c r="BG39" s="366">
        <f>IF(BE39=0,0,(BF39-BE39)/BE39*100)</f>
        <v>0</v>
      </c>
      <c r="BH39" s="147"/>
      <c r="BI39" s="147"/>
      <c r="BJ39" s="366">
        <f>IF(BH39=0,0,(BI39-BH39)/BH39*100)</f>
        <v>0</v>
      </c>
      <c r="BK39" s="147"/>
      <c r="BL39" s="147"/>
      <c r="BM39" s="366">
        <f>IF(BK39=0,0,(BL39-BK39)/BK39*100)</f>
        <v>0</v>
      </c>
      <c r="BN39" s="147"/>
      <c r="BO39" s="147"/>
      <c r="BP39" s="366">
        <f>IF(BN39=0,0,(BO39-BN39)/BN39*100)</f>
        <v>0</v>
      </c>
      <c r="BQ39" s="147"/>
      <c r="BR39" s="147"/>
      <c r="BS39" s="366">
        <f>IF(BQ39=0,0,(BR39-BQ39)/BQ39*100)</f>
        <v>0</v>
      </c>
      <c r="BT39" s="147"/>
      <c r="BU39" s="147"/>
      <c r="BV39" s="366">
        <f>IF(BT39=0,0,(BU39-BT39)/BT39*100)</f>
        <v>0</v>
      </c>
      <c r="BW39" s="147"/>
      <c r="BX39" s="147"/>
      <c r="BY39" s="366">
        <f>IF(BW39=0,0,(BX39-BW39)/BW39*100)</f>
        <v>0</v>
      </c>
      <c r="BZ39" s="147"/>
      <c r="CA39" s="147"/>
      <c r="CB39" s="366">
        <f>IF(BZ39=0,0,(CA39-BZ39)/BZ39*100)</f>
        <v>0</v>
      </c>
      <c r="CC39" s="147"/>
      <c r="CD39" s="147"/>
      <c r="CE39" s="366">
        <f>IF(CC39=0,0,(CD39-CC39)/CC39*100)</f>
        <v>0</v>
      </c>
      <c r="CF39" s="147"/>
      <c r="CG39" s="147"/>
      <c r="CH39" s="366">
        <f>IF(CF39=0,0,(CG39-CF39)/CF39*100)</f>
        <v>0</v>
      </c>
      <c r="CI39" s="147"/>
      <c r="CJ39" s="147"/>
      <c r="CK39" s="366">
        <f>IF(CI39=0,0,(CJ39-CI39)/CI39*100)</f>
        <v>0</v>
      </c>
      <c r="CL39" s="147"/>
      <c r="CM39" s="147"/>
      <c r="CN39" s="366">
        <f>IF(CL39=0,0,(CM39-CL39)/CL39*100)</f>
        <v>0</v>
      </c>
      <c r="CO39" s="147"/>
      <c r="CP39" s="147"/>
      <c r="CQ39" s="366">
        <f>IF(CO39=0,0,(CP39-CO39)/CO39*100)</f>
        <v>0</v>
      </c>
      <c r="CR39" s="147"/>
      <c r="CS39" s="147"/>
      <c r="CT39" s="366">
        <f>IF(CR39=0,0,(CS39-CR39)/CR39*100)</f>
        <v>0</v>
      </c>
      <c r="CU39" s="147"/>
      <c r="CV39" s="147"/>
      <c r="CW39" s="366">
        <f>IF(CU39=0,0,(CV39-CU39)/CU39*100)</f>
        <v>0</v>
      </c>
      <c r="CX39" s="147"/>
      <c r="CY39" s="147"/>
      <c r="CZ39" s="366">
        <f>IF(CX39=0,0,(CY39-CX39)/CX39*100)</f>
        <v>0</v>
      </c>
      <c r="DA39" s="147"/>
      <c r="DB39" s="147"/>
      <c r="DC39" s="366">
        <f>IF(DA39=0,0,(DB39-DA39)/DA39*100)</f>
        <v>0</v>
      </c>
      <c r="DD39" s="147"/>
      <c r="DE39" s="147"/>
      <c r="DF39" s="366">
        <f>IF(DD39=0,0,(DE39-DD39)/DD39*100)</f>
        <v>0</v>
      </c>
      <c r="DG39" s="147"/>
      <c r="DH39" s="147"/>
      <c r="DI39" s="366">
        <f>IF(DG39=0,0,(DH39-DG39)/DG39*100)</f>
        <v>0</v>
      </c>
      <c r="DJ39" s="147"/>
      <c r="DK39" s="147"/>
      <c r="DL39" s="366">
        <f>IF(DJ39=0,0,(DK39-DJ39)/DJ39*100)</f>
        <v>0</v>
      </c>
      <c r="DM39" s="147"/>
      <c r="DN39" s="147"/>
      <c r="DO39" s="366">
        <f>IF(DM39=0,0,(DN39-DM39)/DM39*100)</f>
        <v>0</v>
      </c>
      <c r="DP39" s="147"/>
      <c r="DQ39" s="147"/>
      <c r="DR39" s="366">
        <f>IF(DP39=0,0,(DQ39-DP39)/DP39*100)</f>
        <v>0</v>
      </c>
      <c r="DS39" s="147"/>
      <c r="DT39" s="147"/>
      <c r="DU39" s="366">
        <f>IF(DS39=0,0,(DT39-DS39)/DS39*100)</f>
        <v>0</v>
      </c>
      <c r="DV39" s="147"/>
      <c r="DW39" s="147"/>
      <c r="DX39" s="366">
        <f>IF(DV39=0,0,(DW39-DV39)/DV39*100)</f>
        <v>0</v>
      </c>
      <c r="DY39" s="147"/>
      <c r="DZ39" s="147"/>
      <c r="EA39" s="366">
        <f>IF(DY39=0,0,(DZ39-DY39)/DY39*100)</f>
        <v>0</v>
      </c>
      <c r="EB39" s="147"/>
      <c r="EC39" s="147"/>
      <c r="ED39" s="366">
        <f>IF(EB39=0,0,(EC39-EB39)/EB39*100)</f>
        <v>0</v>
      </c>
      <c r="EE39" s="147"/>
      <c r="EF39" s="147"/>
      <c r="EG39" s="366">
        <f>IF(EE39=0,0,(EF39-EE39)/EE39*100)</f>
        <v>0</v>
      </c>
      <c r="EH39" s="147"/>
      <c r="EI39" s="147"/>
      <c r="EJ39" s="366">
        <f>IF(EH39=0,0,(EI39-EH39)/EH39*100)</f>
        <v>0</v>
      </c>
      <c r="EK39" s="147"/>
      <c r="EL39" s="147"/>
      <c r="EM39" s="366">
        <f>IF(EK39=0,0,(EL39-EK39)/EK39*100)</f>
        <v>0</v>
      </c>
      <c r="EN39" s="147"/>
      <c r="EO39" s="147"/>
      <c r="EP39" s="366">
        <f>IF(EN39=0,0,(EO39-EN39)/EN39*100)</f>
        <v>0</v>
      </c>
      <c r="EQ39" s="147"/>
      <c r="ER39" s="147"/>
      <c r="ES39" s="366">
        <f>IF(EQ39=0,0,(ER39-EQ39)/EQ39*100)</f>
        <v>0</v>
      </c>
      <c r="ET39" s="147"/>
      <c r="EU39" s="147"/>
      <c r="EV39" s="366">
        <f>IF(ET39=0,0,(EU39-ET39)/ET39*100)</f>
        <v>0</v>
      </c>
      <c r="EW39" s="147"/>
      <c r="EX39" s="147"/>
      <c r="EY39" s="366">
        <f>IF(EW39=0,0,(EX39-EW39)/EW39*100)</f>
        <v>0</v>
      </c>
      <c r="EZ39" s="147"/>
      <c r="FA39" s="147"/>
      <c r="FB39" s="366">
        <f>IF(EZ39=0,0,(FA39-EZ39)/EZ39*100)</f>
        <v>0</v>
      </c>
      <c r="FC39" s="147"/>
      <c r="FD39" s="147"/>
      <c r="FE39" s="366">
        <f>IF(FC39=0,0,(FD39-FC39)/FC39*100)</f>
        <v>0</v>
      </c>
      <c r="FF39" s="147"/>
      <c r="FG39" s="147"/>
      <c r="FH39" s="366">
        <f>IF(FF39=0,0,(FG39-FF39)/FF39*100)</f>
        <v>0</v>
      </c>
      <c r="FI39" s="147"/>
      <c r="FJ39" s="147"/>
      <c r="FK39" s="366">
        <f>IF(FI39=0,0,(FJ39-FI39)/FI39*100)</f>
        <v>0</v>
      </c>
      <c r="FL39" s="147"/>
      <c r="FM39" s="147"/>
      <c r="FN39" s="366">
        <f>IF(FL39=0,0,(FM39-FL39)/FL39*100)</f>
        <v>0</v>
      </c>
      <c r="FO39" s="147"/>
      <c r="FP39" s="147"/>
      <c r="FQ39" s="366">
        <f>IF(FO39=0,0,(FP39-FO39)/FO39*100)</f>
        <v>0</v>
      </c>
      <c r="FR39" s="147"/>
      <c r="FS39" s="147"/>
      <c r="FT39" s="366">
        <f>IF(FR39=0,0,(FS39-FR39)/FR39*100)</f>
        <v>0</v>
      </c>
      <c r="FU39" s="147"/>
      <c r="FV39" s="147"/>
      <c r="FW39" s="366">
        <f>IF(FU39=0,0,(FV39-FU39)/FU39*100)</f>
        <v>0</v>
      </c>
      <c r="FZ39" s="1184" t="s">
        <v>2116</v>
      </c>
      <c r="GA39" s="1184"/>
      <c r="GB39" s="1184"/>
      <c r="GC39" s="1184"/>
      <c r="GD39" s="1184"/>
    </row>
    <row s="363" customFormat="1" customHeight="1" ht="16.672500000000003" hidden="1">
      <c r="B40" s="964" cm="1" t="str">
        <f t="array" ref="B40:B40">B39</f>
        <v>false</v>
      </c>
      <c r="C40" s="1325" t="s">
        <v>2110</v>
      </c>
      <c r="D40" s="1294" t="s">
        <v>2111</v>
      </c>
      <c r="E40" s="797">
        <v>17.1</v>
      </c>
      <c r="F40" s="922" cm="1" t="str">
        <f t="array" ref="F40:F40">OFFSET(G40,-1,-1)</f>
        <v>0</v>
      </c>
      <c r="H40" s="213" t="s">
        <v>501</v>
      </c>
      <c r="I40" s="213" t="s">
        <v>2117</v>
      </c>
      <c r="J40" s="1315" t="s">
        <v>2091</v>
      </c>
      <c r="K40" s="1315" cm="1" t="str">
        <f t="array" ref="K40:K40">OFFSET(J40,-1,1)</f>
        <v>0</v>
      </c>
      <c r="L40" s="1315"/>
      <c r="M40" s="1315" t="s">
        <v>1735</v>
      </c>
      <c r="N40" s="1315" t="s">
        <v>2113</v>
      </c>
      <c r="O40" s="1316" t="s">
        <v>2114</v>
      </c>
      <c r="P40" s="1315"/>
      <c r="Q40" s="1315"/>
      <c r="T40" s="808" cm="1" t="str">
        <f t="array" ref="T40:T40">T39</f>
        <v>false</v>
      </c>
      <c r="AB40" s="1354" t="s">
        <v>2118</v>
      </c>
      <c r="AC40" s="364" t="s">
        <v>900</v>
      </c>
      <c r="AD40" s="147" cm="1" t="str">
        <f t="array" ref="AD40:AD40">IF(tax_system="ОСНО",AD34*(1+Сценарии!AE$26%),AD34)</f>
        <v>0</v>
      </c>
      <c r="AE40" s="147" cm="1" t="str">
        <f t="array" ref="AE40:AE40">IF(tax_system="ОСНО",AE34*(1+Сценарии!AO$26%),AE34)</f>
        <v>0</v>
      </c>
      <c r="AF40" s="366">
        <f>IF(AD40=0,0,(AE40-AD40)/AD40*100)</f>
        <v>0</v>
      </c>
      <c r="AG40" s="147" cm="1" t="str">
        <f t="array" ref="AG40:AG40">IF(tax_system="ОСНО",AG34*(1+Сценарии!AF$26%),AG34)</f>
        <v>0</v>
      </c>
      <c r="AH40" s="147" cm="1" t="str">
        <f t="array" ref="AH40:AH40">IF(tax_system="ОСНО",AH34*(1+Сценарии!AP$26%),AH34)</f>
        <v>0</v>
      </c>
      <c r="AI40" s="366">
        <f>IF(AG40=0,0,(AH40-AG40)/AG40*100)</f>
        <v>0</v>
      </c>
      <c r="AJ40" s="147" cm="1" t="str">
        <f t="array" ref="AJ40:AJ40">IF(tax_system="ОСНО",AJ34*(1+Сценарии!AG$26%),AJ34)</f>
        <v>0</v>
      </c>
      <c r="AK40" s="147" cm="1" t="str">
        <f t="array" ref="AK40:AK40">IF(tax_system="ОСНО",AK34*(1+Сценарии!AQ$26%),AK34)</f>
        <v>0</v>
      </c>
      <c r="AL40" s="366">
        <f>IF(AJ40=0,0,(AK40-AJ40)/AJ40*100)</f>
        <v>0</v>
      </c>
      <c r="AM40" s="147" cm="1" t="str">
        <f t="array" ref="AM40:AM40">IF(tax_system="ОСНО",AM34*(1+Сценарии!AH$26%),AM34)</f>
        <v>0</v>
      </c>
      <c r="AN40" s="147" cm="1" t="str">
        <f t="array" ref="AN40:AN40">IF(tax_system="ОСНО",AN34*(1+Сценарии!AR$26%),AN34)</f>
        <v>0</v>
      </c>
      <c r="AO40" s="366">
        <f>IF(AM40=0,0,(AN40-AM40)/AM40*100)</f>
        <v>0</v>
      </c>
      <c r="AP40" s="147" cm="1" t="str">
        <f t="array" ref="AP40:AP40">IF(tax_system="ОСНО",AP34*(1+Сценарии!AI$26%),AP34)</f>
        <v>0</v>
      </c>
      <c r="AQ40" s="147" cm="1" t="str">
        <f t="array" ref="AQ40:AQ40">IF(tax_system="ОСНО",AQ34*(1+Сценарии!AS$26%),AQ34)</f>
        <v>0</v>
      </c>
      <c r="AR40" s="366">
        <f>IF(AP40=0,0,(AQ40-AP40)/AP40*100)</f>
        <v>0</v>
      </c>
      <c r="AS40" s="147" cm="1" t="str">
        <f t="array" ref="AS40:AS40">IF(tax_system="ОСНО",AS34*(1+Сценарии!AJ$26%),AS34)</f>
        <v>0</v>
      </c>
      <c r="AT40" s="147" cm="1" t="str">
        <f t="array" ref="AT40:AT40">IF(tax_system="ОСНО",AT34*(1+Сценарии!AT$26%),AT34)</f>
        <v>0</v>
      </c>
      <c r="AU40" s="366">
        <f>IF(AS40=0,0,(AT40-AS40)/AS40*100)</f>
        <v>0</v>
      </c>
      <c r="AV40" s="147" cm="1" t="str">
        <f t="array" ref="AV40:AV40">IF(tax_system="ОСНО",AV34*(1+Сценарии!AK$26%),AV34)</f>
        <v>0</v>
      </c>
      <c r="AW40" s="147" cm="1" t="str">
        <f t="array" ref="AW40:AW40">IF(tax_system="ОСНО",AW34*(1+Сценарии!AU$26%),AW34)</f>
        <v>0</v>
      </c>
      <c r="AX40" s="366">
        <f>IF(AV40=0,0,(AW40-AV40)/AV40*100)</f>
        <v>0</v>
      </c>
      <c r="AY40" s="147" cm="1" t="str">
        <f t="array" ref="AY40:AY40">IF(tax_system="ОСНО",AY34*(1+Сценарии!AL$26%),AY34)</f>
        <v>0</v>
      </c>
      <c r="AZ40" s="147" cm="1" t="str">
        <f t="array" ref="AZ40:AZ40">IF(tax_system="ОСНО",AZ34*(1+Сценарии!AV$26%),AZ34)</f>
        <v>0</v>
      </c>
      <c r="BA40" s="366">
        <f>IF(AY40=0,0,(AZ40-AY40)/AY40*100)</f>
        <v>0</v>
      </c>
      <c r="BB40" s="147" cm="1" t="str">
        <f t="array" ref="BB40:BB40">IF(tax_system="ОСНО",BB34*(1+Сценарии!AM$26%),BB34)</f>
        <v>0</v>
      </c>
      <c r="BC40" s="147" cm="1" t="str">
        <f t="array" ref="BC40:BC40">IF(tax_system="ОСНО",BC34*(1+Сценарии!AW$26%),BC34)</f>
        <v>0</v>
      </c>
      <c r="BD40" s="366">
        <f>IF(BB40=0,0,(BC40-BB40)/BB40*100)</f>
        <v>0</v>
      </c>
      <c r="BE40" s="147" cm="1" t="str">
        <f t="array" ref="BE40:BE40">IF(tax_system="ОСНО",BE34*(1+Сценарии!AN$26%),BE34)</f>
        <v>0</v>
      </c>
      <c r="BF40" s="147" cm="1" t="str">
        <f t="array" ref="BF40:BF40">IF(tax_system="ОСНО",BF34*(1+Сценарии!AX$26%),BF34)</f>
        <v>0</v>
      </c>
      <c r="BG40" s="366">
        <f>IF(BE40=0,0,(BF40-BE40)/BE40*100)</f>
        <v>0</v>
      </c>
      <c r="BH40" s="147"/>
      <c r="BI40" s="147"/>
      <c r="BJ40" s="366">
        <f>IF(BH40=0,0,(BI40-BH40)/BH40*100)</f>
        <v>0</v>
      </c>
      <c r="BK40" s="147"/>
      <c r="BL40" s="147"/>
      <c r="BM40" s="366">
        <f>IF(BK40=0,0,(BL40-BK40)/BK40*100)</f>
        <v>0</v>
      </c>
      <c r="BN40" s="147"/>
      <c r="BO40" s="147"/>
      <c r="BP40" s="366">
        <f>IF(BN40=0,0,(BO40-BN40)/BN40*100)</f>
        <v>0</v>
      </c>
      <c r="BQ40" s="147"/>
      <c r="BR40" s="147"/>
      <c r="BS40" s="366">
        <f>IF(BQ40=0,0,(BR40-BQ40)/BQ40*100)</f>
        <v>0</v>
      </c>
      <c r="BT40" s="147"/>
      <c r="BU40" s="147"/>
      <c r="BV40" s="366">
        <f>IF(BT40=0,0,(BU40-BT40)/BT40*100)</f>
        <v>0</v>
      </c>
      <c r="BW40" s="147"/>
      <c r="BX40" s="147"/>
      <c r="BY40" s="366">
        <f>IF(BW40=0,0,(BX40-BW40)/BW40*100)</f>
        <v>0</v>
      </c>
      <c r="BZ40" s="147"/>
      <c r="CA40" s="147"/>
      <c r="CB40" s="366">
        <f>IF(BZ40=0,0,(CA40-BZ40)/BZ40*100)</f>
        <v>0</v>
      </c>
      <c r="CC40" s="147"/>
      <c r="CD40" s="147"/>
      <c r="CE40" s="366">
        <f>IF(CC40=0,0,(CD40-CC40)/CC40*100)</f>
        <v>0</v>
      </c>
      <c r="CF40" s="147"/>
      <c r="CG40" s="147"/>
      <c r="CH40" s="366">
        <f>IF(CF40=0,0,(CG40-CF40)/CF40*100)</f>
        <v>0</v>
      </c>
      <c r="CI40" s="147"/>
      <c r="CJ40" s="147"/>
      <c r="CK40" s="366">
        <f>IF(CI40=0,0,(CJ40-CI40)/CI40*100)</f>
        <v>0</v>
      </c>
      <c r="CL40" s="147"/>
      <c r="CM40" s="147"/>
      <c r="CN40" s="366">
        <f>IF(CL40=0,0,(CM40-CL40)/CL40*100)</f>
        <v>0</v>
      </c>
      <c r="CO40" s="147"/>
      <c r="CP40" s="147"/>
      <c r="CQ40" s="366">
        <f>IF(CO40=0,0,(CP40-CO40)/CO40*100)</f>
        <v>0</v>
      </c>
      <c r="CR40" s="147"/>
      <c r="CS40" s="147"/>
      <c r="CT40" s="366">
        <f>IF(CR40=0,0,(CS40-CR40)/CR40*100)</f>
        <v>0</v>
      </c>
      <c r="CU40" s="147"/>
      <c r="CV40" s="147"/>
      <c r="CW40" s="366">
        <f>IF(CU40=0,0,(CV40-CU40)/CU40*100)</f>
        <v>0</v>
      </c>
      <c r="CX40" s="147"/>
      <c r="CY40" s="147"/>
      <c r="CZ40" s="366">
        <f>IF(CX40=0,0,(CY40-CX40)/CX40*100)</f>
        <v>0</v>
      </c>
      <c r="DA40" s="147"/>
      <c r="DB40" s="147"/>
      <c r="DC40" s="366">
        <f>IF(DA40=0,0,(DB40-DA40)/DA40*100)</f>
        <v>0</v>
      </c>
      <c r="DD40" s="147"/>
      <c r="DE40" s="147"/>
      <c r="DF40" s="366">
        <f>IF(DD40=0,0,(DE40-DD40)/DD40*100)</f>
        <v>0</v>
      </c>
      <c r="DG40" s="147"/>
      <c r="DH40" s="147"/>
      <c r="DI40" s="366">
        <f>IF(DG40=0,0,(DH40-DG40)/DG40*100)</f>
        <v>0</v>
      </c>
      <c r="DJ40" s="147"/>
      <c r="DK40" s="147"/>
      <c r="DL40" s="366">
        <f>IF(DJ40=0,0,(DK40-DJ40)/DJ40*100)</f>
        <v>0</v>
      </c>
      <c r="DM40" s="147"/>
      <c r="DN40" s="147"/>
      <c r="DO40" s="366">
        <f>IF(DM40=0,0,(DN40-DM40)/DM40*100)</f>
        <v>0</v>
      </c>
      <c r="DP40" s="147"/>
      <c r="DQ40" s="147"/>
      <c r="DR40" s="366">
        <f>IF(DP40=0,0,(DQ40-DP40)/DP40*100)</f>
        <v>0</v>
      </c>
      <c r="DS40" s="147"/>
      <c r="DT40" s="147"/>
      <c r="DU40" s="366">
        <f>IF(DS40=0,0,(DT40-DS40)/DS40*100)</f>
        <v>0</v>
      </c>
      <c r="DV40" s="147"/>
      <c r="DW40" s="147"/>
      <c r="DX40" s="366">
        <f>IF(DV40=0,0,(DW40-DV40)/DV40*100)</f>
        <v>0</v>
      </c>
      <c r="DY40" s="147"/>
      <c r="DZ40" s="147"/>
      <c r="EA40" s="366">
        <f>IF(DY40=0,0,(DZ40-DY40)/DY40*100)</f>
        <v>0</v>
      </c>
      <c r="EB40" s="147"/>
      <c r="EC40" s="147"/>
      <c r="ED40" s="366">
        <f>IF(EB40=0,0,(EC40-EB40)/EB40*100)</f>
        <v>0</v>
      </c>
      <c r="EE40" s="147"/>
      <c r="EF40" s="147"/>
      <c r="EG40" s="366">
        <f>IF(EE40=0,0,(EF40-EE40)/EE40*100)</f>
        <v>0</v>
      </c>
      <c r="EH40" s="147"/>
      <c r="EI40" s="147"/>
      <c r="EJ40" s="366">
        <f>IF(EH40=0,0,(EI40-EH40)/EH40*100)</f>
        <v>0</v>
      </c>
      <c r="EK40" s="147"/>
      <c r="EL40" s="147"/>
      <c r="EM40" s="366">
        <f>IF(EK40=0,0,(EL40-EK40)/EK40*100)</f>
        <v>0</v>
      </c>
      <c r="EN40" s="147"/>
      <c r="EO40" s="147"/>
      <c r="EP40" s="366">
        <f>IF(EN40=0,0,(EO40-EN40)/EN40*100)</f>
        <v>0</v>
      </c>
      <c r="EQ40" s="147"/>
      <c r="ER40" s="147"/>
      <c r="ES40" s="366">
        <f>IF(EQ40=0,0,(ER40-EQ40)/EQ40*100)</f>
        <v>0</v>
      </c>
      <c r="ET40" s="147"/>
      <c r="EU40" s="147"/>
      <c r="EV40" s="366">
        <f>IF(ET40=0,0,(EU40-ET40)/ET40*100)</f>
        <v>0</v>
      </c>
      <c r="EW40" s="147"/>
      <c r="EX40" s="147"/>
      <c r="EY40" s="366">
        <f>IF(EW40=0,0,(EX40-EW40)/EW40*100)</f>
        <v>0</v>
      </c>
      <c r="EZ40" s="147"/>
      <c r="FA40" s="147"/>
      <c r="FB40" s="366">
        <f>IF(EZ40=0,0,(FA40-EZ40)/EZ40*100)</f>
        <v>0</v>
      </c>
      <c r="FC40" s="147"/>
      <c r="FD40" s="147"/>
      <c r="FE40" s="366">
        <f>IF(FC40=0,0,(FD40-FC40)/FC40*100)</f>
        <v>0</v>
      </c>
      <c r="FF40" s="147"/>
      <c r="FG40" s="147"/>
      <c r="FH40" s="366">
        <f>IF(FF40=0,0,(FG40-FF40)/FF40*100)</f>
        <v>0</v>
      </c>
      <c r="FI40" s="147"/>
      <c r="FJ40" s="147"/>
      <c r="FK40" s="366">
        <f>IF(FI40=0,0,(FJ40-FI40)/FI40*100)</f>
        <v>0</v>
      </c>
      <c r="FL40" s="147"/>
      <c r="FM40" s="147"/>
      <c r="FN40" s="366">
        <f>IF(FL40=0,0,(FM40-FL40)/FL40*100)</f>
        <v>0</v>
      </c>
      <c r="FO40" s="147"/>
      <c r="FP40" s="147"/>
      <c r="FQ40" s="366">
        <f>IF(FO40=0,0,(FP40-FO40)/FO40*100)</f>
        <v>0</v>
      </c>
      <c r="FR40" s="147"/>
      <c r="FS40" s="147"/>
      <c r="FT40" s="366">
        <f>IF(FR40=0,0,(FS40-FR40)/FR40*100)</f>
        <v>0</v>
      </c>
      <c r="FU40" s="147"/>
      <c r="FV40" s="147"/>
      <c r="FW40" s="366">
        <f>IF(FU40=0,0,(FV40-FU40)/FU40*100)</f>
        <v>0</v>
      </c>
      <c r="FZ40" s="1184" t="s">
        <v>2119</v>
      </c>
      <c r="GA40" s="1184"/>
      <c r="GB40" s="1184"/>
      <c r="GC40" s="1184"/>
      <c r="GD40" s="1184"/>
    </row>
    <row customHeight="1" ht="16.672500000000003" hidden="1">
      <c r="B41" s="964" cm="1" t="str">
        <f t="array" ref="B41:B41">B40</f>
        <v>false</v>
      </c>
      <c r="C41" s="1325" t="s">
        <v>1741</v>
      </c>
      <c r="D41" s="1294" t="s">
        <v>1742</v>
      </c>
      <c r="E41" s="797">
        <v>17.1</v>
      </c>
      <c r="F41" s="922" cm="1" t="str">
        <f t="array" ref="F41:F41">OFFSET(G41,-1,-1)</f>
        <v>0</v>
      </c>
      <c r="H41" s="213" t="s">
        <v>504</v>
      </c>
      <c r="I41" s="213" t="s">
        <v>2120</v>
      </c>
      <c r="J41" s="1315" t="s">
        <v>2091</v>
      </c>
      <c r="K41" s="1315" cm="1" t="str">
        <f t="array" ref="K41:K41">OFFSET(J41,-1,1)</f>
        <v>0</v>
      </c>
      <c r="L41" s="1315" t="s">
        <v>2101</v>
      </c>
      <c r="M41" s="1315"/>
      <c r="N41" s="1315" t="s">
        <v>2113</v>
      </c>
      <c r="O41" s="1316" t="s">
        <v>2114</v>
      </c>
      <c r="P41" s="1315"/>
      <c r="Q41" s="1315"/>
      <c r="T41" s="808" cm="1" t="str">
        <f t="array" ref="T41:T41">T40</f>
        <v>false</v>
      </c>
      <c r="AB41" s="1060" t="s">
        <v>2102</v>
      </c>
      <c r="AC41" s="172" t="s">
        <v>498</v>
      </c>
      <c r="AD41" s="1044">
        <f>IF(AD39=0,0,AD40/AD39)</f>
        <v>0</v>
      </c>
      <c r="AE41" s="1044">
        <f>IF(AE39=0,0,AE40/AE39)</f>
        <v>0</v>
      </c>
      <c r="AF41" s="400"/>
      <c r="AG41" s="1044">
        <f>IF(AG39=0,0,AG40/AG39)</f>
        <v>0</v>
      </c>
      <c r="AH41" s="1044">
        <f>IF(AH39=0,0,AH40/AH39)</f>
        <v>0</v>
      </c>
      <c r="AI41" s="400"/>
      <c r="AJ41" s="1044">
        <f>IF(AJ39=0,0,AJ40/AJ39)</f>
        <v>0</v>
      </c>
      <c r="AK41" s="1044">
        <f>IF(AK39=0,0,AK40/AK39)</f>
        <v>0</v>
      </c>
      <c r="AL41" s="400"/>
      <c r="AM41" s="1044">
        <f>IF(AM39=0,0,AM40/AM39)</f>
        <v>0</v>
      </c>
      <c r="AN41" s="1044">
        <f>IF(AN39=0,0,AN40/AN39)</f>
        <v>0</v>
      </c>
      <c r="AO41" s="400"/>
      <c r="AP41" s="1044">
        <f>IF(AP39=0,0,AP40/AP39)</f>
        <v>0</v>
      </c>
      <c r="AQ41" s="1044">
        <f>IF(AQ39=0,0,AQ40/AQ39)</f>
        <v>0</v>
      </c>
      <c r="AR41" s="400"/>
      <c r="AS41" s="1044">
        <f>IF(AS39=0,0,AS40/AS39)</f>
        <v>0</v>
      </c>
      <c r="AT41" s="1044">
        <f>IF(AT39=0,0,AT40/AT39)</f>
        <v>0</v>
      </c>
      <c r="AU41" s="400"/>
      <c r="AV41" s="1044">
        <f>IF(AV39=0,0,AV40/AV39)</f>
        <v>0</v>
      </c>
      <c r="AW41" s="1044">
        <f>IF(AW39=0,0,AW40/AW39)</f>
        <v>0</v>
      </c>
      <c r="AX41" s="400"/>
      <c r="AY41" s="1044">
        <f>IF(AY39=0,0,AY40/AY39)</f>
        <v>0</v>
      </c>
      <c r="AZ41" s="1044">
        <f>IF(AZ39=0,0,AZ40/AZ39)</f>
        <v>0</v>
      </c>
      <c r="BA41" s="400"/>
      <c r="BB41" s="1044">
        <f>IF(BB39=0,0,BB40/BB39)</f>
        <v>0</v>
      </c>
      <c r="BC41" s="1044">
        <f>IF(BC39=0,0,BC40/BC39)</f>
        <v>0</v>
      </c>
      <c r="BD41" s="400"/>
      <c r="BE41" s="1044">
        <f>IF(BE39=0,0,BE40/BE39)</f>
        <v>0</v>
      </c>
      <c r="BF41" s="1044">
        <f>IF(BF39=0,0,BF40/BF39)</f>
        <v>0</v>
      </c>
      <c r="BG41" s="400"/>
      <c r="BH41" s="1044">
        <f>IF(BH39=0,0,BH40/BH39)</f>
        <v>0</v>
      </c>
      <c r="BI41" s="1044">
        <f>IF(BI39=0,0,BI40/BI39)</f>
        <v>0</v>
      </c>
      <c r="BJ41" s="368"/>
      <c r="BK41" s="1044">
        <f>IF(BK39=0,0,BK40/BK39)</f>
        <v>0</v>
      </c>
      <c r="BL41" s="1044">
        <f>IF(BL39=0,0,BL40/BL39)</f>
        <v>0</v>
      </c>
      <c r="BM41" s="368"/>
      <c r="BN41" s="1044">
        <f>IF(BN39=0,0,BN40/BN39)</f>
        <v>0</v>
      </c>
      <c r="BO41" s="1044">
        <f>IF(BO39=0,0,BO40/BO39)</f>
        <v>0</v>
      </c>
      <c r="BP41" s="368"/>
      <c r="BQ41" s="1044">
        <f>IF(BQ39=0,0,BQ40/BQ39)</f>
        <v>0</v>
      </c>
      <c r="BR41" s="1044">
        <f>IF(BR39=0,0,BR40/BR39)</f>
        <v>0</v>
      </c>
      <c r="BS41" s="368"/>
      <c r="BT41" s="1044">
        <f>IF(BT39=0,0,BT40/BT39)</f>
        <v>0</v>
      </c>
      <c r="BU41" s="1044">
        <f>IF(BU39=0,0,BU40/BU39)</f>
        <v>0</v>
      </c>
      <c r="BV41" s="368"/>
      <c r="BW41" s="1044">
        <f>IF(BW39=0,0,BW40/BW39)</f>
        <v>0</v>
      </c>
      <c r="BX41" s="1044">
        <f>IF(BX39=0,0,BX40/BX39)</f>
        <v>0</v>
      </c>
      <c r="BY41" s="368"/>
      <c r="BZ41" s="1044">
        <f>IF(BZ39=0,0,BZ40/BZ39)</f>
        <v>0</v>
      </c>
      <c r="CA41" s="1044">
        <f>IF(CA39=0,0,CA40/CA39)</f>
        <v>0</v>
      </c>
      <c r="CB41" s="368"/>
      <c r="CC41" s="1044">
        <f>IF(CC39=0,0,CC40/CC39)</f>
        <v>0</v>
      </c>
      <c r="CD41" s="1044">
        <f>IF(CD39=0,0,CD40/CD39)</f>
        <v>0</v>
      </c>
      <c r="CE41" s="368"/>
      <c r="CF41" s="1044">
        <f>IF(CF39=0,0,CF40/CF39)</f>
        <v>0</v>
      </c>
      <c r="CG41" s="1044">
        <f>IF(CG39=0,0,CG40/CG39)</f>
        <v>0</v>
      </c>
      <c r="CH41" s="368"/>
      <c r="CI41" s="1044">
        <f>IF(CI39=0,0,CI40/CI39)</f>
        <v>0</v>
      </c>
      <c r="CJ41" s="1044">
        <f>IF(CJ39=0,0,CJ40/CJ39)</f>
        <v>0</v>
      </c>
      <c r="CK41" s="368"/>
      <c r="CL41" s="1044">
        <f>IF(CL39=0,0,CL40/CL39)</f>
        <v>0</v>
      </c>
      <c r="CM41" s="1044">
        <f>IF(CM39=0,0,CM40/CM39)</f>
        <v>0</v>
      </c>
      <c r="CN41" s="368"/>
      <c r="CO41" s="1044">
        <f>IF(CO39=0,0,CO40/CO39)</f>
        <v>0</v>
      </c>
      <c r="CP41" s="1044">
        <f>IF(CP39=0,0,CP40/CP39)</f>
        <v>0</v>
      </c>
      <c r="CQ41" s="368"/>
      <c r="CR41" s="1044">
        <f>IF(CR39=0,0,CR40/CR39)</f>
        <v>0</v>
      </c>
      <c r="CS41" s="1044">
        <f>IF(CS39=0,0,CS40/CS39)</f>
        <v>0</v>
      </c>
      <c r="CT41" s="368"/>
      <c r="CU41" s="1044">
        <f>IF(CU39=0,0,CU40/CU39)</f>
        <v>0</v>
      </c>
      <c r="CV41" s="1044">
        <f>IF(CV39=0,0,CV40/CV39)</f>
        <v>0</v>
      </c>
      <c r="CW41" s="368"/>
      <c r="CX41" s="1044">
        <f>IF(CX39=0,0,CX40/CX39)</f>
        <v>0</v>
      </c>
      <c r="CY41" s="1044">
        <f>IF(CY39=0,0,CY40/CY39)</f>
        <v>0</v>
      </c>
      <c r="CZ41" s="368"/>
      <c r="DA41" s="1044">
        <f>IF(DA39=0,0,DA40/DA39)</f>
        <v>0</v>
      </c>
      <c r="DB41" s="1044">
        <f>IF(DB39=0,0,DB40/DB39)</f>
        <v>0</v>
      </c>
      <c r="DC41" s="368"/>
      <c r="DD41" s="1044">
        <f>IF(DD39=0,0,DD40/DD39)</f>
        <v>0</v>
      </c>
      <c r="DE41" s="1044">
        <f>IF(DE39=0,0,DE40/DE39)</f>
        <v>0</v>
      </c>
      <c r="DF41" s="368"/>
      <c r="DG41" s="1044">
        <f>IF(DG39=0,0,DG40/DG39)</f>
        <v>0</v>
      </c>
      <c r="DH41" s="1044">
        <f>IF(DH39=0,0,DH40/DH39)</f>
        <v>0</v>
      </c>
      <c r="DI41" s="368"/>
      <c r="DJ41" s="1044">
        <f>IF(DJ39=0,0,DJ40/DJ39)</f>
        <v>0</v>
      </c>
      <c r="DK41" s="1044">
        <f>IF(DK39=0,0,DK40/DK39)</f>
        <v>0</v>
      </c>
      <c r="DL41" s="368"/>
      <c r="DM41" s="1044">
        <f>IF(DM39=0,0,DM40/DM39)</f>
        <v>0</v>
      </c>
      <c r="DN41" s="1044">
        <f>IF(DN39=0,0,DN40/DN39)</f>
        <v>0</v>
      </c>
      <c r="DO41" s="368"/>
      <c r="DP41" s="1044">
        <f>IF(DP39=0,0,DP40/DP39)</f>
        <v>0</v>
      </c>
      <c r="DQ41" s="1044">
        <f>IF(DQ39=0,0,DQ40/DQ39)</f>
        <v>0</v>
      </c>
      <c r="DR41" s="368"/>
      <c r="DS41" s="1044">
        <f>IF(DS39=0,0,DS40/DS39)</f>
        <v>0</v>
      </c>
      <c r="DT41" s="1044">
        <f>IF(DT39=0,0,DT40/DT39)</f>
        <v>0</v>
      </c>
      <c r="DU41" s="368"/>
      <c r="DV41" s="1044">
        <f>IF(DV39=0,0,DV40/DV39)</f>
        <v>0</v>
      </c>
      <c r="DW41" s="1044">
        <f>IF(DW39=0,0,DW40/DW39)</f>
        <v>0</v>
      </c>
      <c r="DX41" s="368"/>
      <c r="DY41" s="1044">
        <f>IF(DY39=0,0,DY40/DY39)</f>
        <v>0</v>
      </c>
      <c r="DZ41" s="1044">
        <f>IF(DZ39=0,0,DZ40/DZ39)</f>
        <v>0</v>
      </c>
      <c r="EA41" s="368"/>
      <c r="EB41" s="1044">
        <f>IF(EB39=0,0,EB40/EB39)</f>
        <v>0</v>
      </c>
      <c r="EC41" s="1044">
        <f>IF(EC39=0,0,EC40/EC39)</f>
        <v>0</v>
      </c>
      <c r="ED41" s="368"/>
      <c r="EE41" s="1044">
        <f>IF(EE39=0,0,EE40/EE39)</f>
        <v>0</v>
      </c>
      <c r="EF41" s="1044">
        <f>IF(EF39=0,0,EF40/EF39)</f>
        <v>0</v>
      </c>
      <c r="EG41" s="368"/>
      <c r="EH41" s="1044">
        <f>IF(EH39=0,0,EH40/EH39)</f>
        <v>0</v>
      </c>
      <c r="EI41" s="1044">
        <f>IF(EI39=0,0,EI40/EI39)</f>
        <v>0</v>
      </c>
      <c r="EJ41" s="368"/>
      <c r="EK41" s="1044">
        <f>IF(EK39=0,0,EK40/EK39)</f>
        <v>0</v>
      </c>
      <c r="EL41" s="1044">
        <f>IF(EL39=0,0,EL40/EL39)</f>
        <v>0</v>
      </c>
      <c r="EM41" s="368"/>
      <c r="EN41" s="1044">
        <f>IF(EN39=0,0,EN40/EN39)</f>
        <v>0</v>
      </c>
      <c r="EO41" s="1044">
        <f>IF(EO39=0,0,EO40/EO39)</f>
        <v>0</v>
      </c>
      <c r="EP41" s="368"/>
      <c r="EQ41" s="1044">
        <f>IF(EQ39=0,0,EQ40/EQ39)</f>
        <v>0</v>
      </c>
      <c r="ER41" s="1044">
        <f>IF(ER39=0,0,ER40/ER39)</f>
        <v>0</v>
      </c>
      <c r="ES41" s="368"/>
      <c r="ET41" s="1044">
        <f>IF(ET39=0,0,ET40/ET39)</f>
        <v>0</v>
      </c>
      <c r="EU41" s="1044">
        <f>IF(EU39=0,0,EU40/EU39)</f>
        <v>0</v>
      </c>
      <c r="EV41" s="368"/>
      <c r="EW41" s="1044">
        <f>IF(EW39=0,0,EW40/EW39)</f>
        <v>0</v>
      </c>
      <c r="EX41" s="1044">
        <f>IF(EX39=0,0,EX40/EX39)</f>
        <v>0</v>
      </c>
      <c r="EY41" s="368"/>
      <c r="EZ41" s="1044">
        <f>IF(EZ39=0,0,EZ40/EZ39)</f>
        <v>0</v>
      </c>
      <c r="FA41" s="1044">
        <f>IF(FA39=0,0,FA40/FA39)</f>
        <v>0</v>
      </c>
      <c r="FB41" s="368"/>
      <c r="FC41" s="1044">
        <f>IF(FC39=0,0,FC40/FC39)</f>
        <v>0</v>
      </c>
      <c r="FD41" s="1044">
        <f>IF(FD39=0,0,FD40/FD39)</f>
        <v>0</v>
      </c>
      <c r="FE41" s="368"/>
      <c r="FF41" s="1044">
        <f>IF(FF39=0,0,FF40/FF39)</f>
        <v>0</v>
      </c>
      <c r="FG41" s="1044">
        <f>IF(FG39=0,0,FG40/FG39)</f>
        <v>0</v>
      </c>
      <c r="FH41" s="368"/>
      <c r="FI41" s="1044">
        <f>IF(FI39=0,0,FI40/FI39)</f>
        <v>0</v>
      </c>
      <c r="FJ41" s="1044">
        <f>IF(FJ39=0,0,FJ40/FJ39)</f>
        <v>0</v>
      </c>
      <c r="FK41" s="368"/>
      <c r="FL41" s="1044">
        <f>IF(FL39=0,0,FL40/FL39)</f>
        <v>0</v>
      </c>
      <c r="FM41" s="1044">
        <f>IF(FM39=0,0,FM40/FM39)</f>
        <v>0</v>
      </c>
      <c r="FN41" s="368"/>
      <c r="FO41" s="1044">
        <f>IF(FO39=0,0,FO40/FO39)</f>
        <v>0</v>
      </c>
      <c r="FP41" s="1044">
        <f>IF(FP39=0,0,FP40/FP39)</f>
        <v>0</v>
      </c>
      <c r="FQ41" s="368"/>
      <c r="FR41" s="1044">
        <f>IF(FR39=0,0,FR40/FR39)</f>
        <v>0</v>
      </c>
      <c r="FS41" s="1044">
        <f>IF(FS39=0,0,FS40/FS39)</f>
        <v>0</v>
      </c>
      <c r="FT41" s="368"/>
      <c r="FU41" s="1044">
        <f>IF(FU39=0,0,FU40/FU39)</f>
        <v>0</v>
      </c>
      <c r="FV41" s="1044">
        <f>IF(FV39=0,0,FV40/FV39)</f>
        <v>0</v>
      </c>
      <c r="FW41" s="368"/>
      <c r="FZ41" s="1184" t="s">
        <v>2121</v>
      </c>
      <c r="GA41" s="1184"/>
      <c r="GB41" s="1184"/>
      <c r="GC41" s="1184"/>
      <c r="GD41" s="1184"/>
    </row>
    <row customHeight="1" ht="16.672500000000003" hidden="1">
      <c r="B42" s="964" cm="1" t="str">
        <f t="array" ref="B42:B42">B41</f>
        <v>false</v>
      </c>
      <c r="C42" s="1325" t="s">
        <v>1723</v>
      </c>
      <c r="D42" s="1294" t="s">
        <v>1724</v>
      </c>
      <c r="E42" s="797">
        <v>17.1</v>
      </c>
      <c r="F42" s="922" cm="1" t="str">
        <f t="array" ref="F42:F42">OFFSET(G42,-1,-1)</f>
        <v>0</v>
      </c>
      <c r="G42" s="193" t="s">
        <v>2122</v>
      </c>
      <c r="H42" s="213" t="s">
        <v>511</v>
      </c>
      <c r="I42" s="213" t="s">
        <v>2120</v>
      </c>
      <c r="J42" s="1315" t="s">
        <v>2091</v>
      </c>
      <c r="K42" s="1315" cm="1" t="str">
        <f t="array" ref="K42:K42">OFFSET(J42,-1,1)</f>
        <v>0</v>
      </c>
      <c r="L42" s="1315" t="s">
        <v>2105</v>
      </c>
      <c r="M42" s="1315"/>
      <c r="N42" s="1315" t="s">
        <v>2113</v>
      </c>
      <c r="O42" s="1316" t="s">
        <v>2114</v>
      </c>
      <c r="P42" s="1315"/>
      <c r="Q42" s="1315"/>
      <c r="T42" s="808" cm="1" t="str">
        <f t="array" ref="T42:T42">T41</f>
        <v>false</v>
      </c>
      <c r="AB42" s="1060" t="s">
        <v>2123</v>
      </c>
      <c r="AC42" s="172" t="s">
        <v>599</v>
      </c>
      <c r="AD42" s="98">
        <f>_xlfn.SUMIFS('Баланс Пр'!AI$27:AI$165,'Баланс Пр'!$F$27:$F$165,$F42,'Баланс Пр'!$AB$27:$AB$165,"9.1.2.3")</f>
        <v>0</v>
      </c>
      <c r="AE42" s="98">
        <f>_xlfn.SUMIFS('Баланс Пр'!AS$27:AS$165,'Баланс Пр'!$F$27:$F$165,$F42,'Баланс Пр'!$AB$27:$AB$165,"9.1.2.3")</f>
        <v>0</v>
      </c>
      <c r="AF42" s="400">
        <f>IF(AD42=0,0,(AE42-AD42)/AD42*100)</f>
        <v>0</v>
      </c>
      <c r="AG42" s="98">
        <f>_xlfn.SUMIFS('Баланс Пр'!AJ$27:AJ$165,'Баланс Пр'!$F$27:$F$165,$F42,'Баланс Пр'!$AB$27:$AB$165,"9.1.2.3")</f>
        <v>0</v>
      </c>
      <c r="AH42" s="98">
        <f>_xlfn.SUMIFS('Баланс Пр'!AT$27:AT$165,'Баланс Пр'!$F$27:$F$165,$F42,'Баланс Пр'!$AB$27:$AB$165,"9.1.2.3")</f>
        <v>0</v>
      </c>
      <c r="AI42" s="400">
        <f>IF(AG42=0,0,(AH42-AG42)/AG42*100)</f>
        <v>0</v>
      </c>
      <c r="AJ42" s="98">
        <f>_xlfn.SUMIFS('Баланс Пр'!AK$27:AK$165,'Баланс Пр'!$F$27:$F$165,$F42,'Баланс Пр'!$AB$27:$AB$165,"9.1.2.3")</f>
        <v>0</v>
      </c>
      <c r="AK42" s="98">
        <f>_xlfn.SUMIFS('Баланс Пр'!AU$27:AU$165,'Баланс Пр'!$F$27:$F$165,$F42,'Баланс Пр'!$AB$27:$AB$165,"9.1.2.3")</f>
        <v>0</v>
      </c>
      <c r="AL42" s="400">
        <f>IF(AJ42=0,0,(AK42-AJ42)/AJ42*100)</f>
        <v>0</v>
      </c>
      <c r="AM42" s="98">
        <f>_xlfn.SUMIFS('Баланс Пр'!AL$27:AL$165,'Баланс Пр'!$F$27:$F$165,$F42,'Баланс Пр'!$AB$27:$AB$165,"9.1.2.3")</f>
        <v>0</v>
      </c>
      <c r="AN42" s="98">
        <f>_xlfn.SUMIFS('Баланс Пр'!AV$27:AV$165,'Баланс Пр'!$F$27:$F$165,$F42,'Баланс Пр'!$AB$27:$AB$165,"9.1.2.3")</f>
        <v>0</v>
      </c>
      <c r="AO42" s="400">
        <f>IF(AM42=0,0,(AN42-AM42)/AM42*100)</f>
        <v>0</v>
      </c>
      <c r="AP42" s="98">
        <f>_xlfn.SUMIFS('Баланс Пр'!AM$27:AM$165,'Баланс Пр'!$F$27:$F$165,$F42,'Баланс Пр'!$AB$27:$AB$165,"9.1.2.3")</f>
        <v>0</v>
      </c>
      <c r="AQ42" s="98">
        <f>_xlfn.SUMIFS('Баланс Пр'!AW$27:AW$165,'Баланс Пр'!$F$27:$F$165,$F42,'Баланс Пр'!$AB$27:$AB$165,"9.1.2.3")</f>
        <v>0</v>
      </c>
      <c r="AR42" s="400">
        <f>IF(AP42=0,0,(AQ42-AP42)/AP42*100)</f>
        <v>0</v>
      </c>
      <c r="AS42" s="98">
        <f>_xlfn.SUMIFS('Баланс Пр'!AN$27:AN$165,'Баланс Пр'!$F$27:$F$165,$F42,'Баланс Пр'!$AB$27:$AB$165,"9.1.2.3")</f>
        <v>0</v>
      </c>
      <c r="AT42" s="98">
        <f>_xlfn.SUMIFS('Баланс Пр'!AX$27:AX$165,'Баланс Пр'!$F$27:$F$165,$F42,'Баланс Пр'!$AB$27:$AB$165,"9.1.2.3")</f>
        <v>0</v>
      </c>
      <c r="AU42" s="400">
        <f>IF(AS42=0,0,(AT42-AS42)/AS42*100)</f>
        <v>0</v>
      </c>
      <c r="AV42" s="98">
        <f>_xlfn.SUMIFS('Баланс Пр'!AO$27:AO$165,'Баланс Пр'!$F$27:$F$165,$F42,'Баланс Пр'!$AB$27:$AB$165,"9.1.2.3")</f>
        <v>0</v>
      </c>
      <c r="AW42" s="98">
        <f>_xlfn.SUMIFS('Баланс Пр'!AY$27:AY$165,'Баланс Пр'!$F$27:$F$165,$F42,'Баланс Пр'!$AB$27:$AB$165,"9.1.2.3")</f>
        <v>0</v>
      </c>
      <c r="AX42" s="400">
        <f>IF(AV42=0,0,(AW42-AV42)/AV42*100)</f>
        <v>0</v>
      </c>
      <c r="AY42" s="98">
        <f>_xlfn.SUMIFS('Баланс Пр'!AP$27:AP$165,'Баланс Пр'!$F$27:$F$165,$F42,'Баланс Пр'!$AB$27:$AB$165,"9.1.2.3")</f>
        <v>0</v>
      </c>
      <c r="AZ42" s="98">
        <f>_xlfn.SUMIFS('Баланс Пр'!AZ$27:AZ$165,'Баланс Пр'!$F$27:$F$165,$F42,'Баланс Пр'!$AB$27:$AB$165,"9.1.2.3")</f>
        <v>0</v>
      </c>
      <c r="BA42" s="400">
        <f>IF(AY42=0,0,(AZ42-AY42)/AY42*100)</f>
        <v>0</v>
      </c>
      <c r="BB42" s="98">
        <f>_xlfn.SUMIFS('Баланс Пр'!AQ$27:AQ$165,'Баланс Пр'!$F$27:$F$165,$F42,'Баланс Пр'!$AB$27:$AB$165,"9.1.2.3")</f>
        <v>0</v>
      </c>
      <c r="BC42" s="98">
        <f>_xlfn.SUMIFS('Баланс Пр'!BA$27:BA$165,'Баланс Пр'!$F$27:$F$165,$F42,'Баланс Пр'!$AB$27:$AB$165,"9.1.2.3")</f>
        <v>0</v>
      </c>
      <c r="BD42" s="400">
        <f>IF(BB42=0,0,(BC42-BB42)/BB42*100)</f>
        <v>0</v>
      </c>
      <c r="BE42" s="98">
        <f>_xlfn.SUMIFS('Баланс Пр'!AR$27:AR$165,'Баланс Пр'!$F$27:$F$165,$F42,'Баланс Пр'!$AB$27:$AB$165,"9.1.2.3")</f>
        <v>0</v>
      </c>
      <c r="BF42" s="98">
        <f>_xlfn.SUMIFS('Баланс Пр'!BB$27:BB$165,'Баланс Пр'!$F$27:$F$165,$F42,'Баланс Пр'!$AB$27:$AB$165,"9.1.2.3")</f>
        <v>0</v>
      </c>
      <c r="BG42" s="400">
        <f>IF(BE42=0,0,(BF42-BE42)/BE42*100)</f>
        <v>0</v>
      </c>
      <c r="BH42" s="148">
        <f>SUM(BH43:BH44)</f>
        <v>0</v>
      </c>
      <c r="BI42" s="148">
        <f>SUM(BI43:BI44)</f>
        <v>0</v>
      </c>
      <c r="BJ42" s="400">
        <f>IF(BH42=0,0,(BI42-BH42)/BH42*100)</f>
        <v>0</v>
      </c>
      <c r="BK42" s="148">
        <f>SUM(BK43:BK44)</f>
        <v>0</v>
      </c>
      <c r="BL42" s="148">
        <f>SUM(BL43:BL44)</f>
        <v>0</v>
      </c>
      <c r="BM42" s="400">
        <f>IF(BK42=0,0,(BL42-BK42)/BK42*100)</f>
        <v>0</v>
      </c>
      <c r="BN42" s="148">
        <f>SUM(BN43:BN44)</f>
        <v>0</v>
      </c>
      <c r="BO42" s="148">
        <f>SUM(BO43:BO44)</f>
        <v>0</v>
      </c>
      <c r="BP42" s="400">
        <f>IF(BN42=0,0,(BO42-BN42)/BN42*100)</f>
        <v>0</v>
      </c>
      <c r="BQ42" s="148">
        <f>SUM(BQ43:BQ44)</f>
        <v>0</v>
      </c>
      <c r="BR42" s="148">
        <f>SUM(BR43:BR44)</f>
        <v>0</v>
      </c>
      <c r="BS42" s="400">
        <f>IF(BQ42=0,0,(BR42-BQ42)/BQ42*100)</f>
        <v>0</v>
      </c>
      <c r="BT42" s="148">
        <f>SUM(BT43:BT44)</f>
        <v>0</v>
      </c>
      <c r="BU42" s="148">
        <f>SUM(BU43:BU44)</f>
        <v>0</v>
      </c>
      <c r="BV42" s="400">
        <f>IF(BT42=0,0,(BU42-BT42)/BT42*100)</f>
        <v>0</v>
      </c>
      <c r="BW42" s="148">
        <f>SUM(BW43:BW44)</f>
        <v>0</v>
      </c>
      <c r="BX42" s="148">
        <f>SUM(BX43:BX44)</f>
        <v>0</v>
      </c>
      <c r="BY42" s="400">
        <f>IF(BW42=0,0,(BX42-BW42)/BW42*100)</f>
        <v>0</v>
      </c>
      <c r="BZ42" s="148">
        <f>SUM(BZ43:BZ44)</f>
        <v>0</v>
      </c>
      <c r="CA42" s="148">
        <f>SUM(CA43:CA44)</f>
        <v>0</v>
      </c>
      <c r="CB42" s="400">
        <f>IF(BZ42=0,0,(CA42-BZ42)/BZ42*100)</f>
        <v>0</v>
      </c>
      <c r="CC42" s="148">
        <f>SUM(CC43:CC44)</f>
        <v>0</v>
      </c>
      <c r="CD42" s="148">
        <f>SUM(CD43:CD44)</f>
        <v>0</v>
      </c>
      <c r="CE42" s="400">
        <f>IF(CC42=0,0,(CD42-CC42)/CC42*100)</f>
        <v>0</v>
      </c>
      <c r="CF42" s="148">
        <f>SUM(CF43:CF44)</f>
        <v>0</v>
      </c>
      <c r="CG42" s="148">
        <f>SUM(CG43:CG44)</f>
        <v>0</v>
      </c>
      <c r="CH42" s="400">
        <f>IF(CF42=0,0,(CG42-CF42)/CF42*100)</f>
        <v>0</v>
      </c>
      <c r="CI42" s="148">
        <f>SUM(CI43:CI44)</f>
        <v>0</v>
      </c>
      <c r="CJ42" s="148">
        <f>SUM(CJ43:CJ44)</f>
        <v>0</v>
      </c>
      <c r="CK42" s="400">
        <f>IF(CI42=0,0,(CJ42-CI42)/CI42*100)</f>
        <v>0</v>
      </c>
      <c r="CL42" s="148">
        <f>SUM(CL43:CL44)</f>
        <v>0</v>
      </c>
      <c r="CM42" s="148">
        <f>SUM(CM43:CM44)</f>
        <v>0</v>
      </c>
      <c r="CN42" s="400">
        <f>IF(CL42=0,0,(CM42-CL42)/CL42*100)</f>
        <v>0</v>
      </c>
      <c r="CO42" s="148">
        <f>SUM(CO43:CO44)</f>
        <v>0</v>
      </c>
      <c r="CP42" s="148">
        <f>SUM(CP43:CP44)</f>
        <v>0</v>
      </c>
      <c r="CQ42" s="400">
        <f>IF(CO42=0,0,(CP42-CO42)/CO42*100)</f>
        <v>0</v>
      </c>
      <c r="CR42" s="148">
        <f>SUM(CR43:CR44)</f>
        <v>0</v>
      </c>
      <c r="CS42" s="148">
        <f>SUM(CS43:CS44)</f>
        <v>0</v>
      </c>
      <c r="CT42" s="400">
        <f>IF(CR42=0,0,(CS42-CR42)/CR42*100)</f>
        <v>0</v>
      </c>
      <c r="CU42" s="148">
        <f>SUM(CU43:CU44)</f>
        <v>0</v>
      </c>
      <c r="CV42" s="148">
        <f>SUM(CV43:CV44)</f>
        <v>0</v>
      </c>
      <c r="CW42" s="400">
        <f>IF(CU42=0,0,(CV42-CU42)/CU42*100)</f>
        <v>0</v>
      </c>
      <c r="CX42" s="148">
        <f>SUM(CX43:CX44)</f>
        <v>0</v>
      </c>
      <c r="CY42" s="148">
        <f>SUM(CY43:CY44)</f>
        <v>0</v>
      </c>
      <c r="CZ42" s="400">
        <f>IF(CX42=0,0,(CY42-CX42)/CX42*100)</f>
        <v>0</v>
      </c>
      <c r="DA42" s="148">
        <f>SUM(DA43:DA44)</f>
        <v>0</v>
      </c>
      <c r="DB42" s="148">
        <f>SUM(DB43:DB44)</f>
        <v>0</v>
      </c>
      <c r="DC42" s="400">
        <f>IF(DA42=0,0,(DB42-DA42)/DA42*100)</f>
        <v>0</v>
      </c>
      <c r="DD42" s="148">
        <f>SUM(DD43:DD44)</f>
        <v>0</v>
      </c>
      <c r="DE42" s="148">
        <f>SUM(DE43:DE44)</f>
        <v>0</v>
      </c>
      <c r="DF42" s="400">
        <f>IF(DD42=0,0,(DE42-DD42)/DD42*100)</f>
        <v>0</v>
      </c>
      <c r="DG42" s="148">
        <f>SUM(DG43:DG44)</f>
        <v>0</v>
      </c>
      <c r="DH42" s="148">
        <f>SUM(DH43:DH44)</f>
        <v>0</v>
      </c>
      <c r="DI42" s="400">
        <f>IF(DG42=0,0,(DH42-DG42)/DG42*100)</f>
        <v>0</v>
      </c>
      <c r="DJ42" s="148">
        <f>SUM(DJ43:DJ44)</f>
        <v>0</v>
      </c>
      <c r="DK42" s="148">
        <f>SUM(DK43:DK44)</f>
        <v>0</v>
      </c>
      <c r="DL42" s="400">
        <f>IF(DJ42=0,0,(DK42-DJ42)/DJ42*100)</f>
        <v>0</v>
      </c>
      <c r="DM42" s="148">
        <f>SUM(DM43:DM44)</f>
        <v>0</v>
      </c>
      <c r="DN42" s="148">
        <f>SUM(DN43:DN44)</f>
        <v>0</v>
      </c>
      <c r="DO42" s="400">
        <f>IF(DM42=0,0,(DN42-DM42)/DM42*100)</f>
        <v>0</v>
      </c>
      <c r="DP42" s="148">
        <f>SUM(DP43:DP44)</f>
        <v>0</v>
      </c>
      <c r="DQ42" s="148">
        <f>SUM(DQ43:DQ44)</f>
        <v>0</v>
      </c>
      <c r="DR42" s="400">
        <f>IF(DP42=0,0,(DQ42-DP42)/DP42*100)</f>
        <v>0</v>
      </c>
      <c r="DS42" s="148">
        <f>SUM(DS43:DS44)</f>
        <v>0</v>
      </c>
      <c r="DT42" s="148">
        <f>SUM(DT43:DT44)</f>
        <v>0</v>
      </c>
      <c r="DU42" s="400">
        <f>IF(DS42=0,0,(DT42-DS42)/DS42*100)</f>
        <v>0</v>
      </c>
      <c r="DV42" s="148">
        <f>SUM(DV43:DV44)</f>
        <v>0</v>
      </c>
      <c r="DW42" s="148">
        <f>SUM(DW43:DW44)</f>
        <v>0</v>
      </c>
      <c r="DX42" s="400">
        <f>IF(DV42=0,0,(DW42-DV42)/DV42*100)</f>
        <v>0</v>
      </c>
      <c r="DY42" s="148">
        <f>SUM(DY43:DY44)</f>
        <v>0</v>
      </c>
      <c r="DZ42" s="148">
        <f>SUM(DZ43:DZ44)</f>
        <v>0</v>
      </c>
      <c r="EA42" s="400">
        <f>IF(DY42=0,0,(DZ42-DY42)/DY42*100)</f>
        <v>0</v>
      </c>
      <c r="EB42" s="148">
        <f>SUM(EB43:EB44)</f>
        <v>0</v>
      </c>
      <c r="EC42" s="148">
        <f>SUM(EC43:EC44)</f>
        <v>0</v>
      </c>
      <c r="ED42" s="400">
        <f>IF(EB42=0,0,(EC42-EB42)/EB42*100)</f>
        <v>0</v>
      </c>
      <c r="EE42" s="148">
        <f>SUM(EE43:EE44)</f>
        <v>0</v>
      </c>
      <c r="EF42" s="148">
        <f>SUM(EF43:EF44)</f>
        <v>0</v>
      </c>
      <c r="EG42" s="400">
        <f>IF(EE42=0,0,(EF42-EE42)/EE42*100)</f>
        <v>0</v>
      </c>
      <c r="EH42" s="148">
        <f>SUM(EH43:EH44)</f>
        <v>0</v>
      </c>
      <c r="EI42" s="148">
        <f>SUM(EI43:EI44)</f>
        <v>0</v>
      </c>
      <c r="EJ42" s="400">
        <f>IF(EH42=0,0,(EI42-EH42)/EH42*100)</f>
        <v>0</v>
      </c>
      <c r="EK42" s="148">
        <f>SUM(EK43:EK44)</f>
        <v>0</v>
      </c>
      <c r="EL42" s="148">
        <f>SUM(EL43:EL44)</f>
        <v>0</v>
      </c>
      <c r="EM42" s="400">
        <f>IF(EK42=0,0,(EL42-EK42)/EK42*100)</f>
        <v>0</v>
      </c>
      <c r="EN42" s="148">
        <f>SUM(EN43:EN44)</f>
        <v>0</v>
      </c>
      <c r="EO42" s="148">
        <f>SUM(EO43:EO44)</f>
        <v>0</v>
      </c>
      <c r="EP42" s="400">
        <f>IF(EN42=0,0,(EO42-EN42)/EN42*100)</f>
        <v>0</v>
      </c>
      <c r="EQ42" s="148">
        <f>SUM(EQ43:EQ44)</f>
        <v>0</v>
      </c>
      <c r="ER42" s="148">
        <f>SUM(ER43:ER44)</f>
        <v>0</v>
      </c>
      <c r="ES42" s="400">
        <f>IF(EQ42=0,0,(ER42-EQ42)/EQ42*100)</f>
        <v>0</v>
      </c>
      <c r="ET42" s="148">
        <f>SUM(ET43:ET44)</f>
        <v>0</v>
      </c>
      <c r="EU42" s="148">
        <f>SUM(EU43:EU44)</f>
        <v>0</v>
      </c>
      <c r="EV42" s="400">
        <f>IF(ET42=0,0,(EU42-ET42)/ET42*100)</f>
        <v>0</v>
      </c>
      <c r="EW42" s="148">
        <f>SUM(EW43:EW44)</f>
        <v>0</v>
      </c>
      <c r="EX42" s="148">
        <f>SUM(EX43:EX44)</f>
        <v>0</v>
      </c>
      <c r="EY42" s="400">
        <f>IF(EW42=0,0,(EX42-EW42)/EW42*100)</f>
        <v>0</v>
      </c>
      <c r="EZ42" s="148">
        <f>SUM(EZ43:EZ44)</f>
        <v>0</v>
      </c>
      <c r="FA42" s="148">
        <f>SUM(FA43:FA44)</f>
        <v>0</v>
      </c>
      <c r="FB42" s="400">
        <f>IF(EZ42=0,0,(FA42-EZ42)/EZ42*100)</f>
        <v>0</v>
      </c>
      <c r="FC42" s="148">
        <f>SUM(FC43:FC44)</f>
        <v>0</v>
      </c>
      <c r="FD42" s="148">
        <f>SUM(FD43:FD44)</f>
        <v>0</v>
      </c>
      <c r="FE42" s="400">
        <f>IF(FC42=0,0,(FD42-FC42)/FC42*100)</f>
        <v>0</v>
      </c>
      <c r="FF42" s="148">
        <f>SUM(FF43:FF44)</f>
        <v>0</v>
      </c>
      <c r="FG42" s="148">
        <f>SUM(FG43:FG44)</f>
        <v>0</v>
      </c>
      <c r="FH42" s="400">
        <f>IF(FF42=0,0,(FG42-FF42)/FF42*100)</f>
        <v>0</v>
      </c>
      <c r="FI42" s="148">
        <f>SUM(FI43:FI44)</f>
        <v>0</v>
      </c>
      <c r="FJ42" s="148">
        <f>SUM(FJ43:FJ44)</f>
        <v>0</v>
      </c>
      <c r="FK42" s="400">
        <f>IF(FI42=0,0,(FJ42-FI42)/FI42*100)</f>
        <v>0</v>
      </c>
      <c r="FL42" s="148">
        <f>SUM(FL43:FL44)</f>
        <v>0</v>
      </c>
      <c r="FM42" s="148">
        <f>SUM(FM43:FM44)</f>
        <v>0</v>
      </c>
      <c r="FN42" s="400">
        <f>IF(FL42=0,0,(FM42-FL42)/FL42*100)</f>
        <v>0</v>
      </c>
      <c r="FO42" s="148">
        <f>SUM(FO43:FO44)</f>
        <v>0</v>
      </c>
      <c r="FP42" s="148">
        <f>SUM(FP43:FP44)</f>
        <v>0</v>
      </c>
      <c r="FQ42" s="400">
        <f>IF(FO42=0,0,(FP42-FO42)/FO42*100)</f>
        <v>0</v>
      </c>
      <c r="FR42" s="148">
        <f>SUM(FR43:FR44)</f>
        <v>0</v>
      </c>
      <c r="FS42" s="148">
        <f>SUM(FS43:FS44)</f>
        <v>0</v>
      </c>
      <c r="FT42" s="400">
        <f>IF(FR42=0,0,(FS42-FR42)/FR42*100)</f>
        <v>0</v>
      </c>
      <c r="FU42" s="148">
        <f>SUM(FU43:FU44)</f>
        <v>0</v>
      </c>
      <c r="FV42" s="148">
        <f>SUM(FV43:FV44)</f>
        <v>0</v>
      </c>
      <c r="FW42" s="400">
        <f>IF(FU42=0,0,(FV42-FU42)/FU42*100)</f>
        <v>0</v>
      </c>
      <c r="FZ42" s="1184" t="s">
        <v>2124</v>
      </c>
      <c r="GA42" s="1184"/>
      <c r="GB42" s="1184"/>
      <c r="GC42" s="1184"/>
      <c r="GD42" s="1184"/>
    </row>
    <row customHeight="1" ht="16.672500000000003" hidden="1">
      <c r="B43" s="964" cm="1" t="str">
        <f t="array" ref="B43:B43">B42</f>
        <v>false</v>
      </c>
      <c r="C43" s="1325" t="s">
        <v>1723</v>
      </c>
      <c r="D43" s="1294" t="s">
        <v>1724</v>
      </c>
      <c r="E43" s="797">
        <v>17.1</v>
      </c>
      <c r="F43" s="922" cm="1" t="str">
        <f t="array" ref="F43:F43">OFFSET(G43,-1,-1)</f>
        <v>0</v>
      </c>
      <c r="J43" s="1315" t="s">
        <v>2091</v>
      </c>
      <c r="K43" s="1315" cm="1" t="str">
        <f t="array" ref="K43:K43">OFFSET(J43,-1,1)</f>
        <v>0</v>
      </c>
      <c r="L43" s="1315" t="s">
        <v>2105</v>
      </c>
      <c r="M43" s="1315" t="s">
        <v>1726</v>
      </c>
      <c r="N43" s="1315" t="s">
        <v>2113</v>
      </c>
      <c r="O43" s="1316" t="s">
        <v>2114</v>
      </c>
      <c r="P43" s="1315"/>
      <c r="Q43" s="1315"/>
      <c r="T43" s="808" cm="1" t="str">
        <f t="array" ref="T43:T43">T42</f>
        <v>false</v>
      </c>
      <c r="AB43" s="276" t="s">
        <v>2125</v>
      </c>
      <c r="AC43" s="678" t="s">
        <v>599</v>
      </c>
      <c r="AD43" s="114"/>
      <c r="AE43" s="114"/>
      <c r="AF43" s="693">
        <f>IF(AD43=0,0,(AE43-AD43)/AD43*100)</f>
        <v>0</v>
      </c>
      <c r="AG43" s="114"/>
      <c r="AH43" s="114"/>
      <c r="AI43" s="693">
        <f>IF(AG43=0,0,(AH43-AG43)/AG43*100)</f>
        <v>0</v>
      </c>
      <c r="AJ43" s="114"/>
      <c r="AK43" s="114"/>
      <c r="AL43" s="693">
        <f>IF(AJ43=0,0,(AK43-AJ43)/AJ43*100)</f>
        <v>0</v>
      </c>
      <c r="AM43" s="114"/>
      <c r="AN43" s="114"/>
      <c r="AO43" s="693">
        <f>IF(AM43=0,0,(AN43-AM43)/AM43*100)</f>
        <v>0</v>
      </c>
      <c r="AP43" s="114"/>
      <c r="AQ43" s="114"/>
      <c r="AR43" s="693">
        <f>IF(AP43=0,0,(AQ43-AP43)/AP43*100)</f>
        <v>0</v>
      </c>
      <c r="AS43" s="114"/>
      <c r="AT43" s="114"/>
      <c r="AU43" s="693">
        <f>IF(AS43=0,0,(AT43-AS43)/AS43*100)</f>
        <v>0</v>
      </c>
      <c r="AV43" s="114"/>
      <c r="AW43" s="114"/>
      <c r="AX43" s="693">
        <f>IF(AV43=0,0,(AW43-AV43)/AV43*100)</f>
        <v>0</v>
      </c>
      <c r="AY43" s="114"/>
      <c r="AZ43" s="114"/>
      <c r="BA43" s="693">
        <f>IF(AY43=0,0,(AZ43-AY43)/AY43*100)</f>
        <v>0</v>
      </c>
      <c r="BB43" s="114"/>
      <c r="BC43" s="114"/>
      <c r="BD43" s="693">
        <f>IF(BB43=0,0,(BC43-BB43)/BB43*100)</f>
        <v>0</v>
      </c>
      <c r="BE43" s="114"/>
      <c r="BF43" s="114"/>
      <c r="BG43" s="693">
        <f>IF(BE43=0,0,(BF43-BE43)/BE43*100)</f>
        <v>0</v>
      </c>
      <c r="BH43" s="114"/>
      <c r="BI43" s="114"/>
      <c r="BJ43" s="693">
        <f>IF(BH43=0,0,(BI43-BH43)/BH43*100)</f>
        <v>0</v>
      </c>
      <c r="BK43" s="114"/>
      <c r="BL43" s="114"/>
      <c r="BM43" s="693">
        <f>IF(BK43=0,0,(BL43-BK43)/BK43*100)</f>
        <v>0</v>
      </c>
      <c r="BN43" s="114"/>
      <c r="BO43" s="114"/>
      <c r="BP43" s="693">
        <f>IF(BN43=0,0,(BO43-BN43)/BN43*100)</f>
        <v>0</v>
      </c>
      <c r="BQ43" s="114"/>
      <c r="BR43" s="114"/>
      <c r="BS43" s="693">
        <f>IF(BQ43=0,0,(BR43-BQ43)/BQ43*100)</f>
        <v>0</v>
      </c>
      <c r="BT43" s="114"/>
      <c r="BU43" s="114"/>
      <c r="BV43" s="693">
        <f>IF(BT43=0,0,(BU43-BT43)/BT43*100)</f>
        <v>0</v>
      </c>
      <c r="BW43" s="114"/>
      <c r="BX43" s="114"/>
      <c r="BY43" s="693">
        <f>IF(BW43=0,0,(BX43-BW43)/BW43*100)</f>
        <v>0</v>
      </c>
      <c r="BZ43" s="114"/>
      <c r="CA43" s="114"/>
      <c r="CB43" s="693">
        <f>IF(BZ43=0,0,(CA43-BZ43)/BZ43*100)</f>
        <v>0</v>
      </c>
      <c r="CC43" s="114"/>
      <c r="CD43" s="114"/>
      <c r="CE43" s="693">
        <f>IF(CC43=0,0,(CD43-CC43)/CC43*100)</f>
        <v>0</v>
      </c>
      <c r="CF43" s="114"/>
      <c r="CG43" s="114"/>
      <c r="CH43" s="693">
        <f>IF(CF43=0,0,(CG43-CF43)/CF43*100)</f>
        <v>0</v>
      </c>
      <c r="CI43" s="114"/>
      <c r="CJ43" s="114"/>
      <c r="CK43" s="693">
        <f>IF(CI43=0,0,(CJ43-CI43)/CI43*100)</f>
        <v>0</v>
      </c>
      <c r="CL43" s="114"/>
      <c r="CM43" s="114"/>
      <c r="CN43" s="693">
        <f>IF(CL43=0,0,(CM43-CL43)/CL43*100)</f>
        <v>0</v>
      </c>
      <c r="CO43" s="114"/>
      <c r="CP43" s="114"/>
      <c r="CQ43" s="693">
        <f>IF(CO43=0,0,(CP43-CO43)/CO43*100)</f>
        <v>0</v>
      </c>
      <c r="CR43" s="114"/>
      <c r="CS43" s="114"/>
      <c r="CT43" s="693">
        <f>IF(CR43=0,0,(CS43-CR43)/CR43*100)</f>
        <v>0</v>
      </c>
      <c r="CU43" s="114"/>
      <c r="CV43" s="114"/>
      <c r="CW43" s="693">
        <f>IF(CU43=0,0,(CV43-CU43)/CU43*100)</f>
        <v>0</v>
      </c>
      <c r="CX43" s="114"/>
      <c r="CY43" s="114"/>
      <c r="CZ43" s="693">
        <f>IF(CX43=0,0,(CY43-CX43)/CX43*100)</f>
        <v>0</v>
      </c>
      <c r="DA43" s="114"/>
      <c r="DB43" s="114"/>
      <c r="DC43" s="693">
        <f>IF(DA43=0,0,(DB43-DA43)/DA43*100)</f>
        <v>0</v>
      </c>
      <c r="DD43" s="114"/>
      <c r="DE43" s="114"/>
      <c r="DF43" s="693">
        <f>IF(DD43=0,0,(DE43-DD43)/DD43*100)</f>
        <v>0</v>
      </c>
      <c r="DG43" s="114"/>
      <c r="DH43" s="114"/>
      <c r="DI43" s="693">
        <f>IF(DG43=0,0,(DH43-DG43)/DG43*100)</f>
        <v>0</v>
      </c>
      <c r="DJ43" s="114"/>
      <c r="DK43" s="114"/>
      <c r="DL43" s="693">
        <f>IF(DJ43=0,0,(DK43-DJ43)/DJ43*100)</f>
        <v>0</v>
      </c>
      <c r="DM43" s="114"/>
      <c r="DN43" s="114"/>
      <c r="DO43" s="693">
        <f>IF(DM43=0,0,(DN43-DM43)/DM43*100)</f>
        <v>0</v>
      </c>
      <c r="DP43" s="114"/>
      <c r="DQ43" s="114"/>
      <c r="DR43" s="693">
        <f>IF(DP43=0,0,(DQ43-DP43)/DP43*100)</f>
        <v>0</v>
      </c>
      <c r="DS43" s="114"/>
      <c r="DT43" s="114"/>
      <c r="DU43" s="693">
        <f>IF(DS43=0,0,(DT43-DS43)/DS43*100)</f>
        <v>0</v>
      </c>
      <c r="DV43" s="114"/>
      <c r="DW43" s="114"/>
      <c r="DX43" s="693">
        <f>IF(DV43=0,0,(DW43-DV43)/DV43*100)</f>
        <v>0</v>
      </c>
      <c r="DY43" s="114"/>
      <c r="DZ43" s="114"/>
      <c r="EA43" s="693">
        <f>IF(DY43=0,0,(DZ43-DY43)/DY43*100)</f>
        <v>0</v>
      </c>
      <c r="EB43" s="114"/>
      <c r="EC43" s="114"/>
      <c r="ED43" s="693">
        <f>IF(EB43=0,0,(EC43-EB43)/EB43*100)</f>
        <v>0</v>
      </c>
      <c r="EE43" s="114"/>
      <c r="EF43" s="114"/>
      <c r="EG43" s="693">
        <f>IF(EE43=0,0,(EF43-EE43)/EE43*100)</f>
        <v>0</v>
      </c>
      <c r="EH43" s="114"/>
      <c r="EI43" s="114"/>
      <c r="EJ43" s="693">
        <f>IF(EH43=0,0,(EI43-EH43)/EH43*100)</f>
        <v>0</v>
      </c>
      <c r="EK43" s="114"/>
      <c r="EL43" s="114"/>
      <c r="EM43" s="693">
        <f>IF(EK43=0,0,(EL43-EK43)/EK43*100)</f>
        <v>0</v>
      </c>
      <c r="EN43" s="114"/>
      <c r="EO43" s="114"/>
      <c r="EP43" s="693">
        <f>IF(EN43=0,0,(EO43-EN43)/EN43*100)</f>
        <v>0</v>
      </c>
      <c r="EQ43" s="114"/>
      <c r="ER43" s="114"/>
      <c r="ES43" s="693">
        <f>IF(EQ43=0,0,(ER43-EQ43)/EQ43*100)</f>
        <v>0</v>
      </c>
      <c r="ET43" s="114"/>
      <c r="EU43" s="114"/>
      <c r="EV43" s="693">
        <f>IF(ET43=0,0,(EU43-ET43)/ET43*100)</f>
        <v>0</v>
      </c>
      <c r="EW43" s="114"/>
      <c r="EX43" s="114"/>
      <c r="EY43" s="693">
        <f>IF(EW43=0,0,(EX43-EW43)/EW43*100)</f>
        <v>0</v>
      </c>
      <c r="EZ43" s="114"/>
      <c r="FA43" s="114"/>
      <c r="FB43" s="693">
        <f>IF(EZ43=0,0,(FA43-EZ43)/EZ43*100)</f>
        <v>0</v>
      </c>
      <c r="FC43" s="114"/>
      <c r="FD43" s="114"/>
      <c r="FE43" s="693">
        <f>IF(FC43=0,0,(FD43-FC43)/FC43*100)</f>
        <v>0</v>
      </c>
      <c r="FF43" s="114"/>
      <c r="FG43" s="114"/>
      <c r="FH43" s="693">
        <f>IF(FF43=0,0,(FG43-FF43)/FF43*100)</f>
        <v>0</v>
      </c>
      <c r="FI43" s="114"/>
      <c r="FJ43" s="114"/>
      <c r="FK43" s="693">
        <f>IF(FI43=0,0,(FJ43-FI43)/FI43*100)</f>
        <v>0</v>
      </c>
      <c r="FL43" s="114"/>
      <c r="FM43" s="114"/>
      <c r="FN43" s="693">
        <f>IF(FL43=0,0,(FM43-FL43)/FL43*100)</f>
        <v>0</v>
      </c>
      <c r="FO43" s="114"/>
      <c r="FP43" s="114"/>
      <c r="FQ43" s="693">
        <f>IF(FO43=0,0,(FP43-FO43)/FO43*100)</f>
        <v>0</v>
      </c>
      <c r="FR43" s="114"/>
      <c r="FS43" s="114"/>
      <c r="FT43" s="693">
        <f>IF(FR43=0,0,(FS43-FR43)/FR43*100)</f>
        <v>0</v>
      </c>
      <c r="FU43" s="114"/>
      <c r="FV43" s="114"/>
      <c r="FW43" s="693">
        <f>IF(FU43=0,0,(FV43-FU43)/FU43*100)</f>
        <v>0</v>
      </c>
      <c r="FZ43" s="1184" t="s">
        <v>2126</v>
      </c>
      <c r="GA43" s="1184"/>
      <c r="GB43" s="1184"/>
      <c r="GC43" s="1184"/>
      <c r="GD43" s="1184"/>
    </row>
    <row customHeight="1" ht="16.672500000000003" hidden="1">
      <c r="B44" s="964" cm="1" t="str">
        <f t="array" ref="B44:B44">B43</f>
        <v>false</v>
      </c>
      <c r="C44" s="1325" t="s">
        <v>1723</v>
      </c>
      <c r="D44" s="1294" t="s">
        <v>1724</v>
      </c>
      <c r="E44" s="797">
        <v>17.1</v>
      </c>
      <c r="F44" s="922" cm="1" t="str">
        <f t="array" ref="F44:F44">OFFSET(G44,-1,-1)</f>
        <v>0</v>
      </c>
      <c r="J44" s="1315" t="s">
        <v>2091</v>
      </c>
      <c r="K44" s="1315" cm="1" t="str">
        <f t="array" ref="K44:K44">OFFSET(J44,-1,1)</f>
        <v>0</v>
      </c>
      <c r="L44" s="1315" t="s">
        <v>2105</v>
      </c>
      <c r="M44" s="1315" t="s">
        <v>1735</v>
      </c>
      <c r="N44" s="1315" t="s">
        <v>2113</v>
      </c>
      <c r="O44" s="1316" t="s">
        <v>2114</v>
      </c>
      <c r="P44" s="1315"/>
      <c r="Q44" s="1315"/>
      <c r="T44" s="808" cm="1" t="str">
        <f t="array" ref="T44:T44">T43</f>
        <v>false</v>
      </c>
      <c r="AB44" s="276" t="s">
        <v>2127</v>
      </c>
      <c r="AC44" s="678" t="s">
        <v>599</v>
      </c>
      <c r="AD44" s="114"/>
      <c r="AE44" s="114"/>
      <c r="AF44" s="693">
        <f>IF(AD44=0,0,(AE44-AD44)/AD44*100)</f>
        <v>0</v>
      </c>
      <c r="AG44" s="114"/>
      <c r="AH44" s="114"/>
      <c r="AI44" s="693">
        <f>IF(AG44=0,0,(AH44-AG44)/AG44*100)</f>
        <v>0</v>
      </c>
      <c r="AJ44" s="114"/>
      <c r="AK44" s="114"/>
      <c r="AL44" s="693">
        <f>IF(AJ44=0,0,(AK44-AJ44)/AJ44*100)</f>
        <v>0</v>
      </c>
      <c r="AM44" s="114"/>
      <c r="AN44" s="114"/>
      <c r="AO44" s="693">
        <f>IF(AM44=0,0,(AN44-AM44)/AM44*100)</f>
        <v>0</v>
      </c>
      <c r="AP44" s="114"/>
      <c r="AQ44" s="114"/>
      <c r="AR44" s="693">
        <f>IF(AP44=0,0,(AQ44-AP44)/AP44*100)</f>
        <v>0</v>
      </c>
      <c r="AS44" s="114"/>
      <c r="AT44" s="114"/>
      <c r="AU44" s="693">
        <f>IF(AS44=0,0,(AT44-AS44)/AS44*100)</f>
        <v>0</v>
      </c>
      <c r="AV44" s="114"/>
      <c r="AW44" s="114"/>
      <c r="AX44" s="693">
        <f>IF(AV44=0,0,(AW44-AV44)/AV44*100)</f>
        <v>0</v>
      </c>
      <c r="AY44" s="114"/>
      <c r="AZ44" s="114"/>
      <c r="BA44" s="693">
        <f>IF(AY44=0,0,(AZ44-AY44)/AY44*100)</f>
        <v>0</v>
      </c>
      <c r="BB44" s="114"/>
      <c r="BC44" s="114"/>
      <c r="BD44" s="693">
        <f>IF(BB44=0,0,(BC44-BB44)/BB44*100)</f>
        <v>0</v>
      </c>
      <c r="BE44" s="114"/>
      <c r="BF44" s="114"/>
      <c r="BG44" s="693">
        <f>IF(BE44=0,0,(BF44-BE44)/BE44*100)</f>
        <v>0</v>
      </c>
      <c r="BH44" s="114"/>
      <c r="BI44" s="114"/>
      <c r="BJ44" s="693">
        <f>IF(BH44=0,0,(BI44-BH44)/BH44*100)</f>
        <v>0</v>
      </c>
      <c r="BK44" s="114"/>
      <c r="BL44" s="114"/>
      <c r="BM44" s="693">
        <f>IF(BK44=0,0,(BL44-BK44)/BK44*100)</f>
        <v>0</v>
      </c>
      <c r="BN44" s="114"/>
      <c r="BO44" s="114"/>
      <c r="BP44" s="693">
        <f>IF(BN44=0,0,(BO44-BN44)/BN44*100)</f>
        <v>0</v>
      </c>
      <c r="BQ44" s="114"/>
      <c r="BR44" s="114"/>
      <c r="BS44" s="693">
        <f>IF(BQ44=0,0,(BR44-BQ44)/BQ44*100)</f>
        <v>0</v>
      </c>
      <c r="BT44" s="114"/>
      <c r="BU44" s="114"/>
      <c r="BV44" s="693">
        <f>IF(BT44=0,0,(BU44-BT44)/BT44*100)</f>
        <v>0</v>
      </c>
      <c r="BW44" s="114"/>
      <c r="BX44" s="114"/>
      <c r="BY44" s="693">
        <f>IF(BW44=0,0,(BX44-BW44)/BW44*100)</f>
        <v>0</v>
      </c>
      <c r="BZ44" s="114"/>
      <c r="CA44" s="114"/>
      <c r="CB44" s="693">
        <f>IF(BZ44=0,0,(CA44-BZ44)/BZ44*100)</f>
        <v>0</v>
      </c>
      <c r="CC44" s="114"/>
      <c r="CD44" s="114"/>
      <c r="CE44" s="693">
        <f>IF(CC44=0,0,(CD44-CC44)/CC44*100)</f>
        <v>0</v>
      </c>
      <c r="CF44" s="114"/>
      <c r="CG44" s="114"/>
      <c r="CH44" s="693">
        <f>IF(CF44=0,0,(CG44-CF44)/CF44*100)</f>
        <v>0</v>
      </c>
      <c r="CI44" s="114"/>
      <c r="CJ44" s="114"/>
      <c r="CK44" s="693">
        <f>IF(CI44=0,0,(CJ44-CI44)/CI44*100)</f>
        <v>0</v>
      </c>
      <c r="CL44" s="114"/>
      <c r="CM44" s="114"/>
      <c r="CN44" s="693">
        <f>IF(CL44=0,0,(CM44-CL44)/CL44*100)</f>
        <v>0</v>
      </c>
      <c r="CO44" s="114"/>
      <c r="CP44" s="114"/>
      <c r="CQ44" s="693">
        <f>IF(CO44=0,0,(CP44-CO44)/CO44*100)</f>
        <v>0</v>
      </c>
      <c r="CR44" s="114"/>
      <c r="CS44" s="114"/>
      <c r="CT44" s="693">
        <f>IF(CR44=0,0,(CS44-CR44)/CR44*100)</f>
        <v>0</v>
      </c>
      <c r="CU44" s="114"/>
      <c r="CV44" s="114"/>
      <c r="CW44" s="693">
        <f>IF(CU44=0,0,(CV44-CU44)/CU44*100)</f>
        <v>0</v>
      </c>
      <c r="CX44" s="114"/>
      <c r="CY44" s="114"/>
      <c r="CZ44" s="693">
        <f>IF(CX44=0,0,(CY44-CX44)/CX44*100)</f>
        <v>0</v>
      </c>
      <c r="DA44" s="114"/>
      <c r="DB44" s="114"/>
      <c r="DC44" s="693">
        <f>IF(DA44=0,0,(DB44-DA44)/DA44*100)</f>
        <v>0</v>
      </c>
      <c r="DD44" s="114"/>
      <c r="DE44" s="114"/>
      <c r="DF44" s="693">
        <f>IF(DD44=0,0,(DE44-DD44)/DD44*100)</f>
        <v>0</v>
      </c>
      <c r="DG44" s="114"/>
      <c r="DH44" s="114"/>
      <c r="DI44" s="693">
        <f>IF(DG44=0,0,(DH44-DG44)/DG44*100)</f>
        <v>0</v>
      </c>
      <c r="DJ44" s="114"/>
      <c r="DK44" s="114"/>
      <c r="DL44" s="693">
        <f>IF(DJ44=0,0,(DK44-DJ44)/DJ44*100)</f>
        <v>0</v>
      </c>
      <c r="DM44" s="114"/>
      <c r="DN44" s="114"/>
      <c r="DO44" s="693">
        <f>IF(DM44=0,0,(DN44-DM44)/DM44*100)</f>
        <v>0</v>
      </c>
      <c r="DP44" s="114"/>
      <c r="DQ44" s="114"/>
      <c r="DR44" s="693">
        <f>IF(DP44=0,0,(DQ44-DP44)/DP44*100)</f>
        <v>0</v>
      </c>
      <c r="DS44" s="114"/>
      <c r="DT44" s="114"/>
      <c r="DU44" s="693">
        <f>IF(DS44=0,0,(DT44-DS44)/DS44*100)</f>
        <v>0</v>
      </c>
      <c r="DV44" s="114"/>
      <c r="DW44" s="114"/>
      <c r="DX44" s="693">
        <f>IF(DV44=0,0,(DW44-DV44)/DV44*100)</f>
        <v>0</v>
      </c>
      <c r="DY44" s="114"/>
      <c r="DZ44" s="114"/>
      <c r="EA44" s="693">
        <f>IF(DY44=0,0,(DZ44-DY44)/DY44*100)</f>
        <v>0</v>
      </c>
      <c r="EB44" s="114"/>
      <c r="EC44" s="114"/>
      <c r="ED44" s="693">
        <f>IF(EB44=0,0,(EC44-EB44)/EB44*100)</f>
        <v>0</v>
      </c>
      <c r="EE44" s="114"/>
      <c r="EF44" s="114"/>
      <c r="EG44" s="693">
        <f>IF(EE44=0,0,(EF44-EE44)/EE44*100)</f>
        <v>0</v>
      </c>
      <c r="EH44" s="114"/>
      <c r="EI44" s="114"/>
      <c r="EJ44" s="693">
        <f>IF(EH44=0,0,(EI44-EH44)/EH44*100)</f>
        <v>0</v>
      </c>
      <c r="EK44" s="114"/>
      <c r="EL44" s="114"/>
      <c r="EM44" s="693">
        <f>IF(EK44=0,0,(EL44-EK44)/EK44*100)</f>
        <v>0</v>
      </c>
      <c r="EN44" s="114"/>
      <c r="EO44" s="114"/>
      <c r="EP44" s="693">
        <f>IF(EN44=0,0,(EO44-EN44)/EN44*100)</f>
        <v>0</v>
      </c>
      <c r="EQ44" s="114"/>
      <c r="ER44" s="114"/>
      <c r="ES44" s="693">
        <f>IF(EQ44=0,0,(ER44-EQ44)/EQ44*100)</f>
        <v>0</v>
      </c>
      <c r="ET44" s="114"/>
      <c r="EU44" s="114"/>
      <c r="EV44" s="693">
        <f>IF(ET44=0,0,(EU44-ET44)/ET44*100)</f>
        <v>0</v>
      </c>
      <c r="EW44" s="114"/>
      <c r="EX44" s="114"/>
      <c r="EY44" s="693">
        <f>IF(EW44=0,0,(EX44-EW44)/EW44*100)</f>
        <v>0</v>
      </c>
      <c r="EZ44" s="114"/>
      <c r="FA44" s="114"/>
      <c r="FB44" s="693">
        <f>IF(EZ44=0,0,(FA44-EZ44)/EZ44*100)</f>
        <v>0</v>
      </c>
      <c r="FC44" s="114"/>
      <c r="FD44" s="114"/>
      <c r="FE44" s="693">
        <f>IF(FC44=0,0,(FD44-FC44)/FC44*100)</f>
        <v>0</v>
      </c>
      <c r="FF44" s="114"/>
      <c r="FG44" s="114"/>
      <c r="FH44" s="693">
        <f>IF(FF44=0,0,(FG44-FF44)/FF44*100)</f>
        <v>0</v>
      </c>
      <c r="FI44" s="114"/>
      <c r="FJ44" s="114"/>
      <c r="FK44" s="693">
        <f>IF(FI44=0,0,(FJ44-FI44)/FI44*100)</f>
        <v>0</v>
      </c>
      <c r="FL44" s="114"/>
      <c r="FM44" s="114"/>
      <c r="FN44" s="693">
        <f>IF(FL44=0,0,(FM44-FL44)/FL44*100)</f>
        <v>0</v>
      </c>
      <c r="FO44" s="114"/>
      <c r="FP44" s="114"/>
      <c r="FQ44" s="693">
        <f>IF(FO44=0,0,(FP44-FO44)/FO44*100)</f>
        <v>0</v>
      </c>
      <c r="FR44" s="114"/>
      <c r="FS44" s="114"/>
      <c r="FT44" s="693">
        <f>IF(FR44=0,0,(FS44-FR44)/FR44*100)</f>
        <v>0</v>
      </c>
      <c r="FU44" s="114"/>
      <c r="FV44" s="114"/>
      <c r="FW44" s="693">
        <f>IF(FU44=0,0,(FV44-FU44)/FU44*100)</f>
        <v>0</v>
      </c>
      <c r="FZ44" s="1184" t="s">
        <v>2128</v>
      </c>
      <c r="GA44" s="1184"/>
      <c r="GB44" s="1184"/>
      <c r="GC44" s="1184"/>
      <c r="GD44" s="1184"/>
    </row>
    <row s="1390" customFormat="1" customHeight="1" ht="16.672500000000003" hidden="1">
      <c r="B45" s="964" cm="1" t="str">
        <f t="array" ref="B45:B45">OFFSET(A45,-1,1)</f>
        <v>false</v>
      </c>
      <c r="C45" s="1325" t="s">
        <v>2110</v>
      </c>
      <c r="D45" s="1294" t="s">
        <v>2111</v>
      </c>
      <c r="E45" s="797">
        <v>17.1</v>
      </c>
      <c r="F45" s="922" cm="1" t="str">
        <f t="array" ref="F45:F45">OFFSET(G45,-1,-1)</f>
        <v>0</v>
      </c>
      <c r="J45" s="1315" t="s">
        <v>2091</v>
      </c>
      <c r="K45" s="1315" cm="1" t="str">
        <f t="array" ref="K45:K45">OFFSET(J45,-1,1)</f>
        <v>0</v>
      </c>
      <c r="L45" s="1315"/>
      <c r="M45" s="1315"/>
      <c r="N45" s="1315" t="s">
        <v>2113</v>
      </c>
      <c r="O45" s="1316" t="s">
        <v>2114</v>
      </c>
      <c r="P45" s="1315"/>
      <c r="Q45" s="1315" cm="1" t="str">
        <f t="array" ref="Q45:Q45">AB45</f>
        <v>0</v>
      </c>
      <c r="T45" s="808">
        <f>AND(OFFSET(S45,1,1),Y45&gt;0)</f>
        <v>0</v>
      </c>
      <c r="W45" s="175" t="s">
        <v>234</v>
      </c>
      <c r="Y45" s="175">
        <v>0</v>
      </c>
      <c r="AA45" s="1415" t="s">
        <v>218</v>
      </c>
      <c r="AB45" s="149"/>
      <c r="AC45" s="678" t="s">
        <v>900</v>
      </c>
      <c r="AD45" s="114"/>
      <c r="AE45" s="114"/>
      <c r="AF45" s="693">
        <f>IF(AD45=0,0,(AE45-AD45)/AD45*100)</f>
        <v>0</v>
      </c>
      <c r="AG45" s="114"/>
      <c r="AH45" s="114"/>
      <c r="AI45" s="693">
        <f>IF(AG45=0,0,(AH45-AG45)/AG45*100)</f>
        <v>0</v>
      </c>
      <c r="AJ45" s="114"/>
      <c r="AK45" s="114"/>
      <c r="AL45" s="693">
        <f>IF(AJ45=0,0,(AK45-AJ45)/AJ45*100)</f>
        <v>0</v>
      </c>
      <c r="AM45" s="114"/>
      <c r="AN45" s="114"/>
      <c r="AO45" s="693">
        <f>IF(AM45=0,0,(AN45-AM45)/AM45*100)</f>
        <v>0</v>
      </c>
      <c r="AP45" s="114"/>
      <c r="AQ45" s="114"/>
      <c r="AR45" s="693">
        <f>IF(AP45=0,0,(AQ45-AP45)/AP45*100)</f>
        <v>0</v>
      </c>
      <c r="AS45" s="114"/>
      <c r="AT45" s="114"/>
      <c r="AU45" s="693">
        <f>IF(AS45=0,0,(AT45-AS45)/AS45*100)</f>
        <v>0</v>
      </c>
      <c r="AV45" s="114"/>
      <c r="AW45" s="114"/>
      <c r="AX45" s="693">
        <f>IF(AV45=0,0,(AW45-AV45)/AV45*100)</f>
        <v>0</v>
      </c>
      <c r="AY45" s="114"/>
      <c r="AZ45" s="114"/>
      <c r="BA45" s="693">
        <f>IF(AY45=0,0,(AZ45-AY45)/AY45*100)</f>
        <v>0</v>
      </c>
      <c r="BB45" s="114"/>
      <c r="BC45" s="114"/>
      <c r="BD45" s="693">
        <f>IF(BB45=0,0,(BC45-BB45)/BB45*100)</f>
        <v>0</v>
      </c>
      <c r="BE45" s="114"/>
      <c r="BF45" s="114"/>
      <c r="BG45" s="693">
        <f>IF(BE45=0,0,(BF45-BE45)/BE45*100)</f>
        <v>0</v>
      </c>
      <c r="BH45" s="114"/>
      <c r="BI45" s="114"/>
      <c r="BJ45" s="693">
        <f>IF(BH45=0,0,(BI45-BH45)/BH45*100)</f>
        <v>0</v>
      </c>
      <c r="BK45" s="114"/>
      <c r="BL45" s="114"/>
      <c r="BM45" s="693">
        <f>IF(BK45=0,0,(BL45-BK45)/BK45*100)</f>
        <v>0</v>
      </c>
      <c r="BN45" s="114"/>
      <c r="BO45" s="114"/>
      <c r="BP45" s="693">
        <f>IF(BN45=0,0,(BO45-BN45)/BN45*100)</f>
        <v>0</v>
      </c>
      <c r="BQ45" s="114"/>
      <c r="BR45" s="114"/>
      <c r="BS45" s="693">
        <f>IF(BQ45=0,0,(BR45-BQ45)/BQ45*100)</f>
        <v>0</v>
      </c>
      <c r="BT45" s="114"/>
      <c r="BU45" s="114"/>
      <c r="BV45" s="693">
        <f>IF(BT45=0,0,(BU45-BT45)/BT45*100)</f>
        <v>0</v>
      </c>
      <c r="BW45" s="114"/>
      <c r="BX45" s="114"/>
      <c r="BY45" s="693">
        <f>IF(BW45=0,0,(BX45-BW45)/BW45*100)</f>
        <v>0</v>
      </c>
      <c r="BZ45" s="114"/>
      <c r="CA45" s="114"/>
      <c r="CB45" s="693">
        <f>IF(BZ45=0,0,(CA45-BZ45)/BZ45*100)</f>
        <v>0</v>
      </c>
      <c r="CC45" s="114"/>
      <c r="CD45" s="114"/>
      <c r="CE45" s="693">
        <f>IF(CC45=0,0,(CD45-CC45)/CC45*100)</f>
        <v>0</v>
      </c>
      <c r="CF45" s="114"/>
      <c r="CG45" s="114"/>
      <c r="CH45" s="693">
        <f>IF(CF45=0,0,(CG45-CF45)/CF45*100)</f>
        <v>0</v>
      </c>
      <c r="CI45" s="114"/>
      <c r="CJ45" s="114"/>
      <c r="CK45" s="693">
        <f>IF(CI45=0,0,(CJ45-CI45)/CI45*100)</f>
        <v>0</v>
      </c>
      <c r="CL45" s="114"/>
      <c r="CM45" s="114"/>
      <c r="CN45" s="693">
        <f>IF(CL45=0,0,(CM45-CL45)/CL45*100)</f>
        <v>0</v>
      </c>
      <c r="CO45" s="114"/>
      <c r="CP45" s="114"/>
      <c r="CQ45" s="693">
        <f>IF(CO45=0,0,(CP45-CO45)/CO45*100)</f>
        <v>0</v>
      </c>
      <c r="CR45" s="114"/>
      <c r="CS45" s="114"/>
      <c r="CT45" s="693">
        <f>IF(CR45=0,0,(CS45-CR45)/CR45*100)</f>
        <v>0</v>
      </c>
      <c r="CU45" s="114"/>
      <c r="CV45" s="114"/>
      <c r="CW45" s="693">
        <f>IF(CU45=0,0,(CV45-CU45)/CU45*100)</f>
        <v>0</v>
      </c>
      <c r="CX45" s="114"/>
      <c r="CY45" s="114"/>
      <c r="CZ45" s="693">
        <f>IF(CX45=0,0,(CY45-CX45)/CX45*100)</f>
        <v>0</v>
      </c>
      <c r="DA45" s="114"/>
      <c r="DB45" s="114"/>
      <c r="DC45" s="693">
        <f>IF(DA45=0,0,(DB45-DA45)/DA45*100)</f>
        <v>0</v>
      </c>
      <c r="DD45" s="114"/>
      <c r="DE45" s="114"/>
      <c r="DF45" s="693">
        <f>IF(DD45=0,0,(DE45-DD45)/DD45*100)</f>
        <v>0</v>
      </c>
      <c r="DG45" s="114"/>
      <c r="DH45" s="114"/>
      <c r="DI45" s="693">
        <f>IF(DG45=0,0,(DH45-DG45)/DG45*100)</f>
        <v>0</v>
      </c>
      <c r="DJ45" s="114"/>
      <c r="DK45" s="114"/>
      <c r="DL45" s="693">
        <f>IF(DJ45=0,0,(DK45-DJ45)/DJ45*100)</f>
        <v>0</v>
      </c>
      <c r="DM45" s="114"/>
      <c r="DN45" s="114"/>
      <c r="DO45" s="693">
        <f>IF(DM45=0,0,(DN45-DM45)/DM45*100)</f>
        <v>0</v>
      </c>
      <c r="DP45" s="114"/>
      <c r="DQ45" s="114"/>
      <c r="DR45" s="693">
        <f>IF(DP45=0,0,(DQ45-DP45)/DP45*100)</f>
        <v>0</v>
      </c>
      <c r="DS45" s="114"/>
      <c r="DT45" s="114"/>
      <c r="DU45" s="693">
        <f>IF(DS45=0,0,(DT45-DS45)/DS45*100)</f>
        <v>0</v>
      </c>
      <c r="DV45" s="114"/>
      <c r="DW45" s="114"/>
      <c r="DX45" s="693">
        <f>IF(DV45=0,0,(DW45-DV45)/DV45*100)</f>
        <v>0</v>
      </c>
      <c r="DY45" s="114"/>
      <c r="DZ45" s="114"/>
      <c r="EA45" s="693">
        <f>IF(DY45=0,0,(DZ45-DY45)/DY45*100)</f>
        <v>0</v>
      </c>
      <c r="EB45" s="114"/>
      <c r="EC45" s="114"/>
      <c r="ED45" s="693">
        <f>IF(EB45=0,0,(EC45-EB45)/EB45*100)</f>
        <v>0</v>
      </c>
      <c r="EE45" s="114"/>
      <c r="EF45" s="114"/>
      <c r="EG45" s="693">
        <f>IF(EE45=0,0,(EF45-EE45)/EE45*100)</f>
        <v>0</v>
      </c>
      <c r="EH45" s="114"/>
      <c r="EI45" s="114"/>
      <c r="EJ45" s="693">
        <f>IF(EH45=0,0,(EI45-EH45)/EH45*100)</f>
        <v>0</v>
      </c>
      <c r="EK45" s="114"/>
      <c r="EL45" s="114"/>
      <c r="EM45" s="693">
        <f>IF(EK45=0,0,(EL45-EK45)/EK45*100)</f>
        <v>0</v>
      </c>
      <c r="EN45" s="114"/>
      <c r="EO45" s="114"/>
      <c r="EP45" s="693">
        <f>IF(EN45=0,0,(EO45-EN45)/EN45*100)</f>
        <v>0</v>
      </c>
      <c r="EQ45" s="114"/>
      <c r="ER45" s="114"/>
      <c r="ES45" s="693">
        <f>IF(EQ45=0,0,(ER45-EQ45)/EQ45*100)</f>
        <v>0</v>
      </c>
      <c r="ET45" s="114"/>
      <c r="EU45" s="114"/>
      <c r="EV45" s="693">
        <f>IF(ET45=0,0,(EU45-ET45)/ET45*100)</f>
        <v>0</v>
      </c>
      <c r="EW45" s="114"/>
      <c r="EX45" s="114"/>
      <c r="EY45" s="693">
        <f>IF(EW45=0,0,(EX45-EW45)/EW45*100)</f>
        <v>0</v>
      </c>
      <c r="EZ45" s="114"/>
      <c r="FA45" s="114"/>
      <c r="FB45" s="693">
        <f>IF(EZ45=0,0,(FA45-EZ45)/EZ45*100)</f>
        <v>0</v>
      </c>
      <c r="FC45" s="114"/>
      <c r="FD45" s="114"/>
      <c r="FE45" s="693">
        <f>IF(FC45=0,0,(FD45-FC45)/FC45*100)</f>
        <v>0</v>
      </c>
      <c r="FF45" s="114"/>
      <c r="FG45" s="114"/>
      <c r="FH45" s="693">
        <f>IF(FF45=0,0,(FG45-FF45)/FF45*100)</f>
        <v>0</v>
      </c>
      <c r="FI45" s="114"/>
      <c r="FJ45" s="114"/>
      <c r="FK45" s="693">
        <f>IF(FI45=0,0,(FJ45-FI45)/FI45*100)</f>
        <v>0</v>
      </c>
      <c r="FL45" s="114"/>
      <c r="FM45" s="114"/>
      <c r="FN45" s="693">
        <f>IF(FL45=0,0,(FM45-FL45)/FL45*100)</f>
        <v>0</v>
      </c>
      <c r="FO45" s="114"/>
      <c r="FP45" s="114"/>
      <c r="FQ45" s="693">
        <f>IF(FO45=0,0,(FP45-FO45)/FO45*100)</f>
        <v>0</v>
      </c>
      <c r="FR45" s="114"/>
      <c r="FS45" s="114"/>
      <c r="FT45" s="693">
        <f>IF(FR45=0,0,(FS45-FR45)/FR45*100)</f>
        <v>0</v>
      </c>
      <c r="FU45" s="114"/>
      <c r="FV45" s="114"/>
      <c r="FW45" s="693">
        <f>IF(FU45=0,0,(FV45-FU45)/FU45*100)</f>
        <v>0</v>
      </c>
      <c r="FZ45" s="1184" t="s">
        <v>2129</v>
      </c>
      <c r="GA45" s="1184" t="s">
        <v>2130</v>
      </c>
      <c r="GB45" s="1184" cm="1" t="str">
        <f t="array" ref="GB45:GB45">AB45</f>
        <v>0</v>
      </c>
      <c r="GC45" s="1184"/>
      <c r="GD45" s="1184" t="b">
        <v>1</v>
      </c>
    </row>
    <row s="1390" customFormat="1" customHeight="1" ht="16.672500000000003" hidden="1">
      <c r="B46" s="964" cm="1" t="str">
        <f t="array" ref="B46:B46">OFFSET(A46,-1,1)</f>
        <v>false</v>
      </c>
      <c r="C46" s="1325" t="s">
        <v>1723</v>
      </c>
      <c r="D46" s="1294" t="s">
        <v>1724</v>
      </c>
      <c r="E46" s="797">
        <v>17.1</v>
      </c>
      <c r="F46" s="922" cm="1" t="str">
        <f t="array" ref="F46:F46">OFFSET(G46,-1,-1)</f>
        <v>0</v>
      </c>
      <c r="J46" s="1315" t="s">
        <v>2091</v>
      </c>
      <c r="K46" s="1315" cm="1" t="str">
        <f t="array" ref="K46:K46">OFFSET(J46,-1,1)</f>
        <v>0</v>
      </c>
      <c r="L46" s="1315" t="s">
        <v>2105</v>
      </c>
      <c r="M46" s="1315"/>
      <c r="N46" s="1315" t="s">
        <v>2113</v>
      </c>
      <c r="O46" s="1316" t="s">
        <v>2114</v>
      </c>
      <c r="P46" s="1315"/>
      <c r="Q46" s="1315" cm="1" t="str">
        <f t="array" ref="Q46:Q46">AB45</f>
        <v>0</v>
      </c>
      <c r="T46" s="808">
        <f>AND(OFFSET(S46,1,1),Y45&gt;0)</f>
        <v>0</v>
      </c>
      <c r="AA46" s="1415"/>
      <c r="AB46" s="1060" t="s">
        <v>2131</v>
      </c>
      <c r="AC46" s="678" t="s">
        <v>599</v>
      </c>
      <c r="AD46" s="114"/>
      <c r="AE46" s="114"/>
      <c r="AF46" s="693">
        <f>IF(AD46=0,0,(AE46-AD46)/AD46*100)</f>
        <v>0</v>
      </c>
      <c r="AG46" s="114"/>
      <c r="AH46" s="114"/>
      <c r="AI46" s="693">
        <f>IF(AG46=0,0,(AH46-AG46)/AG46*100)</f>
        <v>0</v>
      </c>
      <c r="AJ46" s="114"/>
      <c r="AK46" s="114"/>
      <c r="AL46" s="693">
        <f>IF(AJ46=0,0,(AK46-AJ46)/AJ46*100)</f>
        <v>0</v>
      </c>
      <c r="AM46" s="114"/>
      <c r="AN46" s="114"/>
      <c r="AO46" s="693">
        <f>IF(AM46=0,0,(AN46-AM46)/AM46*100)</f>
        <v>0</v>
      </c>
      <c r="AP46" s="114"/>
      <c r="AQ46" s="114"/>
      <c r="AR46" s="693">
        <f>IF(AP46=0,0,(AQ46-AP46)/AP46*100)</f>
        <v>0</v>
      </c>
      <c r="AS46" s="114"/>
      <c r="AT46" s="114"/>
      <c r="AU46" s="693">
        <f>IF(AS46=0,0,(AT46-AS46)/AS46*100)</f>
        <v>0</v>
      </c>
      <c r="AV46" s="114"/>
      <c r="AW46" s="114"/>
      <c r="AX46" s="693">
        <f>IF(AV46=0,0,(AW46-AV46)/AV46*100)</f>
        <v>0</v>
      </c>
      <c r="AY46" s="114"/>
      <c r="AZ46" s="114"/>
      <c r="BA46" s="693">
        <f>IF(AY46=0,0,(AZ46-AY46)/AY46*100)</f>
        <v>0</v>
      </c>
      <c r="BB46" s="114"/>
      <c r="BC46" s="114"/>
      <c r="BD46" s="693">
        <f>IF(BB46=0,0,(BC46-BB46)/BB46*100)</f>
        <v>0</v>
      </c>
      <c r="BE46" s="114"/>
      <c r="BF46" s="114"/>
      <c r="BG46" s="693">
        <f>IF(BE46=0,0,(BF46-BE46)/BE46*100)</f>
        <v>0</v>
      </c>
      <c r="BH46" s="114"/>
      <c r="BI46" s="114"/>
      <c r="BJ46" s="693">
        <f>IF(BH46=0,0,(BI46-BH46)/BH46*100)</f>
        <v>0</v>
      </c>
      <c r="BK46" s="114"/>
      <c r="BL46" s="114"/>
      <c r="BM46" s="693">
        <f>IF(BK46=0,0,(BL46-BK46)/BK46*100)</f>
        <v>0</v>
      </c>
      <c r="BN46" s="114"/>
      <c r="BO46" s="114"/>
      <c r="BP46" s="693">
        <f>IF(BN46=0,0,(BO46-BN46)/BN46*100)</f>
        <v>0</v>
      </c>
      <c r="BQ46" s="114"/>
      <c r="BR46" s="114"/>
      <c r="BS46" s="693">
        <f>IF(BQ46=0,0,(BR46-BQ46)/BQ46*100)</f>
        <v>0</v>
      </c>
      <c r="BT46" s="114"/>
      <c r="BU46" s="114"/>
      <c r="BV46" s="693">
        <f>IF(BT46=0,0,(BU46-BT46)/BT46*100)</f>
        <v>0</v>
      </c>
      <c r="BW46" s="114"/>
      <c r="BX46" s="114"/>
      <c r="BY46" s="693">
        <f>IF(BW46=0,0,(BX46-BW46)/BW46*100)</f>
        <v>0</v>
      </c>
      <c r="BZ46" s="114"/>
      <c r="CA46" s="114"/>
      <c r="CB46" s="693">
        <f>IF(BZ46=0,0,(CA46-BZ46)/BZ46*100)</f>
        <v>0</v>
      </c>
      <c r="CC46" s="114"/>
      <c r="CD46" s="114"/>
      <c r="CE46" s="693">
        <f>IF(CC46=0,0,(CD46-CC46)/CC46*100)</f>
        <v>0</v>
      </c>
      <c r="CF46" s="114"/>
      <c r="CG46" s="114"/>
      <c r="CH46" s="693">
        <f>IF(CF46=0,0,(CG46-CF46)/CF46*100)</f>
        <v>0</v>
      </c>
      <c r="CI46" s="114"/>
      <c r="CJ46" s="114"/>
      <c r="CK46" s="693">
        <f>IF(CI46=0,0,(CJ46-CI46)/CI46*100)</f>
        <v>0</v>
      </c>
      <c r="CL46" s="114"/>
      <c r="CM46" s="114"/>
      <c r="CN46" s="693">
        <f>IF(CL46=0,0,(CM46-CL46)/CL46*100)</f>
        <v>0</v>
      </c>
      <c r="CO46" s="114"/>
      <c r="CP46" s="114"/>
      <c r="CQ46" s="693">
        <f>IF(CO46=0,0,(CP46-CO46)/CO46*100)</f>
        <v>0</v>
      </c>
      <c r="CR46" s="114"/>
      <c r="CS46" s="114"/>
      <c r="CT46" s="693">
        <f>IF(CR46=0,0,(CS46-CR46)/CR46*100)</f>
        <v>0</v>
      </c>
      <c r="CU46" s="114"/>
      <c r="CV46" s="114"/>
      <c r="CW46" s="693">
        <f>IF(CU46=0,0,(CV46-CU46)/CU46*100)</f>
        <v>0</v>
      </c>
      <c r="CX46" s="114"/>
      <c r="CY46" s="114"/>
      <c r="CZ46" s="693">
        <f>IF(CX46=0,0,(CY46-CX46)/CX46*100)</f>
        <v>0</v>
      </c>
      <c r="DA46" s="114"/>
      <c r="DB46" s="114"/>
      <c r="DC46" s="693">
        <f>IF(DA46=0,0,(DB46-DA46)/DA46*100)</f>
        <v>0</v>
      </c>
      <c r="DD46" s="114"/>
      <c r="DE46" s="114"/>
      <c r="DF46" s="693">
        <f>IF(DD46=0,0,(DE46-DD46)/DD46*100)</f>
        <v>0</v>
      </c>
      <c r="DG46" s="114"/>
      <c r="DH46" s="114"/>
      <c r="DI46" s="693">
        <f>IF(DG46=0,0,(DH46-DG46)/DG46*100)</f>
        <v>0</v>
      </c>
      <c r="DJ46" s="114"/>
      <c r="DK46" s="114"/>
      <c r="DL46" s="693">
        <f>IF(DJ46=0,0,(DK46-DJ46)/DJ46*100)</f>
        <v>0</v>
      </c>
      <c r="DM46" s="114"/>
      <c r="DN46" s="114"/>
      <c r="DO46" s="693">
        <f>IF(DM46=0,0,(DN46-DM46)/DM46*100)</f>
        <v>0</v>
      </c>
      <c r="DP46" s="114"/>
      <c r="DQ46" s="114"/>
      <c r="DR46" s="693">
        <f>IF(DP46=0,0,(DQ46-DP46)/DP46*100)</f>
        <v>0</v>
      </c>
      <c r="DS46" s="114"/>
      <c r="DT46" s="114"/>
      <c r="DU46" s="693">
        <f>IF(DS46=0,0,(DT46-DS46)/DS46*100)</f>
        <v>0</v>
      </c>
      <c r="DV46" s="114"/>
      <c r="DW46" s="114"/>
      <c r="DX46" s="693">
        <f>IF(DV46=0,0,(DW46-DV46)/DV46*100)</f>
        <v>0</v>
      </c>
      <c r="DY46" s="114"/>
      <c r="DZ46" s="114"/>
      <c r="EA46" s="693">
        <f>IF(DY46=0,0,(DZ46-DY46)/DY46*100)</f>
        <v>0</v>
      </c>
      <c r="EB46" s="114"/>
      <c r="EC46" s="114"/>
      <c r="ED46" s="693">
        <f>IF(EB46=0,0,(EC46-EB46)/EB46*100)</f>
        <v>0</v>
      </c>
      <c r="EE46" s="114"/>
      <c r="EF46" s="114"/>
      <c r="EG46" s="693">
        <f>IF(EE46=0,0,(EF46-EE46)/EE46*100)</f>
        <v>0</v>
      </c>
      <c r="EH46" s="114"/>
      <c r="EI46" s="114"/>
      <c r="EJ46" s="693">
        <f>IF(EH46=0,0,(EI46-EH46)/EH46*100)</f>
        <v>0</v>
      </c>
      <c r="EK46" s="114"/>
      <c r="EL46" s="114"/>
      <c r="EM46" s="693">
        <f>IF(EK46=0,0,(EL46-EK46)/EK46*100)</f>
        <v>0</v>
      </c>
      <c r="EN46" s="114"/>
      <c r="EO46" s="114"/>
      <c r="EP46" s="693">
        <f>IF(EN46=0,0,(EO46-EN46)/EN46*100)</f>
        <v>0</v>
      </c>
      <c r="EQ46" s="114"/>
      <c r="ER46" s="114"/>
      <c r="ES46" s="693">
        <f>IF(EQ46=0,0,(ER46-EQ46)/EQ46*100)</f>
        <v>0</v>
      </c>
      <c r="ET46" s="114"/>
      <c r="EU46" s="114"/>
      <c r="EV46" s="693">
        <f>IF(ET46=0,0,(EU46-ET46)/ET46*100)</f>
        <v>0</v>
      </c>
      <c r="EW46" s="114"/>
      <c r="EX46" s="114"/>
      <c r="EY46" s="693">
        <f>IF(EW46=0,0,(EX46-EW46)/EW46*100)</f>
        <v>0</v>
      </c>
      <c r="EZ46" s="114"/>
      <c r="FA46" s="114"/>
      <c r="FB46" s="693">
        <f>IF(EZ46=0,0,(FA46-EZ46)/EZ46*100)</f>
        <v>0</v>
      </c>
      <c r="FC46" s="114"/>
      <c r="FD46" s="114"/>
      <c r="FE46" s="693">
        <f>IF(FC46=0,0,(FD46-FC46)/FC46*100)</f>
        <v>0</v>
      </c>
      <c r="FF46" s="114"/>
      <c r="FG46" s="114"/>
      <c r="FH46" s="693">
        <f>IF(FF46=0,0,(FG46-FF46)/FF46*100)</f>
        <v>0</v>
      </c>
      <c r="FI46" s="114"/>
      <c r="FJ46" s="114"/>
      <c r="FK46" s="693">
        <f>IF(FI46=0,0,(FJ46-FI46)/FI46*100)</f>
        <v>0</v>
      </c>
      <c r="FL46" s="114"/>
      <c r="FM46" s="114"/>
      <c r="FN46" s="693">
        <f>IF(FL46=0,0,(FM46-FL46)/FL46*100)</f>
        <v>0</v>
      </c>
      <c r="FO46" s="114"/>
      <c r="FP46" s="114"/>
      <c r="FQ46" s="693">
        <f>IF(FO46=0,0,(FP46-FO46)/FO46*100)</f>
        <v>0</v>
      </c>
      <c r="FR46" s="114"/>
      <c r="FS46" s="114"/>
      <c r="FT46" s="693">
        <f>IF(FR46=0,0,(FS46-FR46)/FR46*100)</f>
        <v>0</v>
      </c>
      <c r="FU46" s="114"/>
      <c r="FV46" s="114"/>
      <c r="FW46" s="693">
        <f>IF(FU46=0,0,(FV46-FU46)/FU46*100)</f>
        <v>0</v>
      </c>
      <c r="FZ46" s="1184" t="s">
        <v>2124</v>
      </c>
      <c r="GA46" s="1184" t="s">
        <v>2130</v>
      </c>
      <c r="GB46" s="1184" cm="1" t="str">
        <f t="array" ref="GB46:GB46">GB45</f>
        <v>0</v>
      </c>
      <c r="GC46" s="1184"/>
      <c r="GD46" s="1184"/>
    </row>
    <row customHeight="1" ht="16.575" hidden="1">
      <c r="B47" s="964" cm="1" t="str">
        <f t="array" ref="B47:B47">OFFSET(A47,-1,1)</f>
        <v>false</v>
      </c>
      <c r="E47" s="797">
        <v>17</v>
      </c>
      <c r="F47" s="922" cm="1" t="str">
        <f t="array" ref="F47:F47">OFFSET(G47,-1,-1)</f>
        <v>0</v>
      </c>
      <c r="H47" s="213" t="str">
        <f>F47&amp;"pIns1"</f>
        <v>0pIns1</v>
      </c>
      <c r="K47" s="1315" cm="1" t="str">
        <f t="array" ref="K47:K47">OFFSET(J47,-1,1)</f>
        <v>0</v>
      </c>
      <c r="Q47" s="1299"/>
      <c r="T47" s="808" cm="1" t="str">
        <f t="array" ref="T47:T47">T44</f>
        <v>false</v>
      </c>
      <c r="W47" s="1186" t="s">
        <v>2132</v>
      </c>
      <c r="AB47" s="900" t="s">
        <v>236</v>
      </c>
      <c r="AC47" s="341"/>
      <c r="AD47" s="576"/>
      <c r="AE47" s="576"/>
      <c r="AF47" s="339"/>
      <c r="AG47" s="576"/>
      <c r="AH47" s="576"/>
      <c r="AI47" s="339"/>
      <c r="AJ47" s="576"/>
      <c r="AK47" s="576"/>
      <c r="AL47" s="339"/>
      <c r="AM47" s="576"/>
      <c r="AN47" s="576"/>
      <c r="AO47" s="339"/>
      <c r="AP47" s="576"/>
      <c r="AQ47" s="576"/>
      <c r="AR47" s="339"/>
      <c r="AS47" s="576"/>
      <c r="AT47" s="576"/>
      <c r="AU47" s="339"/>
      <c r="AV47" s="576"/>
      <c r="AW47" s="576"/>
      <c r="AX47" s="339"/>
      <c r="AY47" s="576"/>
      <c r="AZ47" s="576"/>
      <c r="BA47" s="339"/>
      <c r="BB47" s="576"/>
      <c r="BC47" s="576"/>
      <c r="BD47" s="339"/>
      <c r="BE47" s="576"/>
      <c r="BF47" s="576"/>
      <c r="BG47" s="339"/>
      <c r="BH47" s="576"/>
      <c r="BI47" s="576"/>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39"/>
      <c r="CK47" s="339"/>
      <c r="CL47" s="339"/>
      <c r="CM47" s="339"/>
      <c r="CN47" s="339"/>
      <c r="CO47" s="339"/>
      <c r="CP47" s="339"/>
      <c r="CQ47" s="339"/>
      <c r="CR47" s="339"/>
      <c r="CS47" s="339"/>
      <c r="CT47" s="339"/>
      <c r="CU47" s="339"/>
      <c r="CV47" s="339"/>
      <c r="CW47" s="339"/>
      <c r="CX47" s="339"/>
      <c r="CY47" s="339"/>
      <c r="CZ47" s="339"/>
      <c r="DA47" s="339"/>
      <c r="DB47" s="339"/>
      <c r="DC47" s="339"/>
      <c r="DD47" s="339"/>
      <c r="DE47" s="339"/>
      <c r="DF47" s="339"/>
      <c r="DG47" s="339"/>
      <c r="DH47" s="339"/>
      <c r="DI47" s="339"/>
      <c r="DJ47" s="339"/>
      <c r="DK47" s="339"/>
      <c r="DL47" s="339"/>
      <c r="DM47" s="339"/>
      <c r="DN47" s="339"/>
      <c r="DO47" s="339"/>
      <c r="DP47" s="339"/>
      <c r="DQ47" s="339"/>
      <c r="DR47" s="339"/>
      <c r="DS47" s="339"/>
      <c r="DT47" s="339"/>
      <c r="DU47" s="339"/>
      <c r="DV47" s="339"/>
      <c r="DW47" s="339"/>
      <c r="DX47" s="339"/>
      <c r="DY47" s="339"/>
      <c r="DZ47" s="339"/>
      <c r="EA47" s="339"/>
      <c r="EB47" s="339"/>
      <c r="EC47" s="339"/>
      <c r="ED47" s="339"/>
      <c r="EE47" s="339"/>
      <c r="EF47" s="339"/>
      <c r="EG47" s="339"/>
      <c r="EH47" s="339"/>
      <c r="EI47" s="339"/>
      <c r="EJ47" s="339"/>
      <c r="EK47" s="339"/>
      <c r="EL47" s="339"/>
      <c r="EM47" s="339"/>
      <c r="EN47" s="339"/>
      <c r="EO47" s="339"/>
      <c r="EP47" s="339"/>
      <c r="EQ47" s="339"/>
      <c r="ER47" s="339"/>
      <c r="ES47" s="339"/>
      <c r="ET47" s="339"/>
      <c r="EU47" s="339"/>
      <c r="EV47" s="339"/>
      <c r="EW47" s="339"/>
      <c r="EX47" s="339"/>
      <c r="EY47" s="339"/>
      <c r="EZ47" s="339"/>
      <c r="FA47" s="339"/>
      <c r="FB47" s="339"/>
      <c r="FC47" s="339"/>
      <c r="FD47" s="339"/>
      <c r="FE47" s="339"/>
      <c r="FF47" s="339"/>
      <c r="FG47" s="339"/>
      <c r="FH47" s="339"/>
      <c r="FI47" s="339"/>
      <c r="FJ47" s="339"/>
      <c r="FK47" s="339"/>
      <c r="FL47" s="339"/>
      <c r="FM47" s="339"/>
      <c r="FN47" s="339"/>
      <c r="FO47" s="339"/>
      <c r="FP47" s="339"/>
      <c r="FQ47" s="339"/>
      <c r="FR47" s="339"/>
      <c r="FS47" s="339"/>
      <c r="FT47" s="339"/>
      <c r="FU47" s="339"/>
      <c r="FV47" s="339"/>
      <c r="FW47" s="340"/>
      <c r="GA47" s="1184"/>
      <c r="GB47" s="1184"/>
      <c r="GC47" s="1184" t="s">
        <v>2130</v>
      </c>
      <c r="GD47" s="1184"/>
    </row>
    <row customHeight="1" ht="15.405000000000001" hidden="1">
      <c r="B48" s="964">
        <f>R28="двухставочный"</f>
        <v>0</v>
      </c>
      <c r="E48" s="797">
        <v>15.8</v>
      </c>
      <c r="F48" s="922" cm="1" t="str">
        <f t="array" ref="F48:F48">OFFSET(G48,-1,-1)</f>
        <v>0</v>
      </c>
      <c r="K48" s="1315" cm="1" t="str">
        <f t="array" ref="K48:K48">OFFSET(J48,-1,1)</f>
        <v>0</v>
      </c>
      <c r="Q48" s="1299"/>
      <c r="T48" s="808">
        <f>AND(F48&gt;0,G28="двухставочный")</f>
        <v>0</v>
      </c>
      <c r="AB48" s="748" t="s">
        <v>2133</v>
      </c>
      <c r="AC48" s="360"/>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c r="CX48" s="361"/>
      <c r="CY48" s="361"/>
      <c r="CZ48" s="361"/>
      <c r="DA48" s="361"/>
      <c r="DB48" s="361"/>
      <c r="DC48" s="361"/>
      <c r="DD48" s="361"/>
      <c r="DE48" s="361"/>
      <c r="DF48" s="361"/>
      <c r="DG48" s="361"/>
      <c r="DH48" s="361"/>
      <c r="DI48" s="361"/>
      <c r="DJ48" s="361"/>
      <c r="DK48" s="361"/>
      <c r="DL48" s="361"/>
      <c r="DM48" s="361"/>
      <c r="DN48" s="361"/>
      <c r="DO48" s="361"/>
      <c r="DP48" s="361"/>
      <c r="DQ48" s="361"/>
      <c r="DR48" s="361"/>
      <c r="DS48" s="361"/>
      <c r="DT48" s="361"/>
      <c r="DU48" s="361"/>
      <c r="DV48" s="361"/>
      <c r="DW48" s="361"/>
      <c r="DX48" s="361"/>
      <c r="DY48" s="361"/>
      <c r="DZ48" s="361"/>
      <c r="EA48" s="361"/>
      <c r="EB48" s="361"/>
      <c r="EC48" s="361"/>
      <c r="ED48" s="361"/>
      <c r="EE48" s="361"/>
      <c r="EF48" s="361"/>
      <c r="EG48" s="361"/>
      <c r="EH48" s="361"/>
      <c r="EI48" s="361"/>
      <c r="EJ48" s="361"/>
      <c r="EK48" s="361"/>
      <c r="EL48" s="361"/>
      <c r="EM48" s="361"/>
      <c r="EN48" s="361"/>
      <c r="EO48" s="361"/>
      <c r="EP48" s="361"/>
      <c r="EQ48" s="361"/>
      <c r="ER48" s="361"/>
      <c r="ES48" s="361"/>
      <c r="ET48" s="361"/>
      <c r="EU48" s="361"/>
      <c r="EV48" s="361"/>
      <c r="EW48" s="361"/>
      <c r="EX48" s="361"/>
      <c r="EY48" s="361"/>
      <c r="EZ48" s="361"/>
      <c r="FA48" s="361"/>
      <c r="FB48" s="361"/>
      <c r="FC48" s="361"/>
      <c r="FD48" s="361"/>
      <c r="FE48" s="361"/>
      <c r="FF48" s="361"/>
      <c r="FG48" s="361"/>
      <c r="FH48" s="361"/>
      <c r="FI48" s="361"/>
      <c r="FJ48" s="361"/>
      <c r="FK48" s="361"/>
      <c r="FL48" s="361"/>
      <c r="FM48" s="361"/>
      <c r="FN48" s="361"/>
      <c r="FO48" s="361"/>
      <c r="FP48" s="361"/>
      <c r="FQ48" s="361"/>
      <c r="FR48" s="361"/>
      <c r="FS48" s="361"/>
      <c r="FT48" s="361"/>
      <c r="FU48" s="361"/>
      <c r="FV48" s="361"/>
      <c r="FW48" s="362"/>
      <c r="GA48" s="1184"/>
      <c r="GB48" s="1184"/>
      <c r="GC48" s="1184"/>
      <c r="GD48" s="1184"/>
    </row>
    <row customHeight="1" ht="15.405000000000001" hidden="1">
      <c r="B49" s="964" cm="1" t="str">
        <f t="array" ref="B49:B49">B48</f>
        <v>false</v>
      </c>
      <c r="E49" s="797">
        <v>15.8</v>
      </c>
      <c r="F49" s="922" cm="1" t="str">
        <f t="array" ref="F49:F49">OFFSET(G49,-1,-1)</f>
        <v>0</v>
      </c>
      <c r="K49" s="1315" cm="1" t="str">
        <f t="array" ref="K49:K49">OFFSET(J49,-1,1)</f>
        <v>0</v>
      </c>
      <c r="Q49" s="1299"/>
      <c r="T49" s="808" cm="1" t="str">
        <f t="array" ref="T49:T49">T48</f>
        <v>false</v>
      </c>
      <c r="AB49" s="1354" t="s">
        <v>2134</v>
      </c>
      <c r="AC49" s="370"/>
      <c r="AD49" s="371"/>
      <c r="AE49" s="371"/>
      <c r="AF49" s="371"/>
      <c r="AG49" s="371"/>
      <c r="AH49" s="371"/>
      <c r="AI49" s="371"/>
      <c r="AJ49" s="371"/>
      <c r="AK49" s="371"/>
      <c r="AL49" s="371"/>
      <c r="AM49" s="371"/>
      <c r="AN49" s="371"/>
      <c r="AO49" s="371"/>
      <c r="AP49" s="371"/>
      <c r="AQ49" s="371"/>
      <c r="AR49" s="371"/>
      <c r="AS49" s="371"/>
      <c r="AT49" s="371"/>
      <c r="AU49" s="371"/>
      <c r="AV49" s="371"/>
      <c r="AW49" s="371"/>
      <c r="AX49" s="371"/>
      <c r="AY49" s="371"/>
      <c r="AZ49" s="371"/>
      <c r="BA49" s="371"/>
      <c r="BB49" s="371"/>
      <c r="BC49" s="371"/>
      <c r="BD49" s="371"/>
      <c r="BE49" s="371"/>
      <c r="BF49" s="371"/>
      <c r="BG49" s="371"/>
      <c r="BH49" s="371"/>
      <c r="BI49" s="371"/>
      <c r="BJ49" s="371"/>
      <c r="BK49" s="371"/>
      <c r="BL49" s="371"/>
      <c r="BM49" s="371"/>
      <c r="BN49" s="371"/>
      <c r="BO49" s="371"/>
      <c r="BP49" s="371"/>
      <c r="BQ49" s="371"/>
      <c r="BR49" s="371"/>
      <c r="BS49" s="371"/>
      <c r="BT49" s="371"/>
      <c r="BU49" s="371"/>
      <c r="BV49" s="371"/>
      <c r="BW49" s="371"/>
      <c r="BX49" s="371"/>
      <c r="BY49" s="371"/>
      <c r="BZ49" s="371"/>
      <c r="CA49" s="371"/>
      <c r="CB49" s="371"/>
      <c r="CC49" s="371"/>
      <c r="CD49" s="371"/>
      <c r="CE49" s="371"/>
      <c r="CF49" s="371"/>
      <c r="CG49" s="371"/>
      <c r="CH49" s="371"/>
      <c r="CI49" s="371"/>
      <c r="CJ49" s="371"/>
      <c r="CK49" s="371"/>
      <c r="CL49" s="371"/>
      <c r="CM49" s="371"/>
      <c r="CN49" s="371"/>
      <c r="CO49" s="371"/>
      <c r="CP49" s="371"/>
      <c r="CQ49" s="371"/>
      <c r="CR49" s="371"/>
      <c r="CS49" s="371"/>
      <c r="CT49" s="371"/>
      <c r="CU49" s="371"/>
      <c r="CV49" s="371"/>
      <c r="CW49" s="371"/>
      <c r="CX49" s="371"/>
      <c r="CY49" s="371"/>
      <c r="CZ49" s="371"/>
      <c r="DA49" s="371"/>
      <c r="DB49" s="371"/>
      <c r="DC49" s="371"/>
      <c r="DD49" s="371"/>
      <c r="DE49" s="371"/>
      <c r="DF49" s="371"/>
      <c r="DG49" s="371"/>
      <c r="DH49" s="371"/>
      <c r="DI49" s="371"/>
      <c r="DJ49" s="371"/>
      <c r="DK49" s="371"/>
      <c r="DL49" s="371"/>
      <c r="DM49" s="371"/>
      <c r="DN49" s="371"/>
      <c r="DO49" s="371"/>
      <c r="DP49" s="371"/>
      <c r="DQ49" s="371"/>
      <c r="DR49" s="371"/>
      <c r="DS49" s="371"/>
      <c r="DT49" s="371"/>
      <c r="DU49" s="371"/>
      <c r="DV49" s="371"/>
      <c r="DW49" s="371"/>
      <c r="DX49" s="371"/>
      <c r="DY49" s="371"/>
      <c r="DZ49" s="371"/>
      <c r="EA49" s="371"/>
      <c r="EB49" s="371"/>
      <c r="EC49" s="371"/>
      <c r="ED49" s="371"/>
      <c r="EE49" s="371"/>
      <c r="EF49" s="371"/>
      <c r="EG49" s="371"/>
      <c r="EH49" s="371"/>
      <c r="EI49" s="371"/>
      <c r="EJ49" s="371"/>
      <c r="EK49" s="371"/>
      <c r="EL49" s="371"/>
      <c r="EM49" s="371"/>
      <c r="EN49" s="371"/>
      <c r="EO49" s="371"/>
      <c r="EP49" s="371"/>
      <c r="EQ49" s="371"/>
      <c r="ER49" s="371"/>
      <c r="ES49" s="371"/>
      <c r="ET49" s="371"/>
      <c r="EU49" s="371"/>
      <c r="EV49" s="371"/>
      <c r="EW49" s="371"/>
      <c r="EX49" s="371"/>
      <c r="EY49" s="371"/>
      <c r="EZ49" s="371"/>
      <c r="FA49" s="371"/>
      <c r="FB49" s="371"/>
      <c r="FC49" s="371"/>
      <c r="FD49" s="371"/>
      <c r="FE49" s="371"/>
      <c r="FF49" s="371"/>
      <c r="FG49" s="371"/>
      <c r="FH49" s="371"/>
      <c r="FI49" s="371"/>
      <c r="FJ49" s="371"/>
      <c r="FK49" s="371"/>
      <c r="FL49" s="371"/>
      <c r="FM49" s="371"/>
      <c r="FN49" s="371"/>
      <c r="FO49" s="371"/>
      <c r="FP49" s="371"/>
      <c r="FQ49" s="371"/>
      <c r="FR49" s="371"/>
      <c r="FS49" s="371"/>
      <c r="FT49" s="371"/>
      <c r="FU49" s="371"/>
      <c r="FV49" s="371"/>
      <c r="FW49" s="372"/>
      <c r="GA49" s="1184"/>
      <c r="GB49" s="1184"/>
      <c r="GC49" s="1184"/>
      <c r="GD49" s="1184"/>
    </row>
    <row customHeight="1" ht="15.405000000000001" hidden="1">
      <c r="B50" s="964" cm="1" t="str">
        <f t="array" ref="B50:B50">B49</f>
        <v>false</v>
      </c>
      <c r="C50" s="1325" t="s">
        <v>2135</v>
      </c>
      <c r="D50" s="1294" t="s">
        <v>2136</v>
      </c>
      <c r="E50" s="797">
        <v>15.8</v>
      </c>
      <c r="F50" s="922" cm="1" t="str">
        <f t="array" ref="F50:F50">OFFSET(G50,-1,-1)</f>
        <v>0</v>
      </c>
      <c r="G50" s="739" t="s">
        <v>1731</v>
      </c>
      <c r="H50" s="213" t="s">
        <v>2137</v>
      </c>
      <c r="I50" s="213" t="s">
        <v>2090</v>
      </c>
      <c r="J50" s="1315"/>
      <c r="K50" s="1315" cm="1" t="str">
        <f t="array" ref="K50:K50">OFFSET(J50,-1,1)</f>
        <v>0</v>
      </c>
      <c r="L50" s="1315"/>
      <c r="M50" s="1315" t="s">
        <v>1726</v>
      </c>
      <c r="N50" s="1315" t="s">
        <v>2093</v>
      </c>
      <c r="O50" s="1316" t="s">
        <v>2094</v>
      </c>
      <c r="P50" s="1315" t="s">
        <v>2138</v>
      </c>
      <c r="Q50" s="1315"/>
      <c r="T50" s="808" cm="1" t="str">
        <f t="array" ref="T50:T50">T49</f>
        <v>false</v>
      </c>
      <c r="AB50" s="276" t="s">
        <v>2139</v>
      </c>
      <c r="AC50" s="172" t="s">
        <v>900</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8">
        <f>IF(AD50=0,0,(AE50-AD50)/AD50*100)</f>
        <v>0</v>
      </c>
      <c r="AG50" s="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8">
        <f>IF(AG50=0,0,(AH50-AG50)/AG50*100)</f>
        <v>0</v>
      </c>
      <c r="AJ50" s="67">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7">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8">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8">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8">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8">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8">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8">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8">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8">
        <f>IF(BE50=0,0,(BF50-BE50)/BE50*100)</f>
        <v>0</v>
      </c>
      <c r="BH50" s="67">
        <f>IF(BH52=0,0,(BH51*BH52+BH53*BH54*6)/BH52)</f>
        <v>0</v>
      </c>
      <c r="BI50" s="67">
        <f>IF(BI52=0,0,(BI51*BI52+BI53*BI54*6)/BI52)</f>
        <v>0</v>
      </c>
      <c r="BJ50" s="368">
        <f>IF(BH50=0,0,(BI50-BH50)/BH50*100)</f>
        <v>0</v>
      </c>
      <c r="BK50" s="67">
        <f>IF(BK52=0,0,(BK51*BK52+BK53*BK54*6)/BK52)</f>
        <v>0</v>
      </c>
      <c r="BL50" s="67">
        <f>IF(BL52=0,0,(BL51*BL52+BL53*BL54*6)/BL52)</f>
        <v>0</v>
      </c>
      <c r="BM50" s="368">
        <f>IF(BK50=0,0,(BL50-BK50)/BK50*100)</f>
        <v>0</v>
      </c>
      <c r="BN50" s="67">
        <f>IF(BN52=0,0,(BN51*BN52+BN53*BN54*6)/BN52)</f>
        <v>0</v>
      </c>
      <c r="BO50" s="67">
        <f>IF(BO52=0,0,(BO51*BO52+BO53*BO54*6)/BO52)</f>
        <v>0</v>
      </c>
      <c r="BP50" s="368">
        <f>IF(BN50=0,0,(BO50-BN50)/BN50*100)</f>
        <v>0</v>
      </c>
      <c r="BQ50" s="67">
        <f>IF(BQ52=0,0,(BQ51*BQ52+BQ53*BQ54*6)/BQ52)</f>
        <v>0</v>
      </c>
      <c r="BR50" s="67">
        <f>IF(BR52=0,0,(BR51*BR52+BR53*BR54*6)/BR52)</f>
        <v>0</v>
      </c>
      <c r="BS50" s="368">
        <f>IF(BQ50=0,0,(BR50-BQ50)/BQ50*100)</f>
        <v>0</v>
      </c>
      <c r="BT50" s="67">
        <f>IF(BT52=0,0,(BT51*BT52+BT53*BT54*6)/BT52)</f>
        <v>0</v>
      </c>
      <c r="BU50" s="67">
        <f>IF(BU52=0,0,(BU51*BU52+BU53*BU54*6)/BU52)</f>
        <v>0</v>
      </c>
      <c r="BV50" s="368">
        <f>IF(BT50=0,0,(BU50-BT50)/BT50*100)</f>
        <v>0</v>
      </c>
      <c r="BW50" s="67">
        <f>IF(BW52=0,0,(BW51*BW52+BW53*BW54*6)/BW52)</f>
        <v>0</v>
      </c>
      <c r="BX50" s="67">
        <f>IF(BX52=0,0,(BX51*BX52+BX53*BX54*6)/BX52)</f>
        <v>0</v>
      </c>
      <c r="BY50" s="368">
        <f>IF(BW50=0,0,(BX50-BW50)/BW50*100)</f>
        <v>0</v>
      </c>
      <c r="BZ50" s="67">
        <f>IF(BZ52=0,0,(BZ51*BZ52+BZ53*BZ54*6)/BZ52)</f>
        <v>0</v>
      </c>
      <c r="CA50" s="67">
        <f>IF(CA52=0,0,(CA51*CA52+CA53*CA54*6)/CA52)</f>
        <v>0</v>
      </c>
      <c r="CB50" s="368">
        <f>IF(BZ50=0,0,(CA50-BZ50)/BZ50*100)</f>
        <v>0</v>
      </c>
      <c r="CC50" s="67">
        <f>IF(CC52=0,0,(CC51*CC52+CC53*CC54*6)/CC52)</f>
        <v>0</v>
      </c>
      <c r="CD50" s="67">
        <f>IF(CD52=0,0,(CD51*CD52+CD53*CD54*6)/CD52)</f>
        <v>0</v>
      </c>
      <c r="CE50" s="368">
        <f>IF(CC50=0,0,(CD50-CC50)/CC50*100)</f>
        <v>0</v>
      </c>
      <c r="CF50" s="67">
        <f>IF(CF52=0,0,(CF51*CF52+CF53*CF54*6)/CF52)</f>
        <v>0</v>
      </c>
      <c r="CG50" s="67">
        <f>IF(CG52=0,0,(CG51*CG52+CG53*CG54*6)/CG52)</f>
        <v>0</v>
      </c>
      <c r="CH50" s="368">
        <f>IF(CF50=0,0,(CG50-CF50)/CF50*100)</f>
        <v>0</v>
      </c>
      <c r="CI50" s="67">
        <f>IF(CI52=0,0,(CI51*CI52+CI53*CI54*6)/CI52)</f>
        <v>0</v>
      </c>
      <c r="CJ50" s="67">
        <f>IF(CJ52=0,0,(CJ51*CJ52+CJ53*CJ54*6)/CJ52)</f>
        <v>0</v>
      </c>
      <c r="CK50" s="368">
        <f>IF(CI50=0,0,(CJ50-CI50)/CI50*100)</f>
        <v>0</v>
      </c>
      <c r="CL50" s="67">
        <f>IF(CL52=0,0,(CL51*CL52+CL53*CL54*6)/CL52)</f>
        <v>0</v>
      </c>
      <c r="CM50" s="67">
        <f>IF(CM52=0,0,(CM51*CM52+CM53*CM54*6)/CM52)</f>
        <v>0</v>
      </c>
      <c r="CN50" s="368">
        <f>IF(CL50=0,0,(CM50-CL50)/CL50*100)</f>
        <v>0</v>
      </c>
      <c r="CO50" s="67">
        <f>IF(CO52=0,0,(CO51*CO52+CO53*CO54*6)/CO52)</f>
        <v>0</v>
      </c>
      <c r="CP50" s="67">
        <f>IF(CP52=0,0,(CP51*CP52+CP53*CP54*6)/CP52)</f>
        <v>0</v>
      </c>
      <c r="CQ50" s="368">
        <f>IF(CO50=0,0,(CP50-CO50)/CO50*100)</f>
        <v>0</v>
      </c>
      <c r="CR50" s="67">
        <f>IF(CR52=0,0,(CR51*CR52+CR53*CR54*6)/CR52)</f>
        <v>0</v>
      </c>
      <c r="CS50" s="67">
        <f>IF(CS52=0,0,(CS51*CS52+CS53*CS54*6)/CS52)</f>
        <v>0</v>
      </c>
      <c r="CT50" s="368">
        <f>IF(CR50=0,0,(CS50-CR50)/CR50*100)</f>
        <v>0</v>
      </c>
      <c r="CU50" s="67">
        <f>IF(CU52=0,0,(CU51*CU52+CU53*CU54*6)/CU52)</f>
        <v>0</v>
      </c>
      <c r="CV50" s="67">
        <f>IF(CV52=0,0,(CV51*CV52+CV53*CV54*6)/CV52)</f>
        <v>0</v>
      </c>
      <c r="CW50" s="368">
        <f>IF(CU50=0,0,(CV50-CU50)/CU50*100)</f>
        <v>0</v>
      </c>
      <c r="CX50" s="67">
        <f>IF(CX52=0,0,(CX51*CX52+CX53*CX54*6)/CX52)</f>
        <v>0</v>
      </c>
      <c r="CY50" s="67">
        <f>IF(CY52=0,0,(CY51*CY52+CY53*CY54*6)/CY52)</f>
        <v>0</v>
      </c>
      <c r="CZ50" s="368">
        <f>IF(CX50=0,0,(CY50-CX50)/CX50*100)</f>
        <v>0</v>
      </c>
      <c r="DA50" s="67">
        <f>IF(DA52=0,0,(DA51*DA52+DA53*DA54*6)/DA52)</f>
        <v>0</v>
      </c>
      <c r="DB50" s="67">
        <f>IF(DB52=0,0,(DB51*DB52+DB53*DB54*6)/DB52)</f>
        <v>0</v>
      </c>
      <c r="DC50" s="368">
        <f>IF(DA50=0,0,(DB50-DA50)/DA50*100)</f>
        <v>0</v>
      </c>
      <c r="DD50" s="67">
        <f>IF(DD52=0,0,(DD51*DD52+DD53*DD54*6)/DD52)</f>
        <v>0</v>
      </c>
      <c r="DE50" s="67">
        <f>IF(DE52=0,0,(DE51*DE52+DE53*DE54*6)/DE52)</f>
        <v>0</v>
      </c>
      <c r="DF50" s="368">
        <f>IF(DD50=0,0,(DE50-DD50)/DD50*100)</f>
        <v>0</v>
      </c>
      <c r="DG50" s="67">
        <f>IF(DG52=0,0,(DG51*DG52+DG53*DG54*6)/DG52)</f>
        <v>0</v>
      </c>
      <c r="DH50" s="67">
        <f>IF(DH52=0,0,(DH51*DH52+DH53*DH54*6)/DH52)</f>
        <v>0</v>
      </c>
      <c r="DI50" s="368">
        <f>IF(DG50=0,0,(DH50-DG50)/DG50*100)</f>
        <v>0</v>
      </c>
      <c r="DJ50" s="67">
        <f>IF(DJ52=0,0,(DJ51*DJ52+DJ53*DJ54*6)/DJ52)</f>
        <v>0</v>
      </c>
      <c r="DK50" s="67">
        <f>IF(DK52=0,0,(DK51*DK52+DK53*DK54*6)/DK52)</f>
        <v>0</v>
      </c>
      <c r="DL50" s="368">
        <f>IF(DJ50=0,0,(DK50-DJ50)/DJ50*100)</f>
        <v>0</v>
      </c>
      <c r="DM50" s="67">
        <f>IF(DM52=0,0,(DM51*DM52+DM53*DM54*6)/DM52)</f>
        <v>0</v>
      </c>
      <c r="DN50" s="67">
        <f>IF(DN52=0,0,(DN51*DN52+DN53*DN54*6)/DN52)</f>
        <v>0</v>
      </c>
      <c r="DO50" s="368">
        <f>IF(DM50=0,0,(DN50-DM50)/DM50*100)</f>
        <v>0</v>
      </c>
      <c r="DP50" s="67">
        <f>IF(DP52=0,0,(DP51*DP52+DP53*DP54*6)/DP52)</f>
        <v>0</v>
      </c>
      <c r="DQ50" s="67">
        <f>IF(DQ52=0,0,(DQ51*DQ52+DQ53*DQ54*6)/DQ52)</f>
        <v>0</v>
      </c>
      <c r="DR50" s="368">
        <f>IF(DP50=0,0,(DQ50-DP50)/DP50*100)</f>
        <v>0</v>
      </c>
      <c r="DS50" s="67">
        <f>IF(DS52=0,0,(DS51*DS52+DS53*DS54*6)/DS52)</f>
        <v>0</v>
      </c>
      <c r="DT50" s="67">
        <f>IF(DT52=0,0,(DT51*DT52+DT53*DT54*6)/DT52)</f>
        <v>0</v>
      </c>
      <c r="DU50" s="368">
        <f>IF(DS50=0,0,(DT50-DS50)/DS50*100)</f>
        <v>0</v>
      </c>
      <c r="DV50" s="67">
        <f>IF(DV52=0,0,(DV51*DV52+DV53*DV54*6)/DV52)</f>
        <v>0</v>
      </c>
      <c r="DW50" s="67">
        <f>IF(DW52=0,0,(DW51*DW52+DW53*DW54*6)/DW52)</f>
        <v>0</v>
      </c>
      <c r="DX50" s="368">
        <f>IF(DV50=0,0,(DW50-DV50)/DV50*100)</f>
        <v>0</v>
      </c>
      <c r="DY50" s="67">
        <f>IF(DY52=0,0,(DY51*DY52+DY53*DY54*6)/DY52)</f>
        <v>0</v>
      </c>
      <c r="DZ50" s="67">
        <f>IF(DZ52=0,0,(DZ51*DZ52+DZ53*DZ54*6)/DZ52)</f>
        <v>0</v>
      </c>
      <c r="EA50" s="368">
        <f>IF(DY50=0,0,(DZ50-DY50)/DY50*100)</f>
        <v>0</v>
      </c>
      <c r="EB50" s="67">
        <f>IF(EB52=0,0,(EB51*EB52+EB53*EB54*6)/EB52)</f>
        <v>0</v>
      </c>
      <c r="EC50" s="67">
        <f>IF(EC52=0,0,(EC51*EC52+EC53*EC54*6)/EC52)</f>
        <v>0</v>
      </c>
      <c r="ED50" s="368">
        <f>IF(EB50=0,0,(EC50-EB50)/EB50*100)</f>
        <v>0</v>
      </c>
      <c r="EE50" s="67">
        <f>IF(EE52=0,0,(EE51*EE52+EE53*EE54*6)/EE52)</f>
        <v>0</v>
      </c>
      <c r="EF50" s="67">
        <f>IF(EF52=0,0,(EF51*EF52+EF53*EF54*6)/EF52)</f>
        <v>0</v>
      </c>
      <c r="EG50" s="368">
        <f>IF(EE50=0,0,(EF50-EE50)/EE50*100)</f>
        <v>0</v>
      </c>
      <c r="EH50" s="67">
        <f>IF(EH52=0,0,(EH51*EH52+EH53*EH54*6)/EH52)</f>
        <v>0</v>
      </c>
      <c r="EI50" s="67">
        <f>IF(EI52=0,0,(EI51*EI52+EI53*EI54*6)/EI52)</f>
        <v>0</v>
      </c>
      <c r="EJ50" s="368">
        <f>IF(EH50=0,0,(EI50-EH50)/EH50*100)</f>
        <v>0</v>
      </c>
      <c r="EK50" s="67">
        <f>IF(EK52=0,0,(EK51*EK52+EK53*EK54*6)/EK52)</f>
        <v>0</v>
      </c>
      <c r="EL50" s="67">
        <f>IF(EL52=0,0,(EL51*EL52+EL53*EL54*6)/EL52)</f>
        <v>0</v>
      </c>
      <c r="EM50" s="368">
        <f>IF(EK50=0,0,(EL50-EK50)/EK50*100)</f>
        <v>0</v>
      </c>
      <c r="EN50" s="67">
        <f>IF(EN52=0,0,(EN51*EN52+EN53*EN54*6)/EN52)</f>
        <v>0</v>
      </c>
      <c r="EO50" s="67">
        <f>IF(EO52=0,0,(EO51*EO52+EO53*EO54*6)/EO52)</f>
        <v>0</v>
      </c>
      <c r="EP50" s="368">
        <f>IF(EN50=0,0,(EO50-EN50)/EN50*100)</f>
        <v>0</v>
      </c>
      <c r="EQ50" s="67">
        <f>IF(EQ52=0,0,(EQ51*EQ52+EQ53*EQ54*6)/EQ52)</f>
        <v>0</v>
      </c>
      <c r="ER50" s="67">
        <f>IF(ER52=0,0,(ER51*ER52+ER53*ER54*6)/ER52)</f>
        <v>0</v>
      </c>
      <c r="ES50" s="368">
        <f>IF(EQ50=0,0,(ER50-EQ50)/EQ50*100)</f>
        <v>0</v>
      </c>
      <c r="ET50" s="67">
        <f>IF(ET52=0,0,(ET51*ET52+ET53*ET54*6)/ET52)</f>
        <v>0</v>
      </c>
      <c r="EU50" s="67">
        <f>IF(EU52=0,0,(EU51*EU52+EU53*EU54*6)/EU52)</f>
        <v>0</v>
      </c>
      <c r="EV50" s="368">
        <f>IF(ET50=0,0,(EU50-ET50)/ET50*100)</f>
        <v>0</v>
      </c>
      <c r="EW50" s="67">
        <f>IF(EW52=0,0,(EW51*EW52+EW53*EW54*6)/EW52)</f>
        <v>0</v>
      </c>
      <c r="EX50" s="67">
        <f>IF(EX52=0,0,(EX51*EX52+EX53*EX54*6)/EX52)</f>
        <v>0</v>
      </c>
      <c r="EY50" s="368">
        <f>IF(EW50=0,0,(EX50-EW50)/EW50*100)</f>
        <v>0</v>
      </c>
      <c r="EZ50" s="67">
        <f>IF(EZ52=0,0,(EZ51*EZ52+EZ53*EZ54*6)/EZ52)</f>
        <v>0</v>
      </c>
      <c r="FA50" s="67">
        <f>IF(FA52=0,0,(FA51*FA52+FA53*FA54*6)/FA52)</f>
        <v>0</v>
      </c>
      <c r="FB50" s="368">
        <f>IF(EZ50=0,0,(FA50-EZ50)/EZ50*100)</f>
        <v>0</v>
      </c>
      <c r="FC50" s="67">
        <f>IF(FC52=0,0,(FC51*FC52+FC53*FC54*6)/FC52)</f>
        <v>0</v>
      </c>
      <c r="FD50" s="67">
        <f>IF(FD52=0,0,(FD51*FD52+FD53*FD54*6)/FD52)</f>
        <v>0</v>
      </c>
      <c r="FE50" s="368">
        <f>IF(FC50=0,0,(FD50-FC50)/FC50*100)</f>
        <v>0</v>
      </c>
      <c r="FF50" s="67">
        <f>IF(FF52=0,0,(FF51*FF52+FF53*FF54*6)/FF52)</f>
        <v>0</v>
      </c>
      <c r="FG50" s="67">
        <f>IF(FG52=0,0,(FG51*FG52+FG53*FG54*6)/FG52)</f>
        <v>0</v>
      </c>
      <c r="FH50" s="368">
        <f>IF(FF50=0,0,(FG50-FF50)/FF50*100)</f>
        <v>0</v>
      </c>
      <c r="FI50" s="67">
        <f>IF(FI52=0,0,(FI51*FI52+FI53*FI54*6)/FI52)</f>
        <v>0</v>
      </c>
      <c r="FJ50" s="67">
        <f>IF(FJ52=0,0,(FJ51*FJ52+FJ53*FJ54*6)/FJ52)</f>
        <v>0</v>
      </c>
      <c r="FK50" s="368">
        <f>IF(FI50=0,0,(FJ50-FI50)/FI50*100)</f>
        <v>0</v>
      </c>
      <c r="FL50" s="67">
        <f>IF(FL52=0,0,(FL51*FL52+FL53*FL54*6)/FL52)</f>
        <v>0</v>
      </c>
      <c r="FM50" s="67">
        <f>IF(FM52=0,0,(FM51*FM52+FM53*FM54*6)/FM52)</f>
        <v>0</v>
      </c>
      <c r="FN50" s="368">
        <f>IF(FL50=0,0,(FM50-FL50)/FL50*100)</f>
        <v>0</v>
      </c>
      <c r="FO50" s="67">
        <f>IF(FO52=0,0,(FO51*FO52+FO53*FO54*6)/FO52)</f>
        <v>0</v>
      </c>
      <c r="FP50" s="67">
        <f>IF(FP52=0,0,(FP51*FP52+FP53*FP54*6)/FP52)</f>
        <v>0</v>
      </c>
      <c r="FQ50" s="368">
        <f>IF(FO50=0,0,(FP50-FO50)/FO50*100)</f>
        <v>0</v>
      </c>
      <c r="FR50" s="67">
        <f>IF(FR52=0,0,(FR51*FR52+FR53*FR54*6)/FR52)</f>
        <v>0</v>
      </c>
      <c r="FS50" s="67">
        <f>IF(FS52=0,0,(FS51*FS52+FS53*FS54*6)/FS52)</f>
        <v>0</v>
      </c>
      <c r="FT50" s="368">
        <f>IF(FR50=0,0,(FS50-FR50)/FR50*100)</f>
        <v>0</v>
      </c>
      <c r="FU50" s="67">
        <f>IF(FU52=0,0,(FU51*FU52+FU53*FU54*6)/FU52)</f>
        <v>0</v>
      </c>
      <c r="FV50" s="67">
        <f>IF(FV52=0,0,(FV51*FV52+FV53*FV54*6)/FV52)</f>
        <v>0</v>
      </c>
      <c r="FW50" s="368">
        <f>IF(FU50=0,0,(FV50-FU50)/FU50*100)</f>
        <v>0</v>
      </c>
      <c r="FZ50" s="1184" t="s">
        <v>2140</v>
      </c>
      <c r="GA50" s="1184"/>
      <c r="GB50" s="1184"/>
      <c r="GC50" s="1184"/>
      <c r="GD50" s="1184"/>
    </row>
    <row customHeight="1" ht="15.405000000000001" hidden="1">
      <c r="B51" s="964" cm="1" t="str">
        <f t="array" ref="B51:B51">B50</f>
        <v>false</v>
      </c>
      <c r="C51" s="1325" t="s">
        <v>2141</v>
      </c>
      <c r="D51" s="1294" t="s">
        <v>2142</v>
      </c>
      <c r="E51" s="797">
        <v>15.8</v>
      </c>
      <c r="F51" s="922" cm="1" t="str">
        <f t="array" ref="F51:F51">OFFSET(G51,-1,-1)</f>
        <v>0</v>
      </c>
      <c r="G51" s="739" t="s">
        <v>1764</v>
      </c>
      <c r="H51" s="213" t="s">
        <v>2143</v>
      </c>
      <c r="I51" s="213" t="s">
        <v>2090</v>
      </c>
      <c r="J51" s="1315"/>
      <c r="K51" s="1315" cm="1" t="str">
        <f t="array" ref="K51:K51">OFFSET(J51,-1,1)</f>
        <v>0</v>
      </c>
      <c r="L51" s="1315"/>
      <c r="M51" s="1315" t="s">
        <v>1726</v>
      </c>
      <c r="N51" s="1315" t="s">
        <v>2093</v>
      </c>
      <c r="O51" s="1316" t="s">
        <v>2094</v>
      </c>
      <c r="P51" s="1315" t="s">
        <v>2144</v>
      </c>
      <c r="Q51" s="1315"/>
      <c r="T51" s="808" cm="1" t="str">
        <f t="array" ref="T51:T51">T50</f>
        <v>false</v>
      </c>
      <c r="AB51" s="276" t="s">
        <v>2145</v>
      </c>
      <c r="AC51" s="172" t="s">
        <v>900</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8">
        <f>IF(AD51=0,0,(AE51-AD51)/AD51*100)</f>
        <v>0</v>
      </c>
      <c r="AG51" s="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8">
        <f>IF(AG51=0,0,(AH51-AG51)/AG51*100)</f>
        <v>0</v>
      </c>
      <c r="AJ51" s="67">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7">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8">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8">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8">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8">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8">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8">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8">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8">
        <f>IF(BE51=0,0,(BF51-BE51)/BE51*100)</f>
        <v>0</v>
      </c>
      <c r="BH51" s="67"/>
      <c r="BI51" s="67"/>
      <c r="BJ51" s="368">
        <f>IF(BH51=0,0,(BI51-BH51)/BH51*100)</f>
        <v>0</v>
      </c>
      <c r="BK51" s="67"/>
      <c r="BL51" s="67"/>
      <c r="BM51" s="368">
        <f>IF(BK51=0,0,(BL51-BK51)/BK51*100)</f>
        <v>0</v>
      </c>
      <c r="BN51" s="67"/>
      <c r="BO51" s="67"/>
      <c r="BP51" s="368">
        <f>IF(BN51=0,0,(BO51-BN51)/BN51*100)</f>
        <v>0</v>
      </c>
      <c r="BQ51" s="67"/>
      <c r="BR51" s="67"/>
      <c r="BS51" s="368">
        <f>IF(BQ51=0,0,(BR51-BQ51)/BQ51*100)</f>
        <v>0</v>
      </c>
      <c r="BT51" s="67"/>
      <c r="BU51" s="67"/>
      <c r="BV51" s="368">
        <f>IF(BT51=0,0,(BU51-BT51)/BT51*100)</f>
        <v>0</v>
      </c>
      <c r="BW51" s="67"/>
      <c r="BX51" s="67"/>
      <c r="BY51" s="368">
        <f>IF(BW51=0,0,(BX51-BW51)/BW51*100)</f>
        <v>0</v>
      </c>
      <c r="BZ51" s="67"/>
      <c r="CA51" s="67"/>
      <c r="CB51" s="368">
        <f>IF(BZ51=0,0,(CA51-BZ51)/BZ51*100)</f>
        <v>0</v>
      </c>
      <c r="CC51" s="67"/>
      <c r="CD51" s="67"/>
      <c r="CE51" s="368">
        <f>IF(CC51=0,0,(CD51-CC51)/CC51*100)</f>
        <v>0</v>
      </c>
      <c r="CF51" s="67"/>
      <c r="CG51" s="67"/>
      <c r="CH51" s="368">
        <f>IF(CF51=0,0,(CG51-CF51)/CF51*100)</f>
        <v>0</v>
      </c>
      <c r="CI51" s="67"/>
      <c r="CJ51" s="67"/>
      <c r="CK51" s="368">
        <f>IF(CI51=0,0,(CJ51-CI51)/CI51*100)</f>
        <v>0</v>
      </c>
      <c r="CL51" s="67"/>
      <c r="CM51" s="67"/>
      <c r="CN51" s="368">
        <f>IF(CL51=0,0,(CM51-CL51)/CL51*100)</f>
        <v>0</v>
      </c>
      <c r="CO51" s="67"/>
      <c r="CP51" s="67"/>
      <c r="CQ51" s="368">
        <f>IF(CO51=0,0,(CP51-CO51)/CO51*100)</f>
        <v>0</v>
      </c>
      <c r="CR51" s="67"/>
      <c r="CS51" s="67"/>
      <c r="CT51" s="368">
        <f>IF(CR51=0,0,(CS51-CR51)/CR51*100)</f>
        <v>0</v>
      </c>
      <c r="CU51" s="67"/>
      <c r="CV51" s="67"/>
      <c r="CW51" s="368">
        <f>IF(CU51=0,0,(CV51-CU51)/CU51*100)</f>
        <v>0</v>
      </c>
      <c r="CX51" s="67"/>
      <c r="CY51" s="67"/>
      <c r="CZ51" s="368">
        <f>IF(CX51=0,0,(CY51-CX51)/CX51*100)</f>
        <v>0</v>
      </c>
      <c r="DA51" s="67"/>
      <c r="DB51" s="67"/>
      <c r="DC51" s="368">
        <f>IF(DA51=0,0,(DB51-DA51)/DA51*100)</f>
        <v>0</v>
      </c>
      <c r="DD51" s="67"/>
      <c r="DE51" s="67"/>
      <c r="DF51" s="368">
        <f>IF(DD51=0,0,(DE51-DD51)/DD51*100)</f>
        <v>0</v>
      </c>
      <c r="DG51" s="67"/>
      <c r="DH51" s="67"/>
      <c r="DI51" s="368">
        <f>IF(DG51=0,0,(DH51-DG51)/DG51*100)</f>
        <v>0</v>
      </c>
      <c r="DJ51" s="67"/>
      <c r="DK51" s="67"/>
      <c r="DL51" s="368">
        <f>IF(DJ51=0,0,(DK51-DJ51)/DJ51*100)</f>
        <v>0</v>
      </c>
      <c r="DM51" s="67"/>
      <c r="DN51" s="67"/>
      <c r="DO51" s="368">
        <f>IF(DM51=0,0,(DN51-DM51)/DM51*100)</f>
        <v>0</v>
      </c>
      <c r="DP51" s="67"/>
      <c r="DQ51" s="67"/>
      <c r="DR51" s="368">
        <f>IF(DP51=0,0,(DQ51-DP51)/DP51*100)</f>
        <v>0</v>
      </c>
      <c r="DS51" s="67"/>
      <c r="DT51" s="67"/>
      <c r="DU51" s="368">
        <f>IF(DS51=0,0,(DT51-DS51)/DS51*100)</f>
        <v>0</v>
      </c>
      <c r="DV51" s="67"/>
      <c r="DW51" s="67"/>
      <c r="DX51" s="368">
        <f>IF(DV51=0,0,(DW51-DV51)/DV51*100)</f>
        <v>0</v>
      </c>
      <c r="DY51" s="67"/>
      <c r="DZ51" s="67"/>
      <c r="EA51" s="368">
        <f>IF(DY51=0,0,(DZ51-DY51)/DY51*100)</f>
        <v>0</v>
      </c>
      <c r="EB51" s="67"/>
      <c r="EC51" s="67"/>
      <c r="ED51" s="368">
        <f>IF(EB51=0,0,(EC51-EB51)/EB51*100)</f>
        <v>0</v>
      </c>
      <c r="EE51" s="67"/>
      <c r="EF51" s="67"/>
      <c r="EG51" s="368">
        <f>IF(EE51=0,0,(EF51-EE51)/EE51*100)</f>
        <v>0</v>
      </c>
      <c r="EH51" s="67"/>
      <c r="EI51" s="67"/>
      <c r="EJ51" s="368">
        <f>IF(EH51=0,0,(EI51-EH51)/EH51*100)</f>
        <v>0</v>
      </c>
      <c r="EK51" s="67"/>
      <c r="EL51" s="67"/>
      <c r="EM51" s="368">
        <f>IF(EK51=0,0,(EL51-EK51)/EK51*100)</f>
        <v>0</v>
      </c>
      <c r="EN51" s="67"/>
      <c r="EO51" s="67"/>
      <c r="EP51" s="368">
        <f>IF(EN51=0,0,(EO51-EN51)/EN51*100)</f>
        <v>0</v>
      </c>
      <c r="EQ51" s="67"/>
      <c r="ER51" s="67"/>
      <c r="ES51" s="368">
        <f>IF(EQ51=0,0,(ER51-EQ51)/EQ51*100)</f>
        <v>0</v>
      </c>
      <c r="ET51" s="67"/>
      <c r="EU51" s="67"/>
      <c r="EV51" s="368">
        <f>IF(ET51=0,0,(EU51-ET51)/ET51*100)</f>
        <v>0</v>
      </c>
      <c r="EW51" s="67"/>
      <c r="EX51" s="67"/>
      <c r="EY51" s="368">
        <f>IF(EW51=0,0,(EX51-EW51)/EW51*100)</f>
        <v>0</v>
      </c>
      <c r="EZ51" s="67"/>
      <c r="FA51" s="67"/>
      <c r="FB51" s="368">
        <f>IF(EZ51=0,0,(FA51-EZ51)/EZ51*100)</f>
        <v>0</v>
      </c>
      <c r="FC51" s="67"/>
      <c r="FD51" s="67"/>
      <c r="FE51" s="368">
        <f>IF(FC51=0,0,(FD51-FC51)/FC51*100)</f>
        <v>0</v>
      </c>
      <c r="FF51" s="67"/>
      <c r="FG51" s="67"/>
      <c r="FH51" s="368">
        <f>IF(FF51=0,0,(FG51-FF51)/FF51*100)</f>
        <v>0</v>
      </c>
      <c r="FI51" s="67"/>
      <c r="FJ51" s="67"/>
      <c r="FK51" s="368">
        <f>IF(FI51=0,0,(FJ51-FI51)/FI51*100)</f>
        <v>0</v>
      </c>
      <c r="FL51" s="67"/>
      <c r="FM51" s="67"/>
      <c r="FN51" s="368">
        <f>IF(FL51=0,0,(FM51-FL51)/FL51*100)</f>
        <v>0</v>
      </c>
      <c r="FO51" s="67"/>
      <c r="FP51" s="67"/>
      <c r="FQ51" s="368">
        <f>IF(FO51=0,0,(FP51-FO51)/FO51*100)</f>
        <v>0</v>
      </c>
      <c r="FR51" s="67"/>
      <c r="FS51" s="67"/>
      <c r="FT51" s="368">
        <f>IF(FR51=0,0,(FS51-FR51)/FR51*100)</f>
        <v>0</v>
      </c>
      <c r="FU51" s="67"/>
      <c r="FV51" s="67"/>
      <c r="FW51" s="368">
        <f>IF(FU51=0,0,(FV51-FU51)/FU51*100)</f>
        <v>0</v>
      </c>
      <c r="FZ51" s="1184" t="s">
        <v>2146</v>
      </c>
      <c r="GA51" s="1184"/>
      <c r="GB51" s="1184"/>
      <c r="GC51" s="1184"/>
      <c r="GD51" s="1184"/>
    </row>
    <row customHeight="1" ht="15.405000000000001" hidden="1">
      <c r="B52" s="964" cm="1" t="str">
        <f t="array" ref="B52:B52">B51</f>
        <v>false</v>
      </c>
      <c r="C52" s="1325" t="s">
        <v>1723</v>
      </c>
      <c r="D52" s="1294" t="s">
        <v>1724</v>
      </c>
      <c r="E52" s="797">
        <v>15.8</v>
      </c>
      <c r="F52" s="922" cm="1" t="str">
        <f t="array" ref="F52:F52">OFFSET(G52,-1,-1)</f>
        <v>0</v>
      </c>
      <c r="G52" s="193" t="s">
        <v>1725</v>
      </c>
      <c r="H52" s="213" t="s">
        <v>2147</v>
      </c>
      <c r="I52" s="213" t="s">
        <v>2090</v>
      </c>
      <c r="J52" s="1315"/>
      <c r="K52" s="1315" cm="1" t="str">
        <f t="array" ref="K52:K52">OFFSET(J52,-1,1)</f>
        <v>0</v>
      </c>
      <c r="L52" s="1315"/>
      <c r="M52" s="1315" t="s">
        <v>1726</v>
      </c>
      <c r="N52" s="1315" t="s">
        <v>2093</v>
      </c>
      <c r="O52" s="1316" t="s">
        <v>2094</v>
      </c>
      <c r="P52" s="1315" t="s">
        <v>2148</v>
      </c>
      <c r="Q52" s="1315"/>
      <c r="T52" s="808" cm="1" t="str">
        <f t="array" ref="T52:T52">T51</f>
        <v>false</v>
      </c>
      <c r="AB52" s="276" t="s">
        <v>2149</v>
      </c>
      <c r="AC52" s="172" t="s">
        <v>599</v>
      </c>
      <c r="AD52" s="148">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8">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0">
        <f>IF(AD52=0,0,(AE52-AD52)/AD52*100)</f>
        <v>0</v>
      </c>
      <c r="AG52" s="148">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8">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0">
        <f>IF(AG52=0,0,(AH52-AG52)/AG52*100)</f>
        <v>0</v>
      </c>
      <c r="AJ52" s="148">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8">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0">
        <f>IF(AJ52=0,0,(AK52-AJ52)/AJ52*100)</f>
        <v>0</v>
      </c>
      <c r="AM52" s="148">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8">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0">
        <f>IF(AM52=0,0,(AN52-AM52)/AM52*100)</f>
        <v>0</v>
      </c>
      <c r="AP52" s="148">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8">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0">
        <f>IF(AP52=0,0,(AQ52-AP52)/AP52*100)</f>
        <v>0</v>
      </c>
      <c r="AS52" s="148">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8">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0">
        <f>IF(AS52=0,0,(AT52-AS52)/AS52*100)</f>
        <v>0</v>
      </c>
      <c r="AV52" s="148">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8">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0">
        <f>IF(AV52=0,0,(AW52-AV52)/AV52*100)</f>
        <v>0</v>
      </c>
      <c r="AY52" s="148">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8">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0">
        <f>IF(AY52=0,0,(AZ52-AY52)/AY52*100)</f>
        <v>0</v>
      </c>
      <c r="BB52" s="148">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8">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0">
        <f>IF(BB52=0,0,(BC52-BB52)/BB52*100)</f>
        <v>0</v>
      </c>
      <c r="BE52" s="148">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8">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0">
        <f>IF(BE52=0,0,(BF52-BE52)/BE52*100)</f>
        <v>0</v>
      </c>
      <c r="BH52" s="148"/>
      <c r="BI52" s="148"/>
      <c r="BJ52" s="400">
        <f>IF(BH52=0,0,(BI52-BH52)/BH52*100)</f>
        <v>0</v>
      </c>
      <c r="BK52" s="148"/>
      <c r="BL52" s="148"/>
      <c r="BM52" s="400">
        <f>IF(BK52=0,0,(BL52-BK52)/BK52*100)</f>
        <v>0</v>
      </c>
      <c r="BN52" s="148"/>
      <c r="BO52" s="148"/>
      <c r="BP52" s="400">
        <f>IF(BN52=0,0,(BO52-BN52)/BN52*100)</f>
        <v>0</v>
      </c>
      <c r="BQ52" s="148"/>
      <c r="BR52" s="148"/>
      <c r="BS52" s="400">
        <f>IF(BQ52=0,0,(BR52-BQ52)/BQ52*100)</f>
        <v>0</v>
      </c>
      <c r="BT52" s="148"/>
      <c r="BU52" s="148"/>
      <c r="BV52" s="400">
        <f>IF(BT52=0,0,(BU52-BT52)/BT52*100)</f>
        <v>0</v>
      </c>
      <c r="BW52" s="148"/>
      <c r="BX52" s="148"/>
      <c r="BY52" s="400">
        <f>IF(BW52=0,0,(BX52-BW52)/BW52*100)</f>
        <v>0</v>
      </c>
      <c r="BZ52" s="148"/>
      <c r="CA52" s="148"/>
      <c r="CB52" s="400">
        <f>IF(BZ52=0,0,(CA52-BZ52)/BZ52*100)</f>
        <v>0</v>
      </c>
      <c r="CC52" s="148"/>
      <c r="CD52" s="148"/>
      <c r="CE52" s="400">
        <f>IF(CC52=0,0,(CD52-CC52)/CC52*100)</f>
        <v>0</v>
      </c>
      <c r="CF52" s="148"/>
      <c r="CG52" s="148"/>
      <c r="CH52" s="400">
        <f>IF(CF52=0,0,(CG52-CF52)/CF52*100)</f>
        <v>0</v>
      </c>
      <c r="CI52" s="148"/>
      <c r="CJ52" s="148"/>
      <c r="CK52" s="400">
        <f>IF(CI52=0,0,(CJ52-CI52)/CI52*100)</f>
        <v>0</v>
      </c>
      <c r="CL52" s="148"/>
      <c r="CM52" s="148"/>
      <c r="CN52" s="400">
        <f>IF(CL52=0,0,(CM52-CL52)/CL52*100)</f>
        <v>0</v>
      </c>
      <c r="CO52" s="148"/>
      <c r="CP52" s="148"/>
      <c r="CQ52" s="400">
        <f>IF(CO52=0,0,(CP52-CO52)/CO52*100)</f>
        <v>0</v>
      </c>
      <c r="CR52" s="148"/>
      <c r="CS52" s="148"/>
      <c r="CT52" s="400">
        <f>IF(CR52=0,0,(CS52-CR52)/CR52*100)</f>
        <v>0</v>
      </c>
      <c r="CU52" s="148"/>
      <c r="CV52" s="148"/>
      <c r="CW52" s="400">
        <f>IF(CU52=0,0,(CV52-CU52)/CU52*100)</f>
        <v>0</v>
      </c>
      <c r="CX52" s="148"/>
      <c r="CY52" s="148"/>
      <c r="CZ52" s="400">
        <f>IF(CX52=0,0,(CY52-CX52)/CX52*100)</f>
        <v>0</v>
      </c>
      <c r="DA52" s="148"/>
      <c r="DB52" s="148"/>
      <c r="DC52" s="400">
        <f>IF(DA52=0,0,(DB52-DA52)/DA52*100)</f>
        <v>0</v>
      </c>
      <c r="DD52" s="148"/>
      <c r="DE52" s="148"/>
      <c r="DF52" s="400">
        <f>IF(DD52=0,0,(DE52-DD52)/DD52*100)</f>
        <v>0</v>
      </c>
      <c r="DG52" s="148"/>
      <c r="DH52" s="148"/>
      <c r="DI52" s="400">
        <f>IF(DG52=0,0,(DH52-DG52)/DG52*100)</f>
        <v>0</v>
      </c>
      <c r="DJ52" s="148"/>
      <c r="DK52" s="148"/>
      <c r="DL52" s="400">
        <f>IF(DJ52=0,0,(DK52-DJ52)/DJ52*100)</f>
        <v>0</v>
      </c>
      <c r="DM52" s="148"/>
      <c r="DN52" s="148"/>
      <c r="DO52" s="400">
        <f>IF(DM52=0,0,(DN52-DM52)/DM52*100)</f>
        <v>0</v>
      </c>
      <c r="DP52" s="148"/>
      <c r="DQ52" s="148"/>
      <c r="DR52" s="400">
        <f>IF(DP52=0,0,(DQ52-DP52)/DP52*100)</f>
        <v>0</v>
      </c>
      <c r="DS52" s="148"/>
      <c r="DT52" s="148"/>
      <c r="DU52" s="400">
        <f>IF(DS52=0,0,(DT52-DS52)/DS52*100)</f>
        <v>0</v>
      </c>
      <c r="DV52" s="148"/>
      <c r="DW52" s="148"/>
      <c r="DX52" s="400">
        <f>IF(DV52=0,0,(DW52-DV52)/DV52*100)</f>
        <v>0</v>
      </c>
      <c r="DY52" s="148"/>
      <c r="DZ52" s="148"/>
      <c r="EA52" s="400">
        <f>IF(DY52=0,0,(DZ52-DY52)/DY52*100)</f>
        <v>0</v>
      </c>
      <c r="EB52" s="148"/>
      <c r="EC52" s="148"/>
      <c r="ED52" s="400">
        <f>IF(EB52=0,0,(EC52-EB52)/EB52*100)</f>
        <v>0</v>
      </c>
      <c r="EE52" s="148"/>
      <c r="EF52" s="148"/>
      <c r="EG52" s="400">
        <f>IF(EE52=0,0,(EF52-EE52)/EE52*100)</f>
        <v>0</v>
      </c>
      <c r="EH52" s="148"/>
      <c r="EI52" s="148"/>
      <c r="EJ52" s="400">
        <f>IF(EH52=0,0,(EI52-EH52)/EH52*100)</f>
        <v>0</v>
      </c>
      <c r="EK52" s="148"/>
      <c r="EL52" s="148"/>
      <c r="EM52" s="400">
        <f>IF(EK52=0,0,(EL52-EK52)/EK52*100)</f>
        <v>0</v>
      </c>
      <c r="EN52" s="148"/>
      <c r="EO52" s="148"/>
      <c r="EP52" s="400">
        <f>IF(EN52=0,0,(EO52-EN52)/EN52*100)</f>
        <v>0</v>
      </c>
      <c r="EQ52" s="148"/>
      <c r="ER52" s="148"/>
      <c r="ES52" s="400">
        <f>IF(EQ52=0,0,(ER52-EQ52)/EQ52*100)</f>
        <v>0</v>
      </c>
      <c r="ET52" s="148"/>
      <c r="EU52" s="148"/>
      <c r="EV52" s="400">
        <f>IF(ET52=0,0,(EU52-ET52)/ET52*100)</f>
        <v>0</v>
      </c>
      <c r="EW52" s="148"/>
      <c r="EX52" s="148"/>
      <c r="EY52" s="400">
        <f>IF(EW52=0,0,(EX52-EW52)/EW52*100)</f>
        <v>0</v>
      </c>
      <c r="EZ52" s="148"/>
      <c r="FA52" s="148"/>
      <c r="FB52" s="400">
        <f>IF(EZ52=0,0,(FA52-EZ52)/EZ52*100)</f>
        <v>0</v>
      </c>
      <c r="FC52" s="148"/>
      <c r="FD52" s="148"/>
      <c r="FE52" s="400">
        <f>IF(FC52=0,0,(FD52-FC52)/FC52*100)</f>
        <v>0</v>
      </c>
      <c r="FF52" s="148"/>
      <c r="FG52" s="148"/>
      <c r="FH52" s="400">
        <f>IF(FF52=0,0,(FG52-FF52)/FF52*100)</f>
        <v>0</v>
      </c>
      <c r="FI52" s="148"/>
      <c r="FJ52" s="148"/>
      <c r="FK52" s="400">
        <f>IF(FI52=0,0,(FJ52-FI52)/FI52*100)</f>
        <v>0</v>
      </c>
      <c r="FL52" s="148"/>
      <c r="FM52" s="148"/>
      <c r="FN52" s="400">
        <f>IF(FL52=0,0,(FM52-FL52)/FL52*100)</f>
        <v>0</v>
      </c>
      <c r="FO52" s="148"/>
      <c r="FP52" s="148"/>
      <c r="FQ52" s="400">
        <f>IF(FO52=0,0,(FP52-FO52)/FO52*100)</f>
        <v>0</v>
      </c>
      <c r="FR52" s="148"/>
      <c r="FS52" s="148"/>
      <c r="FT52" s="400">
        <f>IF(FR52=0,0,(FS52-FR52)/FR52*100)</f>
        <v>0</v>
      </c>
      <c r="FU52" s="148"/>
      <c r="FV52" s="148"/>
      <c r="FW52" s="400">
        <f>IF(FU52=0,0,(FV52-FU52)/FU52*100)</f>
        <v>0</v>
      </c>
      <c r="FZ52" s="1184" t="s">
        <v>2150</v>
      </c>
      <c r="GA52" s="1184"/>
      <c r="GB52" s="1184"/>
      <c r="GC52" s="1184"/>
      <c r="GD52" s="1184"/>
    </row>
    <row customHeight="1" ht="30.712500000000002" hidden="1">
      <c r="B53" s="964" cm="1" t="str">
        <f t="array" ref="B53:B53">B52</f>
        <v>false</v>
      </c>
      <c r="C53" s="1325" t="s">
        <v>1777</v>
      </c>
      <c r="D53" s="1294" t="s">
        <v>1778</v>
      </c>
      <c r="E53" s="797">
        <v>31.5</v>
      </c>
      <c r="F53" s="922" cm="1" t="str">
        <f t="array" ref="F53:F53">OFFSET(G53,-1,-1)</f>
        <v>0</v>
      </c>
      <c r="G53" s="739" t="s">
        <v>1779</v>
      </c>
      <c r="H53" s="213" t="s">
        <v>2151</v>
      </c>
      <c r="I53" s="213" t="s">
        <v>2090</v>
      </c>
      <c r="J53" s="1315"/>
      <c r="K53" s="1315" cm="1" t="str">
        <f t="array" ref="K53:K53">OFFSET(J53,-1,1)</f>
        <v>0</v>
      </c>
      <c r="L53" s="1315"/>
      <c r="M53" s="1315" t="s">
        <v>1726</v>
      </c>
      <c r="N53" s="1315" t="s">
        <v>2093</v>
      </c>
      <c r="O53" s="1316" t="s">
        <v>2094</v>
      </c>
      <c r="P53" s="1315" t="s">
        <v>2152</v>
      </c>
      <c r="Q53" s="1315"/>
      <c r="T53" s="808" cm="1" t="str">
        <f t="array" ref="T53:T53">T52</f>
        <v>false</v>
      </c>
      <c r="AB53" s="276" t="s">
        <v>2153</v>
      </c>
      <c r="AC53" s="520" t="s">
        <v>1781</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8">
        <f>IF(AD53=0,0,(AE53-AD53)/AD53*100)</f>
        <v>0</v>
      </c>
      <c r="AG53" s="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8">
        <f>IF(AG53=0,0,(AH53-AG53)/AG53*100)</f>
        <v>0</v>
      </c>
      <c r="AJ53" s="67">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7">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8">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8">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8">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8">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8">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8">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8">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8">
        <f>IF(BE53=0,0,(BF53-BE53)/BE53*100)</f>
        <v>0</v>
      </c>
      <c r="BH53" s="67"/>
      <c r="BI53" s="67"/>
      <c r="BJ53" s="368">
        <f>IF(BH53=0,0,(BI53-BH53)/BH53*100)</f>
        <v>0</v>
      </c>
      <c r="BK53" s="67"/>
      <c r="BL53" s="67"/>
      <c r="BM53" s="368">
        <f>IF(BK53=0,0,(BL53-BK53)/BK53*100)</f>
        <v>0</v>
      </c>
      <c r="BN53" s="67"/>
      <c r="BO53" s="67"/>
      <c r="BP53" s="368">
        <f>IF(BN53=0,0,(BO53-BN53)/BN53*100)</f>
        <v>0</v>
      </c>
      <c r="BQ53" s="67"/>
      <c r="BR53" s="67"/>
      <c r="BS53" s="368">
        <f>IF(BQ53=0,0,(BR53-BQ53)/BQ53*100)</f>
        <v>0</v>
      </c>
      <c r="BT53" s="67"/>
      <c r="BU53" s="67"/>
      <c r="BV53" s="368">
        <f>IF(BT53=0,0,(BU53-BT53)/BT53*100)</f>
        <v>0</v>
      </c>
      <c r="BW53" s="67"/>
      <c r="BX53" s="67"/>
      <c r="BY53" s="368">
        <f>IF(BW53=0,0,(BX53-BW53)/BW53*100)</f>
        <v>0</v>
      </c>
      <c r="BZ53" s="67"/>
      <c r="CA53" s="67"/>
      <c r="CB53" s="368">
        <f>IF(BZ53=0,0,(CA53-BZ53)/BZ53*100)</f>
        <v>0</v>
      </c>
      <c r="CC53" s="67"/>
      <c r="CD53" s="67"/>
      <c r="CE53" s="368">
        <f>IF(CC53=0,0,(CD53-CC53)/CC53*100)</f>
        <v>0</v>
      </c>
      <c r="CF53" s="67"/>
      <c r="CG53" s="67"/>
      <c r="CH53" s="368">
        <f>IF(CF53=0,0,(CG53-CF53)/CF53*100)</f>
        <v>0</v>
      </c>
      <c r="CI53" s="67"/>
      <c r="CJ53" s="67"/>
      <c r="CK53" s="368">
        <f>IF(CI53=0,0,(CJ53-CI53)/CI53*100)</f>
        <v>0</v>
      </c>
      <c r="CL53" s="67"/>
      <c r="CM53" s="67"/>
      <c r="CN53" s="368">
        <f>IF(CL53=0,0,(CM53-CL53)/CL53*100)</f>
        <v>0</v>
      </c>
      <c r="CO53" s="67"/>
      <c r="CP53" s="67"/>
      <c r="CQ53" s="368">
        <f>IF(CO53=0,0,(CP53-CO53)/CO53*100)</f>
        <v>0</v>
      </c>
      <c r="CR53" s="67"/>
      <c r="CS53" s="67"/>
      <c r="CT53" s="368">
        <f>IF(CR53=0,0,(CS53-CR53)/CR53*100)</f>
        <v>0</v>
      </c>
      <c r="CU53" s="67"/>
      <c r="CV53" s="67"/>
      <c r="CW53" s="368">
        <f>IF(CU53=0,0,(CV53-CU53)/CU53*100)</f>
        <v>0</v>
      </c>
      <c r="CX53" s="67"/>
      <c r="CY53" s="67"/>
      <c r="CZ53" s="368">
        <f>IF(CX53=0,0,(CY53-CX53)/CX53*100)</f>
        <v>0</v>
      </c>
      <c r="DA53" s="67"/>
      <c r="DB53" s="67"/>
      <c r="DC53" s="368">
        <f>IF(DA53=0,0,(DB53-DA53)/DA53*100)</f>
        <v>0</v>
      </c>
      <c r="DD53" s="67"/>
      <c r="DE53" s="67"/>
      <c r="DF53" s="368">
        <f>IF(DD53=0,0,(DE53-DD53)/DD53*100)</f>
        <v>0</v>
      </c>
      <c r="DG53" s="67"/>
      <c r="DH53" s="67"/>
      <c r="DI53" s="368">
        <f>IF(DG53=0,0,(DH53-DG53)/DG53*100)</f>
        <v>0</v>
      </c>
      <c r="DJ53" s="67"/>
      <c r="DK53" s="67"/>
      <c r="DL53" s="368">
        <f>IF(DJ53=0,0,(DK53-DJ53)/DJ53*100)</f>
        <v>0</v>
      </c>
      <c r="DM53" s="67"/>
      <c r="DN53" s="67"/>
      <c r="DO53" s="368">
        <f>IF(DM53=0,0,(DN53-DM53)/DM53*100)</f>
        <v>0</v>
      </c>
      <c r="DP53" s="67"/>
      <c r="DQ53" s="67"/>
      <c r="DR53" s="368">
        <f>IF(DP53=0,0,(DQ53-DP53)/DP53*100)</f>
        <v>0</v>
      </c>
      <c r="DS53" s="67"/>
      <c r="DT53" s="67"/>
      <c r="DU53" s="368">
        <f>IF(DS53=0,0,(DT53-DS53)/DS53*100)</f>
        <v>0</v>
      </c>
      <c r="DV53" s="67"/>
      <c r="DW53" s="67"/>
      <c r="DX53" s="368">
        <f>IF(DV53=0,0,(DW53-DV53)/DV53*100)</f>
        <v>0</v>
      </c>
      <c r="DY53" s="67"/>
      <c r="DZ53" s="67"/>
      <c r="EA53" s="368">
        <f>IF(DY53=0,0,(DZ53-DY53)/DY53*100)</f>
        <v>0</v>
      </c>
      <c r="EB53" s="67"/>
      <c r="EC53" s="67"/>
      <c r="ED53" s="368">
        <f>IF(EB53=0,0,(EC53-EB53)/EB53*100)</f>
        <v>0</v>
      </c>
      <c r="EE53" s="67"/>
      <c r="EF53" s="67"/>
      <c r="EG53" s="368">
        <f>IF(EE53=0,0,(EF53-EE53)/EE53*100)</f>
        <v>0</v>
      </c>
      <c r="EH53" s="67"/>
      <c r="EI53" s="67"/>
      <c r="EJ53" s="368">
        <f>IF(EH53=0,0,(EI53-EH53)/EH53*100)</f>
        <v>0</v>
      </c>
      <c r="EK53" s="67"/>
      <c r="EL53" s="67"/>
      <c r="EM53" s="368">
        <f>IF(EK53=0,0,(EL53-EK53)/EK53*100)</f>
        <v>0</v>
      </c>
      <c r="EN53" s="67"/>
      <c r="EO53" s="67"/>
      <c r="EP53" s="368">
        <f>IF(EN53=0,0,(EO53-EN53)/EN53*100)</f>
        <v>0</v>
      </c>
      <c r="EQ53" s="67"/>
      <c r="ER53" s="67"/>
      <c r="ES53" s="368">
        <f>IF(EQ53=0,0,(ER53-EQ53)/EQ53*100)</f>
        <v>0</v>
      </c>
      <c r="ET53" s="67"/>
      <c r="EU53" s="67"/>
      <c r="EV53" s="368">
        <f>IF(ET53=0,0,(EU53-ET53)/ET53*100)</f>
        <v>0</v>
      </c>
      <c r="EW53" s="67"/>
      <c r="EX53" s="67"/>
      <c r="EY53" s="368">
        <f>IF(EW53=0,0,(EX53-EW53)/EW53*100)</f>
        <v>0</v>
      </c>
      <c r="EZ53" s="67"/>
      <c r="FA53" s="67"/>
      <c r="FB53" s="368">
        <f>IF(EZ53=0,0,(FA53-EZ53)/EZ53*100)</f>
        <v>0</v>
      </c>
      <c r="FC53" s="67"/>
      <c r="FD53" s="67"/>
      <c r="FE53" s="368">
        <f>IF(FC53=0,0,(FD53-FC53)/FC53*100)</f>
        <v>0</v>
      </c>
      <c r="FF53" s="67"/>
      <c r="FG53" s="67"/>
      <c r="FH53" s="368">
        <f>IF(FF53=0,0,(FG53-FF53)/FF53*100)</f>
        <v>0</v>
      </c>
      <c r="FI53" s="67"/>
      <c r="FJ53" s="67"/>
      <c r="FK53" s="368">
        <f>IF(FI53=0,0,(FJ53-FI53)/FI53*100)</f>
        <v>0</v>
      </c>
      <c r="FL53" s="67"/>
      <c r="FM53" s="67"/>
      <c r="FN53" s="368">
        <f>IF(FL53=0,0,(FM53-FL53)/FL53*100)</f>
        <v>0</v>
      </c>
      <c r="FO53" s="67"/>
      <c r="FP53" s="67"/>
      <c r="FQ53" s="368">
        <f>IF(FO53=0,0,(FP53-FO53)/FO53*100)</f>
        <v>0</v>
      </c>
      <c r="FR53" s="67"/>
      <c r="FS53" s="67"/>
      <c r="FT53" s="368">
        <f>IF(FR53=0,0,(FS53-FR53)/FR53*100)</f>
        <v>0</v>
      </c>
      <c r="FU53" s="67"/>
      <c r="FV53" s="67"/>
      <c r="FW53" s="368">
        <f>IF(FU53=0,0,(FV53-FU53)/FU53*100)</f>
        <v>0</v>
      </c>
      <c r="FZ53" s="1184" t="s">
        <v>2154</v>
      </c>
      <c r="GA53" s="1184"/>
      <c r="GB53" s="1184"/>
      <c r="GC53" s="1184"/>
      <c r="GD53" s="1184"/>
    </row>
    <row customHeight="1" ht="15.405000000000001" hidden="1">
      <c r="B54" s="964" cm="1" t="str">
        <f t="array" ref="B54:B54">B53</f>
        <v>false</v>
      </c>
      <c r="C54" s="1325" t="s">
        <v>1749</v>
      </c>
      <c r="D54" s="1294" t="s">
        <v>1750</v>
      </c>
      <c r="E54" s="797">
        <v>15.8</v>
      </c>
      <c r="F54" s="922" cm="1" t="str">
        <f t="array" ref="F54:F54">OFFSET(G54,-1,-1)</f>
        <v>0</v>
      </c>
      <c r="G54" s="739" t="s">
        <v>1753</v>
      </c>
      <c r="H54" s="213" t="s">
        <v>2155</v>
      </c>
      <c r="I54" s="213" t="s">
        <v>2090</v>
      </c>
      <c r="J54" s="1315"/>
      <c r="K54" s="1315" cm="1" t="str">
        <f t="array" ref="K54:K54">OFFSET(J54,-1,1)</f>
        <v>0</v>
      </c>
      <c r="L54" s="1315"/>
      <c r="M54" s="1315" t="s">
        <v>1726</v>
      </c>
      <c r="N54" s="1315" t="s">
        <v>2093</v>
      </c>
      <c r="O54" s="1316" t="s">
        <v>2094</v>
      </c>
      <c r="P54" s="1315" t="s">
        <v>2156</v>
      </c>
      <c r="Q54" s="1315"/>
      <c r="T54" s="808" cm="1" t="str">
        <f t="array" ref="T54:T54">T53</f>
        <v>false</v>
      </c>
      <c r="AB54" s="276" t="s">
        <v>2157</v>
      </c>
      <c r="AC54" s="667" t="s">
        <v>695</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8">
        <f>IF(AD54=0,0,(AE54-AD54)/AD54*100)</f>
        <v>0</v>
      </c>
      <c r="AG54" s="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8">
        <f>IF(AG54=0,0,(AH54-AG54)/AG54*100)</f>
        <v>0</v>
      </c>
      <c r="AJ54" s="67">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7">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8">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8">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8">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8">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8">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8">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8">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8">
        <f>IF(BE54=0,0,(BF54-BE54)/BE54*100)</f>
        <v>0</v>
      </c>
      <c r="BH54" s="67"/>
      <c r="BI54" s="67"/>
      <c r="BJ54" s="368">
        <f>IF(BH54=0,0,(BI54-BH54)/BH54*100)</f>
        <v>0</v>
      </c>
      <c r="BK54" s="67"/>
      <c r="BL54" s="67"/>
      <c r="BM54" s="368">
        <f>IF(BK54=0,0,(BL54-BK54)/BK54*100)</f>
        <v>0</v>
      </c>
      <c r="BN54" s="67"/>
      <c r="BO54" s="67"/>
      <c r="BP54" s="368">
        <f>IF(BN54=0,0,(BO54-BN54)/BN54*100)</f>
        <v>0</v>
      </c>
      <c r="BQ54" s="67"/>
      <c r="BR54" s="67"/>
      <c r="BS54" s="368">
        <f>IF(BQ54=0,0,(BR54-BQ54)/BQ54*100)</f>
        <v>0</v>
      </c>
      <c r="BT54" s="67"/>
      <c r="BU54" s="67"/>
      <c r="BV54" s="368">
        <f>IF(BT54=0,0,(BU54-BT54)/BT54*100)</f>
        <v>0</v>
      </c>
      <c r="BW54" s="67"/>
      <c r="BX54" s="67"/>
      <c r="BY54" s="368">
        <f>IF(BW54=0,0,(BX54-BW54)/BW54*100)</f>
        <v>0</v>
      </c>
      <c r="BZ54" s="67"/>
      <c r="CA54" s="67"/>
      <c r="CB54" s="368">
        <f>IF(BZ54=0,0,(CA54-BZ54)/BZ54*100)</f>
        <v>0</v>
      </c>
      <c r="CC54" s="67"/>
      <c r="CD54" s="67"/>
      <c r="CE54" s="368">
        <f>IF(CC54=0,0,(CD54-CC54)/CC54*100)</f>
        <v>0</v>
      </c>
      <c r="CF54" s="67"/>
      <c r="CG54" s="67"/>
      <c r="CH54" s="368">
        <f>IF(CF54=0,0,(CG54-CF54)/CF54*100)</f>
        <v>0</v>
      </c>
      <c r="CI54" s="67"/>
      <c r="CJ54" s="67"/>
      <c r="CK54" s="368">
        <f>IF(CI54=0,0,(CJ54-CI54)/CI54*100)</f>
        <v>0</v>
      </c>
      <c r="CL54" s="67"/>
      <c r="CM54" s="67"/>
      <c r="CN54" s="368">
        <f>IF(CL54=0,0,(CM54-CL54)/CL54*100)</f>
        <v>0</v>
      </c>
      <c r="CO54" s="67"/>
      <c r="CP54" s="67"/>
      <c r="CQ54" s="368">
        <f>IF(CO54=0,0,(CP54-CO54)/CO54*100)</f>
        <v>0</v>
      </c>
      <c r="CR54" s="67"/>
      <c r="CS54" s="67"/>
      <c r="CT54" s="368">
        <f>IF(CR54=0,0,(CS54-CR54)/CR54*100)</f>
        <v>0</v>
      </c>
      <c r="CU54" s="67"/>
      <c r="CV54" s="67"/>
      <c r="CW54" s="368">
        <f>IF(CU54=0,0,(CV54-CU54)/CU54*100)</f>
        <v>0</v>
      </c>
      <c r="CX54" s="67"/>
      <c r="CY54" s="67"/>
      <c r="CZ54" s="368">
        <f>IF(CX54=0,0,(CY54-CX54)/CX54*100)</f>
        <v>0</v>
      </c>
      <c r="DA54" s="67"/>
      <c r="DB54" s="67"/>
      <c r="DC54" s="368">
        <f>IF(DA54=0,0,(DB54-DA54)/DA54*100)</f>
        <v>0</v>
      </c>
      <c r="DD54" s="67"/>
      <c r="DE54" s="67"/>
      <c r="DF54" s="368">
        <f>IF(DD54=0,0,(DE54-DD54)/DD54*100)</f>
        <v>0</v>
      </c>
      <c r="DG54" s="67"/>
      <c r="DH54" s="67"/>
      <c r="DI54" s="368">
        <f>IF(DG54=0,0,(DH54-DG54)/DG54*100)</f>
        <v>0</v>
      </c>
      <c r="DJ54" s="67"/>
      <c r="DK54" s="67"/>
      <c r="DL54" s="368">
        <f>IF(DJ54=0,0,(DK54-DJ54)/DJ54*100)</f>
        <v>0</v>
      </c>
      <c r="DM54" s="67"/>
      <c r="DN54" s="67"/>
      <c r="DO54" s="368">
        <f>IF(DM54=0,0,(DN54-DM54)/DM54*100)</f>
        <v>0</v>
      </c>
      <c r="DP54" s="67"/>
      <c r="DQ54" s="67"/>
      <c r="DR54" s="368">
        <f>IF(DP54=0,0,(DQ54-DP54)/DP54*100)</f>
        <v>0</v>
      </c>
      <c r="DS54" s="67"/>
      <c r="DT54" s="67"/>
      <c r="DU54" s="368">
        <f>IF(DS54=0,0,(DT54-DS54)/DS54*100)</f>
        <v>0</v>
      </c>
      <c r="DV54" s="67"/>
      <c r="DW54" s="67"/>
      <c r="DX54" s="368">
        <f>IF(DV54=0,0,(DW54-DV54)/DV54*100)</f>
        <v>0</v>
      </c>
      <c r="DY54" s="67"/>
      <c r="DZ54" s="67"/>
      <c r="EA54" s="368">
        <f>IF(DY54=0,0,(DZ54-DY54)/DY54*100)</f>
        <v>0</v>
      </c>
      <c r="EB54" s="67"/>
      <c r="EC54" s="67"/>
      <c r="ED54" s="368">
        <f>IF(EB54=0,0,(EC54-EB54)/EB54*100)</f>
        <v>0</v>
      </c>
      <c r="EE54" s="67"/>
      <c r="EF54" s="67"/>
      <c r="EG54" s="368">
        <f>IF(EE54=0,0,(EF54-EE54)/EE54*100)</f>
        <v>0</v>
      </c>
      <c r="EH54" s="67"/>
      <c r="EI54" s="67"/>
      <c r="EJ54" s="368">
        <f>IF(EH54=0,0,(EI54-EH54)/EH54*100)</f>
        <v>0</v>
      </c>
      <c r="EK54" s="67"/>
      <c r="EL54" s="67"/>
      <c r="EM54" s="368">
        <f>IF(EK54=0,0,(EL54-EK54)/EK54*100)</f>
        <v>0</v>
      </c>
      <c r="EN54" s="67"/>
      <c r="EO54" s="67"/>
      <c r="EP54" s="368">
        <f>IF(EN54=0,0,(EO54-EN54)/EN54*100)</f>
        <v>0</v>
      </c>
      <c r="EQ54" s="67"/>
      <c r="ER54" s="67"/>
      <c r="ES54" s="368">
        <f>IF(EQ54=0,0,(ER54-EQ54)/EQ54*100)</f>
        <v>0</v>
      </c>
      <c r="ET54" s="67"/>
      <c r="EU54" s="67"/>
      <c r="EV54" s="368">
        <f>IF(ET54=0,0,(EU54-ET54)/ET54*100)</f>
        <v>0</v>
      </c>
      <c r="EW54" s="67"/>
      <c r="EX54" s="67"/>
      <c r="EY54" s="368">
        <f>IF(EW54=0,0,(EX54-EW54)/EW54*100)</f>
        <v>0</v>
      </c>
      <c r="EZ54" s="67"/>
      <c r="FA54" s="67"/>
      <c r="FB54" s="368">
        <f>IF(EZ54=0,0,(FA54-EZ54)/EZ54*100)</f>
        <v>0</v>
      </c>
      <c r="FC54" s="67"/>
      <c r="FD54" s="67"/>
      <c r="FE54" s="368">
        <f>IF(FC54=0,0,(FD54-FC54)/FC54*100)</f>
        <v>0</v>
      </c>
      <c r="FF54" s="67"/>
      <c r="FG54" s="67"/>
      <c r="FH54" s="368">
        <f>IF(FF54=0,0,(FG54-FF54)/FF54*100)</f>
        <v>0</v>
      </c>
      <c r="FI54" s="67"/>
      <c r="FJ54" s="67"/>
      <c r="FK54" s="368">
        <f>IF(FI54=0,0,(FJ54-FI54)/FI54*100)</f>
        <v>0</v>
      </c>
      <c r="FL54" s="67"/>
      <c r="FM54" s="67"/>
      <c r="FN54" s="368">
        <f>IF(FL54=0,0,(FM54-FL54)/FL54*100)</f>
        <v>0</v>
      </c>
      <c r="FO54" s="67"/>
      <c r="FP54" s="67"/>
      <c r="FQ54" s="368">
        <f>IF(FO54=0,0,(FP54-FO54)/FO54*100)</f>
        <v>0</v>
      </c>
      <c r="FR54" s="67"/>
      <c r="FS54" s="67"/>
      <c r="FT54" s="368">
        <f>IF(FR54=0,0,(FS54-FR54)/FR54*100)</f>
        <v>0</v>
      </c>
      <c r="FU54" s="67"/>
      <c r="FV54" s="67"/>
      <c r="FW54" s="368">
        <f>IF(FU54=0,0,(FV54-FU54)/FU54*100)</f>
        <v>0</v>
      </c>
      <c r="FZ54" s="1184" t="s">
        <v>2158</v>
      </c>
      <c r="GA54" s="1184"/>
      <c r="GB54" s="1184"/>
      <c r="GC54" s="1184"/>
      <c r="GD54" s="1184"/>
    </row>
    <row customHeight="1" ht="15.405000000000001" hidden="1">
      <c r="B55" s="964" cm="1" t="str">
        <f t="array" ref="B55:B55">B54</f>
        <v>false</v>
      </c>
      <c r="E55" s="797">
        <v>15.8</v>
      </c>
      <c r="F55" s="922" cm="1" t="str">
        <f t="array" ref="F55:F55">OFFSET(G55,-1,-1)</f>
        <v>0</v>
      </c>
      <c r="K55" s="1315" cm="1" t="str">
        <f t="array" ref="K55:K55">OFFSET(J55,-1,1)</f>
        <v>0</v>
      </c>
      <c r="P55" s="1315"/>
      <c r="Q55" s="1315"/>
      <c r="T55" s="808" cm="1" t="str">
        <f t="array" ref="T55:T55">T54</f>
        <v>false</v>
      </c>
      <c r="AB55" s="1354" t="s">
        <v>2159</v>
      </c>
      <c r="AC55" s="370"/>
      <c r="AD55" s="371"/>
      <c r="AE55" s="371"/>
      <c r="AF55" s="371"/>
      <c r="AG55" s="371"/>
      <c r="AH55" s="371"/>
      <c r="AI55" s="371"/>
      <c r="AJ55" s="371"/>
      <c r="AK55" s="371"/>
      <c r="AL55" s="371"/>
      <c r="AM55" s="371"/>
      <c r="AN55" s="371"/>
      <c r="AO55" s="371"/>
      <c r="AP55" s="371"/>
      <c r="AQ55" s="371"/>
      <c r="AR55" s="371"/>
      <c r="AS55" s="371"/>
      <c r="AT55" s="371"/>
      <c r="AU55" s="371"/>
      <c r="AV55" s="371"/>
      <c r="AW55" s="371"/>
      <c r="AX55" s="371"/>
      <c r="AY55" s="371"/>
      <c r="AZ55" s="371"/>
      <c r="BA55" s="371"/>
      <c r="BB55" s="371"/>
      <c r="BC55" s="371"/>
      <c r="BD55" s="371"/>
      <c r="BE55" s="371"/>
      <c r="BF55" s="371"/>
      <c r="BG55" s="371"/>
      <c r="BH55" s="371"/>
      <c r="BI55" s="371"/>
      <c r="BJ55" s="371"/>
      <c r="BK55" s="371"/>
      <c r="BL55" s="371"/>
      <c r="BM55" s="371"/>
      <c r="BN55" s="371"/>
      <c r="BO55" s="371"/>
      <c r="BP55" s="371"/>
      <c r="BQ55" s="371"/>
      <c r="BR55" s="371"/>
      <c r="BS55" s="371"/>
      <c r="BT55" s="371"/>
      <c r="BU55" s="371"/>
      <c r="BV55" s="371"/>
      <c r="BW55" s="371"/>
      <c r="BX55" s="371"/>
      <c r="BY55" s="371"/>
      <c r="BZ55" s="371"/>
      <c r="CA55" s="371"/>
      <c r="CB55" s="371"/>
      <c r="CC55" s="371"/>
      <c r="CD55" s="371"/>
      <c r="CE55" s="371"/>
      <c r="CF55" s="371"/>
      <c r="CG55" s="371"/>
      <c r="CH55" s="371"/>
      <c r="CI55" s="371"/>
      <c r="CJ55" s="371"/>
      <c r="CK55" s="371"/>
      <c r="CL55" s="371"/>
      <c r="CM55" s="371"/>
      <c r="CN55" s="371"/>
      <c r="CO55" s="371"/>
      <c r="CP55" s="371"/>
      <c r="CQ55" s="371"/>
      <c r="CR55" s="371"/>
      <c r="CS55" s="371"/>
      <c r="CT55" s="371"/>
      <c r="CU55" s="371"/>
      <c r="CV55" s="371"/>
      <c r="CW55" s="371"/>
      <c r="CX55" s="371"/>
      <c r="CY55" s="371"/>
      <c r="CZ55" s="371"/>
      <c r="DA55" s="371"/>
      <c r="DB55" s="371"/>
      <c r="DC55" s="371"/>
      <c r="DD55" s="371"/>
      <c r="DE55" s="371"/>
      <c r="DF55" s="371"/>
      <c r="DG55" s="371"/>
      <c r="DH55" s="371"/>
      <c r="DI55" s="371"/>
      <c r="DJ55" s="371"/>
      <c r="DK55" s="371"/>
      <c r="DL55" s="371"/>
      <c r="DM55" s="371"/>
      <c r="DN55" s="371"/>
      <c r="DO55" s="371"/>
      <c r="DP55" s="371"/>
      <c r="DQ55" s="371"/>
      <c r="DR55" s="371"/>
      <c r="DS55" s="371"/>
      <c r="DT55" s="371"/>
      <c r="DU55" s="371"/>
      <c r="DV55" s="371"/>
      <c r="DW55" s="371"/>
      <c r="DX55" s="371"/>
      <c r="DY55" s="371"/>
      <c r="DZ55" s="371"/>
      <c r="EA55" s="371"/>
      <c r="EB55" s="371"/>
      <c r="EC55" s="371"/>
      <c r="ED55" s="371"/>
      <c r="EE55" s="371"/>
      <c r="EF55" s="371"/>
      <c r="EG55" s="371"/>
      <c r="EH55" s="371"/>
      <c r="EI55" s="371"/>
      <c r="EJ55" s="371"/>
      <c r="EK55" s="371"/>
      <c r="EL55" s="371"/>
      <c r="EM55" s="371"/>
      <c r="EN55" s="371"/>
      <c r="EO55" s="371"/>
      <c r="EP55" s="371"/>
      <c r="EQ55" s="371"/>
      <c r="ER55" s="371"/>
      <c r="ES55" s="371"/>
      <c r="ET55" s="371"/>
      <c r="EU55" s="371"/>
      <c r="EV55" s="371"/>
      <c r="EW55" s="371"/>
      <c r="EX55" s="371"/>
      <c r="EY55" s="371"/>
      <c r="EZ55" s="371"/>
      <c r="FA55" s="371"/>
      <c r="FB55" s="371"/>
      <c r="FC55" s="371"/>
      <c r="FD55" s="371"/>
      <c r="FE55" s="371"/>
      <c r="FF55" s="371"/>
      <c r="FG55" s="371"/>
      <c r="FH55" s="371"/>
      <c r="FI55" s="371"/>
      <c r="FJ55" s="371"/>
      <c r="FK55" s="371"/>
      <c r="FL55" s="371"/>
      <c r="FM55" s="371"/>
      <c r="FN55" s="371"/>
      <c r="FO55" s="371"/>
      <c r="FP55" s="371"/>
      <c r="FQ55" s="371"/>
      <c r="FR55" s="371"/>
      <c r="FS55" s="371"/>
      <c r="FT55" s="371"/>
      <c r="FU55" s="371"/>
      <c r="FV55" s="371"/>
      <c r="FW55" s="372"/>
      <c r="GA55" s="1184"/>
      <c r="GB55" s="1184"/>
      <c r="GC55" s="1184"/>
      <c r="GD55" s="1184"/>
    </row>
    <row customHeight="1" ht="15.405000000000001" hidden="1">
      <c r="B56" s="964" cm="1" t="str">
        <f t="array" ref="B56:B56">B55</f>
        <v>false</v>
      </c>
      <c r="C56" s="1325" t="s">
        <v>2135</v>
      </c>
      <c r="D56" s="1294" t="s">
        <v>2136</v>
      </c>
      <c r="E56" s="797">
        <v>15.8</v>
      </c>
      <c r="F56" s="922" cm="1" t="str">
        <f t="array" ref="F56:F56">OFFSET(G56,-1,-1)</f>
        <v>0</v>
      </c>
      <c r="G56" s="739" t="s">
        <v>1738</v>
      </c>
      <c r="H56" s="213" t="s">
        <v>2137</v>
      </c>
      <c r="I56" s="213" t="s">
        <v>2097</v>
      </c>
      <c r="J56" s="1315"/>
      <c r="K56" s="1315" cm="1" t="str">
        <f t="array" ref="K56:K56">OFFSET(J56,-1,1)</f>
        <v>0</v>
      </c>
      <c r="L56" s="1315"/>
      <c r="M56" s="1315" t="s">
        <v>1735</v>
      </c>
      <c r="N56" s="1315" t="s">
        <v>2093</v>
      </c>
      <c r="O56" s="1316" t="s">
        <v>2094</v>
      </c>
      <c r="P56" s="1315" t="s">
        <v>2138</v>
      </c>
      <c r="Q56" s="1315"/>
      <c r="T56" s="808" cm="1" t="str">
        <f t="array" ref="T56:T56">T55</f>
        <v>false</v>
      </c>
      <c r="AB56" s="276" t="s">
        <v>2139</v>
      </c>
      <c r="AC56" s="172" t="s">
        <v>900</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8">
        <f>IF(AD56=0,0,(AE56-AD56)/AD56*100)</f>
        <v>0</v>
      </c>
      <c r="AG56" s="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8">
        <f>IF(AG56=0,0,(AH56-AG56)/AG56*100)</f>
        <v>0</v>
      </c>
      <c r="AJ56" s="67">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7">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8">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8">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8">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8">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8">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8">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8">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8">
        <f>IF(BE56=0,0,(BF56-BE56)/BE56*100)</f>
        <v>0</v>
      </c>
      <c r="BH56" s="67">
        <f>IF(BH58=0,0,(BH57*BH58+BH59*BH60*6)/BH58)</f>
        <v>0</v>
      </c>
      <c r="BI56" s="67">
        <f>IF(BI58=0,0,(BI57*BI58+BI59*BI60*6)/BI58)</f>
        <v>0</v>
      </c>
      <c r="BJ56" s="368">
        <f>IF(BH56=0,0,(BI56-BH56)/BH56*100)</f>
        <v>0</v>
      </c>
      <c r="BK56" s="67">
        <f>IF(BK58=0,0,(BK57*BK58+BK59*BK60*6)/BK58)</f>
        <v>0</v>
      </c>
      <c r="BL56" s="67">
        <f>IF(BL58=0,0,(BL57*BL58+BL59*BL60*6)/BL58)</f>
        <v>0</v>
      </c>
      <c r="BM56" s="368">
        <f>IF(BK56=0,0,(BL56-BK56)/BK56*100)</f>
        <v>0</v>
      </c>
      <c r="BN56" s="67">
        <f>IF(BN58=0,0,(BN57*BN58+BN59*BN60*6)/BN58)</f>
        <v>0</v>
      </c>
      <c r="BO56" s="67">
        <f>IF(BO58=0,0,(BO57*BO58+BO59*BO60*6)/BO58)</f>
        <v>0</v>
      </c>
      <c r="BP56" s="368">
        <f>IF(BN56=0,0,(BO56-BN56)/BN56*100)</f>
        <v>0</v>
      </c>
      <c r="BQ56" s="67">
        <f>IF(BQ58=0,0,(BQ57*BQ58+BQ59*BQ60*6)/BQ58)</f>
        <v>0</v>
      </c>
      <c r="BR56" s="67">
        <f>IF(BR58=0,0,(BR57*BR58+BR59*BR60*6)/BR58)</f>
        <v>0</v>
      </c>
      <c r="BS56" s="368">
        <f>IF(BQ56=0,0,(BR56-BQ56)/BQ56*100)</f>
        <v>0</v>
      </c>
      <c r="BT56" s="67">
        <f>IF(BT58=0,0,(BT57*BT58+BT59*BT60*6)/BT58)</f>
        <v>0</v>
      </c>
      <c r="BU56" s="67">
        <f>IF(BU58=0,0,(BU57*BU58+BU59*BU60*6)/BU58)</f>
        <v>0</v>
      </c>
      <c r="BV56" s="368">
        <f>IF(BT56=0,0,(BU56-BT56)/BT56*100)</f>
        <v>0</v>
      </c>
      <c r="BW56" s="67">
        <f>IF(BW58=0,0,(BW57*BW58+BW59*BW60*6)/BW58)</f>
        <v>0</v>
      </c>
      <c r="BX56" s="67">
        <f>IF(BX58=0,0,(BX57*BX58+BX59*BX60*6)/BX58)</f>
        <v>0</v>
      </c>
      <c r="BY56" s="368">
        <f>IF(BW56=0,0,(BX56-BW56)/BW56*100)</f>
        <v>0</v>
      </c>
      <c r="BZ56" s="67">
        <f>IF(BZ58=0,0,(BZ57*BZ58+BZ59*BZ60*6)/BZ58)</f>
        <v>0</v>
      </c>
      <c r="CA56" s="67">
        <f>IF(CA58=0,0,(CA57*CA58+CA59*CA60*6)/CA58)</f>
        <v>0</v>
      </c>
      <c r="CB56" s="368">
        <f>IF(BZ56=0,0,(CA56-BZ56)/BZ56*100)</f>
        <v>0</v>
      </c>
      <c r="CC56" s="67">
        <f>IF(CC58=0,0,(CC57*CC58+CC59*CC60*6)/CC58)</f>
        <v>0</v>
      </c>
      <c r="CD56" s="67">
        <f>IF(CD58=0,0,(CD57*CD58+CD59*CD60*6)/CD58)</f>
        <v>0</v>
      </c>
      <c r="CE56" s="368">
        <f>IF(CC56=0,0,(CD56-CC56)/CC56*100)</f>
        <v>0</v>
      </c>
      <c r="CF56" s="67">
        <f>IF(CF58=0,0,(CF57*CF58+CF59*CF60*6)/CF58)</f>
        <v>0</v>
      </c>
      <c r="CG56" s="67">
        <f>IF(CG58=0,0,(CG57*CG58+CG59*CG60*6)/CG58)</f>
        <v>0</v>
      </c>
      <c r="CH56" s="368">
        <f>IF(CF56=0,0,(CG56-CF56)/CF56*100)</f>
        <v>0</v>
      </c>
      <c r="CI56" s="67">
        <f>IF(CI58=0,0,(CI57*CI58+CI59*CI60*6)/CI58)</f>
        <v>0</v>
      </c>
      <c r="CJ56" s="67">
        <f>IF(CJ58=0,0,(CJ57*CJ58+CJ59*CJ60*6)/CJ58)</f>
        <v>0</v>
      </c>
      <c r="CK56" s="368">
        <f>IF(CI56=0,0,(CJ56-CI56)/CI56*100)</f>
        <v>0</v>
      </c>
      <c r="CL56" s="67">
        <f>IF(CL58=0,0,(CL57*CL58+CL59*CL60*6)/CL58)</f>
        <v>0</v>
      </c>
      <c r="CM56" s="67">
        <f>IF(CM58=0,0,(CM57*CM58+CM59*CM60*6)/CM58)</f>
        <v>0</v>
      </c>
      <c r="CN56" s="368">
        <f>IF(CL56=0,0,(CM56-CL56)/CL56*100)</f>
        <v>0</v>
      </c>
      <c r="CO56" s="67">
        <f>IF(CO58=0,0,(CO57*CO58+CO59*CO60*6)/CO58)</f>
        <v>0</v>
      </c>
      <c r="CP56" s="67">
        <f>IF(CP58=0,0,(CP57*CP58+CP59*CP60*6)/CP58)</f>
        <v>0</v>
      </c>
      <c r="CQ56" s="368">
        <f>IF(CO56=0,0,(CP56-CO56)/CO56*100)</f>
        <v>0</v>
      </c>
      <c r="CR56" s="67">
        <f>IF(CR58=0,0,(CR57*CR58+CR59*CR60*6)/CR58)</f>
        <v>0</v>
      </c>
      <c r="CS56" s="67">
        <f>IF(CS58=0,0,(CS57*CS58+CS59*CS60*6)/CS58)</f>
        <v>0</v>
      </c>
      <c r="CT56" s="368">
        <f>IF(CR56=0,0,(CS56-CR56)/CR56*100)</f>
        <v>0</v>
      </c>
      <c r="CU56" s="67">
        <f>IF(CU58=0,0,(CU57*CU58+CU59*CU60*6)/CU58)</f>
        <v>0</v>
      </c>
      <c r="CV56" s="67">
        <f>IF(CV58=0,0,(CV57*CV58+CV59*CV60*6)/CV58)</f>
        <v>0</v>
      </c>
      <c r="CW56" s="368">
        <f>IF(CU56=0,0,(CV56-CU56)/CU56*100)</f>
        <v>0</v>
      </c>
      <c r="CX56" s="67">
        <f>IF(CX58=0,0,(CX57*CX58+CX59*CX60*6)/CX58)</f>
        <v>0</v>
      </c>
      <c r="CY56" s="67">
        <f>IF(CY58=0,0,(CY57*CY58+CY59*CY60*6)/CY58)</f>
        <v>0</v>
      </c>
      <c r="CZ56" s="368">
        <f>IF(CX56=0,0,(CY56-CX56)/CX56*100)</f>
        <v>0</v>
      </c>
      <c r="DA56" s="67">
        <f>IF(DA58=0,0,(DA57*DA58+DA59*DA60*6)/DA58)</f>
        <v>0</v>
      </c>
      <c r="DB56" s="67">
        <f>IF(DB58=0,0,(DB57*DB58+DB59*DB60*6)/DB58)</f>
        <v>0</v>
      </c>
      <c r="DC56" s="368">
        <f>IF(DA56=0,0,(DB56-DA56)/DA56*100)</f>
        <v>0</v>
      </c>
      <c r="DD56" s="67">
        <f>IF(DD58=0,0,(DD57*DD58+DD59*DD60*6)/DD58)</f>
        <v>0</v>
      </c>
      <c r="DE56" s="67">
        <f>IF(DE58=0,0,(DE57*DE58+DE59*DE60*6)/DE58)</f>
        <v>0</v>
      </c>
      <c r="DF56" s="368">
        <f>IF(DD56=0,0,(DE56-DD56)/DD56*100)</f>
        <v>0</v>
      </c>
      <c r="DG56" s="67">
        <f>IF(DG58=0,0,(DG57*DG58+DG59*DG60*6)/DG58)</f>
        <v>0</v>
      </c>
      <c r="DH56" s="67">
        <f>IF(DH58=0,0,(DH57*DH58+DH59*DH60*6)/DH58)</f>
        <v>0</v>
      </c>
      <c r="DI56" s="368">
        <f>IF(DG56=0,0,(DH56-DG56)/DG56*100)</f>
        <v>0</v>
      </c>
      <c r="DJ56" s="67">
        <f>IF(DJ58=0,0,(DJ57*DJ58+DJ59*DJ60*6)/DJ58)</f>
        <v>0</v>
      </c>
      <c r="DK56" s="67">
        <f>IF(DK58=0,0,(DK57*DK58+DK59*DK60*6)/DK58)</f>
        <v>0</v>
      </c>
      <c r="DL56" s="368">
        <f>IF(DJ56=0,0,(DK56-DJ56)/DJ56*100)</f>
        <v>0</v>
      </c>
      <c r="DM56" s="67">
        <f>IF(DM58=0,0,(DM57*DM58+DM59*DM60*6)/DM58)</f>
        <v>0</v>
      </c>
      <c r="DN56" s="67">
        <f>IF(DN58=0,0,(DN57*DN58+DN59*DN60*6)/DN58)</f>
        <v>0</v>
      </c>
      <c r="DO56" s="368">
        <f>IF(DM56=0,0,(DN56-DM56)/DM56*100)</f>
        <v>0</v>
      </c>
      <c r="DP56" s="67">
        <f>IF(DP58=0,0,(DP57*DP58+DP59*DP60*6)/DP58)</f>
        <v>0</v>
      </c>
      <c r="DQ56" s="67">
        <f>IF(DQ58=0,0,(DQ57*DQ58+DQ59*DQ60*6)/DQ58)</f>
        <v>0</v>
      </c>
      <c r="DR56" s="368">
        <f>IF(DP56=0,0,(DQ56-DP56)/DP56*100)</f>
        <v>0</v>
      </c>
      <c r="DS56" s="67">
        <f>IF(DS58=0,0,(DS57*DS58+DS59*DS60*6)/DS58)</f>
        <v>0</v>
      </c>
      <c r="DT56" s="67">
        <f>IF(DT58=0,0,(DT57*DT58+DT59*DT60*6)/DT58)</f>
        <v>0</v>
      </c>
      <c r="DU56" s="368">
        <f>IF(DS56=0,0,(DT56-DS56)/DS56*100)</f>
        <v>0</v>
      </c>
      <c r="DV56" s="67">
        <f>IF(DV58=0,0,(DV57*DV58+DV59*DV60*6)/DV58)</f>
        <v>0</v>
      </c>
      <c r="DW56" s="67">
        <f>IF(DW58=0,0,(DW57*DW58+DW59*DW60*6)/DW58)</f>
        <v>0</v>
      </c>
      <c r="DX56" s="368">
        <f>IF(DV56=0,0,(DW56-DV56)/DV56*100)</f>
        <v>0</v>
      </c>
      <c r="DY56" s="67">
        <f>IF(DY58=0,0,(DY57*DY58+DY59*DY60*6)/DY58)</f>
        <v>0</v>
      </c>
      <c r="DZ56" s="67">
        <f>IF(DZ58=0,0,(DZ57*DZ58+DZ59*DZ60*6)/DZ58)</f>
        <v>0</v>
      </c>
      <c r="EA56" s="368">
        <f>IF(DY56=0,0,(DZ56-DY56)/DY56*100)</f>
        <v>0</v>
      </c>
      <c r="EB56" s="67">
        <f>IF(EB58=0,0,(EB57*EB58+EB59*EB60*6)/EB58)</f>
        <v>0</v>
      </c>
      <c r="EC56" s="67">
        <f>IF(EC58=0,0,(EC57*EC58+EC59*EC60*6)/EC58)</f>
        <v>0</v>
      </c>
      <c r="ED56" s="368">
        <f>IF(EB56=0,0,(EC56-EB56)/EB56*100)</f>
        <v>0</v>
      </c>
      <c r="EE56" s="67">
        <f>IF(EE58=0,0,(EE57*EE58+EE59*EE60*6)/EE58)</f>
        <v>0</v>
      </c>
      <c r="EF56" s="67">
        <f>IF(EF58=0,0,(EF57*EF58+EF59*EF60*6)/EF58)</f>
        <v>0</v>
      </c>
      <c r="EG56" s="368">
        <f>IF(EE56=0,0,(EF56-EE56)/EE56*100)</f>
        <v>0</v>
      </c>
      <c r="EH56" s="67">
        <f>IF(EH58=0,0,(EH57*EH58+EH59*EH60*6)/EH58)</f>
        <v>0</v>
      </c>
      <c r="EI56" s="67">
        <f>IF(EI58=0,0,(EI57*EI58+EI59*EI60*6)/EI58)</f>
        <v>0</v>
      </c>
      <c r="EJ56" s="368">
        <f>IF(EH56=0,0,(EI56-EH56)/EH56*100)</f>
        <v>0</v>
      </c>
      <c r="EK56" s="67">
        <f>IF(EK58=0,0,(EK57*EK58+EK59*EK60*6)/EK58)</f>
        <v>0</v>
      </c>
      <c r="EL56" s="67">
        <f>IF(EL58=0,0,(EL57*EL58+EL59*EL60*6)/EL58)</f>
        <v>0</v>
      </c>
      <c r="EM56" s="368">
        <f>IF(EK56=0,0,(EL56-EK56)/EK56*100)</f>
        <v>0</v>
      </c>
      <c r="EN56" s="67">
        <f>IF(EN58=0,0,(EN57*EN58+EN59*EN60*6)/EN58)</f>
        <v>0</v>
      </c>
      <c r="EO56" s="67">
        <f>IF(EO58=0,0,(EO57*EO58+EO59*EO60*6)/EO58)</f>
        <v>0</v>
      </c>
      <c r="EP56" s="368">
        <f>IF(EN56=0,0,(EO56-EN56)/EN56*100)</f>
        <v>0</v>
      </c>
      <c r="EQ56" s="67">
        <f>IF(EQ58=0,0,(EQ57*EQ58+EQ59*EQ60*6)/EQ58)</f>
        <v>0</v>
      </c>
      <c r="ER56" s="67">
        <f>IF(ER58=0,0,(ER57*ER58+ER59*ER60*6)/ER58)</f>
        <v>0</v>
      </c>
      <c r="ES56" s="368">
        <f>IF(EQ56=0,0,(ER56-EQ56)/EQ56*100)</f>
        <v>0</v>
      </c>
      <c r="ET56" s="67">
        <f>IF(ET58=0,0,(ET57*ET58+ET59*ET60*6)/ET58)</f>
        <v>0</v>
      </c>
      <c r="EU56" s="67">
        <f>IF(EU58=0,0,(EU57*EU58+EU59*EU60*6)/EU58)</f>
        <v>0</v>
      </c>
      <c r="EV56" s="368">
        <f>IF(ET56=0,0,(EU56-ET56)/ET56*100)</f>
        <v>0</v>
      </c>
      <c r="EW56" s="67">
        <f>IF(EW58=0,0,(EW57*EW58+EW59*EW60*6)/EW58)</f>
        <v>0</v>
      </c>
      <c r="EX56" s="67">
        <f>IF(EX58=0,0,(EX57*EX58+EX59*EX60*6)/EX58)</f>
        <v>0</v>
      </c>
      <c r="EY56" s="368">
        <f>IF(EW56=0,0,(EX56-EW56)/EW56*100)</f>
        <v>0</v>
      </c>
      <c r="EZ56" s="67">
        <f>IF(EZ58=0,0,(EZ57*EZ58+EZ59*EZ60*6)/EZ58)</f>
        <v>0</v>
      </c>
      <c r="FA56" s="67">
        <f>IF(FA58=0,0,(FA57*FA58+FA59*FA60*6)/FA58)</f>
        <v>0</v>
      </c>
      <c r="FB56" s="368">
        <f>IF(EZ56=0,0,(FA56-EZ56)/EZ56*100)</f>
        <v>0</v>
      </c>
      <c r="FC56" s="67">
        <f>IF(FC58=0,0,(FC57*FC58+FC59*FC60*6)/FC58)</f>
        <v>0</v>
      </c>
      <c r="FD56" s="67">
        <f>IF(FD58=0,0,(FD57*FD58+FD59*FD60*6)/FD58)</f>
        <v>0</v>
      </c>
      <c r="FE56" s="368">
        <f>IF(FC56=0,0,(FD56-FC56)/FC56*100)</f>
        <v>0</v>
      </c>
      <c r="FF56" s="67">
        <f>IF(FF58=0,0,(FF57*FF58+FF59*FF60*6)/FF58)</f>
        <v>0</v>
      </c>
      <c r="FG56" s="67">
        <f>IF(FG58=0,0,(FG57*FG58+FG59*FG60*6)/FG58)</f>
        <v>0</v>
      </c>
      <c r="FH56" s="368">
        <f>IF(FF56=0,0,(FG56-FF56)/FF56*100)</f>
        <v>0</v>
      </c>
      <c r="FI56" s="67">
        <f>IF(FI58=0,0,(FI57*FI58+FI59*FI60*6)/FI58)</f>
        <v>0</v>
      </c>
      <c r="FJ56" s="67">
        <f>IF(FJ58=0,0,(FJ57*FJ58+FJ59*FJ60*6)/FJ58)</f>
        <v>0</v>
      </c>
      <c r="FK56" s="368">
        <f>IF(FI56=0,0,(FJ56-FI56)/FI56*100)</f>
        <v>0</v>
      </c>
      <c r="FL56" s="67">
        <f>IF(FL58=0,0,(FL57*FL58+FL59*FL60*6)/FL58)</f>
        <v>0</v>
      </c>
      <c r="FM56" s="67">
        <f>IF(FM58=0,0,(FM57*FM58+FM59*FM60*6)/FM58)</f>
        <v>0</v>
      </c>
      <c r="FN56" s="368">
        <f>IF(FL56=0,0,(FM56-FL56)/FL56*100)</f>
        <v>0</v>
      </c>
      <c r="FO56" s="67">
        <f>IF(FO58=0,0,(FO57*FO58+FO59*FO60*6)/FO58)</f>
        <v>0</v>
      </c>
      <c r="FP56" s="67">
        <f>IF(FP58=0,0,(FP57*FP58+FP59*FP60*6)/FP58)</f>
        <v>0</v>
      </c>
      <c r="FQ56" s="368">
        <f>IF(FO56=0,0,(FP56-FO56)/FO56*100)</f>
        <v>0</v>
      </c>
      <c r="FR56" s="67">
        <f>IF(FR58=0,0,(FR57*FR58+FR59*FR60*6)/FR58)</f>
        <v>0</v>
      </c>
      <c r="FS56" s="67">
        <f>IF(FS58=0,0,(FS57*FS58+FS59*FS60*6)/FS58)</f>
        <v>0</v>
      </c>
      <c r="FT56" s="368">
        <f>IF(FR56=0,0,(FS56-FR56)/FR56*100)</f>
        <v>0</v>
      </c>
      <c r="FU56" s="67">
        <f>IF(FU58=0,0,(FU57*FU58+FU59*FU60*6)/FU58)</f>
        <v>0</v>
      </c>
      <c r="FV56" s="67">
        <f>IF(FV58=0,0,(FV57*FV58+FV59*FV60*6)/FV58)</f>
        <v>0</v>
      </c>
      <c r="FW56" s="368">
        <f>IF(FU56=0,0,(FV56-FU56)/FU56*100)</f>
        <v>0</v>
      </c>
      <c r="FZ56" s="1184" t="s">
        <v>2160</v>
      </c>
      <c r="GA56" s="1184"/>
      <c r="GB56" s="1184"/>
      <c r="GC56" s="1184"/>
      <c r="GD56" s="1184"/>
    </row>
    <row customHeight="1" ht="15.405000000000001" hidden="1">
      <c r="B57" s="964" cm="1" t="str">
        <f t="array" ref="B57:B57">B56</f>
        <v>false</v>
      </c>
      <c r="C57" s="1325" t="s">
        <v>2141</v>
      </c>
      <c r="D57" s="1294" t="s">
        <v>2142</v>
      </c>
      <c r="E57" s="797">
        <v>15.8</v>
      </c>
      <c r="F57" s="922" cm="1" t="str">
        <f t="array" ref="F57:F57">OFFSET(G57,-1,-1)</f>
        <v>0</v>
      </c>
      <c r="G57" s="739" t="s">
        <v>1767</v>
      </c>
      <c r="H57" s="213" t="s">
        <v>2143</v>
      </c>
      <c r="I57" s="213" t="s">
        <v>2097</v>
      </c>
      <c r="J57" s="1315"/>
      <c r="K57" s="1315" cm="1" t="str">
        <f t="array" ref="K57:K57">OFFSET(J57,-1,1)</f>
        <v>0</v>
      </c>
      <c r="L57" s="1315"/>
      <c r="M57" s="1315" t="s">
        <v>1735</v>
      </c>
      <c r="N57" s="1315" t="s">
        <v>2093</v>
      </c>
      <c r="O57" s="1316" t="s">
        <v>2094</v>
      </c>
      <c r="P57" s="1315" t="s">
        <v>2144</v>
      </c>
      <c r="Q57" s="1315"/>
      <c r="T57" s="808" cm="1" t="str">
        <f t="array" ref="T57:T57">T56</f>
        <v>false</v>
      </c>
      <c r="AB57" s="276" t="s">
        <v>2145</v>
      </c>
      <c r="AC57" s="172" t="s">
        <v>900</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8">
        <f>IF(AD57=0,0,(AE57-AD57)/AD57*100)</f>
        <v>0</v>
      </c>
      <c r="AG57" s="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8">
        <f>IF(AG57=0,0,(AH57-AG57)/AG57*100)</f>
        <v>0</v>
      </c>
      <c r="AJ57" s="67">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7">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8">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8">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8">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8">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8">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8">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8">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8">
        <f>IF(BE57=0,0,(BF57-BE57)/BE57*100)</f>
        <v>0</v>
      </c>
      <c r="BH57" s="67"/>
      <c r="BI57" s="67"/>
      <c r="BJ57" s="368">
        <f>IF(BH57=0,0,(BI57-BH57)/BH57*100)</f>
        <v>0</v>
      </c>
      <c r="BK57" s="67"/>
      <c r="BL57" s="67"/>
      <c r="BM57" s="368">
        <f>IF(BK57=0,0,(BL57-BK57)/BK57*100)</f>
        <v>0</v>
      </c>
      <c r="BN57" s="67"/>
      <c r="BO57" s="67"/>
      <c r="BP57" s="368">
        <f>IF(BN57=0,0,(BO57-BN57)/BN57*100)</f>
        <v>0</v>
      </c>
      <c r="BQ57" s="67"/>
      <c r="BR57" s="67"/>
      <c r="BS57" s="368">
        <f>IF(BQ57=0,0,(BR57-BQ57)/BQ57*100)</f>
        <v>0</v>
      </c>
      <c r="BT57" s="67"/>
      <c r="BU57" s="67"/>
      <c r="BV57" s="368">
        <f>IF(BT57=0,0,(BU57-BT57)/BT57*100)</f>
        <v>0</v>
      </c>
      <c r="BW57" s="67"/>
      <c r="BX57" s="67"/>
      <c r="BY57" s="368">
        <f>IF(BW57=0,0,(BX57-BW57)/BW57*100)</f>
        <v>0</v>
      </c>
      <c r="BZ57" s="67"/>
      <c r="CA57" s="67"/>
      <c r="CB57" s="368">
        <f>IF(BZ57=0,0,(CA57-BZ57)/BZ57*100)</f>
        <v>0</v>
      </c>
      <c r="CC57" s="67"/>
      <c r="CD57" s="67"/>
      <c r="CE57" s="368">
        <f>IF(CC57=0,0,(CD57-CC57)/CC57*100)</f>
        <v>0</v>
      </c>
      <c r="CF57" s="67"/>
      <c r="CG57" s="67"/>
      <c r="CH57" s="368">
        <f>IF(CF57=0,0,(CG57-CF57)/CF57*100)</f>
        <v>0</v>
      </c>
      <c r="CI57" s="67"/>
      <c r="CJ57" s="67"/>
      <c r="CK57" s="368">
        <f>IF(CI57=0,0,(CJ57-CI57)/CI57*100)</f>
        <v>0</v>
      </c>
      <c r="CL57" s="67"/>
      <c r="CM57" s="67"/>
      <c r="CN57" s="368">
        <f>IF(CL57=0,0,(CM57-CL57)/CL57*100)</f>
        <v>0</v>
      </c>
      <c r="CO57" s="67"/>
      <c r="CP57" s="67"/>
      <c r="CQ57" s="368">
        <f>IF(CO57=0,0,(CP57-CO57)/CO57*100)</f>
        <v>0</v>
      </c>
      <c r="CR57" s="67"/>
      <c r="CS57" s="67"/>
      <c r="CT57" s="368">
        <f>IF(CR57=0,0,(CS57-CR57)/CR57*100)</f>
        <v>0</v>
      </c>
      <c r="CU57" s="67"/>
      <c r="CV57" s="67"/>
      <c r="CW57" s="368">
        <f>IF(CU57=0,0,(CV57-CU57)/CU57*100)</f>
        <v>0</v>
      </c>
      <c r="CX57" s="67"/>
      <c r="CY57" s="67"/>
      <c r="CZ57" s="368">
        <f>IF(CX57=0,0,(CY57-CX57)/CX57*100)</f>
        <v>0</v>
      </c>
      <c r="DA57" s="67"/>
      <c r="DB57" s="67"/>
      <c r="DC57" s="368">
        <f>IF(DA57=0,0,(DB57-DA57)/DA57*100)</f>
        <v>0</v>
      </c>
      <c r="DD57" s="67"/>
      <c r="DE57" s="67"/>
      <c r="DF57" s="368">
        <f>IF(DD57=0,0,(DE57-DD57)/DD57*100)</f>
        <v>0</v>
      </c>
      <c r="DG57" s="67"/>
      <c r="DH57" s="67"/>
      <c r="DI57" s="368">
        <f>IF(DG57=0,0,(DH57-DG57)/DG57*100)</f>
        <v>0</v>
      </c>
      <c r="DJ57" s="67"/>
      <c r="DK57" s="67"/>
      <c r="DL57" s="368">
        <f>IF(DJ57=0,0,(DK57-DJ57)/DJ57*100)</f>
        <v>0</v>
      </c>
      <c r="DM57" s="67"/>
      <c r="DN57" s="67"/>
      <c r="DO57" s="368">
        <f>IF(DM57=0,0,(DN57-DM57)/DM57*100)</f>
        <v>0</v>
      </c>
      <c r="DP57" s="67"/>
      <c r="DQ57" s="67"/>
      <c r="DR57" s="368">
        <f>IF(DP57=0,0,(DQ57-DP57)/DP57*100)</f>
        <v>0</v>
      </c>
      <c r="DS57" s="67"/>
      <c r="DT57" s="67"/>
      <c r="DU57" s="368">
        <f>IF(DS57=0,0,(DT57-DS57)/DS57*100)</f>
        <v>0</v>
      </c>
      <c r="DV57" s="67"/>
      <c r="DW57" s="67"/>
      <c r="DX57" s="368">
        <f>IF(DV57=0,0,(DW57-DV57)/DV57*100)</f>
        <v>0</v>
      </c>
      <c r="DY57" s="67"/>
      <c r="DZ57" s="67"/>
      <c r="EA57" s="368">
        <f>IF(DY57=0,0,(DZ57-DY57)/DY57*100)</f>
        <v>0</v>
      </c>
      <c r="EB57" s="67"/>
      <c r="EC57" s="67"/>
      <c r="ED57" s="368">
        <f>IF(EB57=0,0,(EC57-EB57)/EB57*100)</f>
        <v>0</v>
      </c>
      <c r="EE57" s="67"/>
      <c r="EF57" s="67"/>
      <c r="EG57" s="368">
        <f>IF(EE57=0,0,(EF57-EE57)/EE57*100)</f>
        <v>0</v>
      </c>
      <c r="EH57" s="67"/>
      <c r="EI57" s="67"/>
      <c r="EJ57" s="368">
        <f>IF(EH57=0,0,(EI57-EH57)/EH57*100)</f>
        <v>0</v>
      </c>
      <c r="EK57" s="67"/>
      <c r="EL57" s="67"/>
      <c r="EM57" s="368">
        <f>IF(EK57=0,0,(EL57-EK57)/EK57*100)</f>
        <v>0</v>
      </c>
      <c r="EN57" s="67"/>
      <c r="EO57" s="67"/>
      <c r="EP57" s="368">
        <f>IF(EN57=0,0,(EO57-EN57)/EN57*100)</f>
        <v>0</v>
      </c>
      <c r="EQ57" s="67"/>
      <c r="ER57" s="67"/>
      <c r="ES57" s="368">
        <f>IF(EQ57=0,0,(ER57-EQ57)/EQ57*100)</f>
        <v>0</v>
      </c>
      <c r="ET57" s="67"/>
      <c r="EU57" s="67"/>
      <c r="EV57" s="368">
        <f>IF(ET57=0,0,(EU57-ET57)/ET57*100)</f>
        <v>0</v>
      </c>
      <c r="EW57" s="67"/>
      <c r="EX57" s="67"/>
      <c r="EY57" s="368">
        <f>IF(EW57=0,0,(EX57-EW57)/EW57*100)</f>
        <v>0</v>
      </c>
      <c r="EZ57" s="67"/>
      <c r="FA57" s="67"/>
      <c r="FB57" s="368">
        <f>IF(EZ57=0,0,(FA57-EZ57)/EZ57*100)</f>
        <v>0</v>
      </c>
      <c r="FC57" s="67"/>
      <c r="FD57" s="67"/>
      <c r="FE57" s="368">
        <f>IF(FC57=0,0,(FD57-FC57)/FC57*100)</f>
        <v>0</v>
      </c>
      <c r="FF57" s="67"/>
      <c r="FG57" s="67"/>
      <c r="FH57" s="368">
        <f>IF(FF57=0,0,(FG57-FF57)/FF57*100)</f>
        <v>0</v>
      </c>
      <c r="FI57" s="67"/>
      <c r="FJ57" s="67"/>
      <c r="FK57" s="368">
        <f>IF(FI57=0,0,(FJ57-FI57)/FI57*100)</f>
        <v>0</v>
      </c>
      <c r="FL57" s="67"/>
      <c r="FM57" s="67"/>
      <c r="FN57" s="368">
        <f>IF(FL57=0,0,(FM57-FL57)/FL57*100)</f>
        <v>0</v>
      </c>
      <c r="FO57" s="67"/>
      <c r="FP57" s="67"/>
      <c r="FQ57" s="368">
        <f>IF(FO57=0,0,(FP57-FO57)/FO57*100)</f>
        <v>0</v>
      </c>
      <c r="FR57" s="67"/>
      <c r="FS57" s="67"/>
      <c r="FT57" s="368">
        <f>IF(FR57=0,0,(FS57-FR57)/FR57*100)</f>
        <v>0</v>
      </c>
      <c r="FU57" s="67"/>
      <c r="FV57" s="67"/>
      <c r="FW57" s="368">
        <f>IF(FU57=0,0,(FV57-FU57)/FU57*100)</f>
        <v>0</v>
      </c>
      <c r="FZ57" s="1184" t="s">
        <v>2161</v>
      </c>
      <c r="GA57" s="1184"/>
      <c r="GB57" s="1184"/>
      <c r="GC57" s="1184"/>
      <c r="GD57" s="1184"/>
    </row>
    <row customHeight="1" ht="15.405000000000001" hidden="1">
      <c r="B58" s="964" cm="1" t="str">
        <f t="array" ref="B58:B58">B57</f>
        <v>false</v>
      </c>
      <c r="C58" s="1325" t="s">
        <v>1723</v>
      </c>
      <c r="D58" s="1294" t="s">
        <v>1724</v>
      </c>
      <c r="E58" s="797">
        <v>15.8</v>
      </c>
      <c r="F58" s="922" cm="1" t="str">
        <f t="array" ref="F58:F58">OFFSET(G58,-1,-1)</f>
        <v>0</v>
      </c>
      <c r="G58" s="193" t="s">
        <v>1734</v>
      </c>
      <c r="H58" s="213" t="s">
        <v>2147</v>
      </c>
      <c r="I58" s="213" t="s">
        <v>2097</v>
      </c>
      <c r="J58" s="1315"/>
      <c r="K58" s="1315" cm="1" t="str">
        <f t="array" ref="K58:K58">OFFSET(J58,-1,1)</f>
        <v>0</v>
      </c>
      <c r="L58" s="1315"/>
      <c r="M58" s="1315" t="s">
        <v>1735</v>
      </c>
      <c r="N58" s="1315" t="s">
        <v>2093</v>
      </c>
      <c r="O58" s="1316" t="s">
        <v>2094</v>
      </c>
      <c r="P58" s="1315" t="s">
        <v>2148</v>
      </c>
      <c r="Q58" s="1315"/>
      <c r="T58" s="808" cm="1" t="str">
        <f t="array" ref="T58:T58">T57</f>
        <v>false</v>
      </c>
      <c r="AB58" s="276" t="s">
        <v>2149</v>
      </c>
      <c r="AC58" s="172" t="s">
        <v>599</v>
      </c>
      <c r="AD58" s="148">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8">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0">
        <f>IF(AD58=0,0,(AE58-AD58)/AD58*100)</f>
        <v>0</v>
      </c>
      <c r="AG58" s="148">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8">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0">
        <f>IF(AG58=0,0,(AH58-AG58)/AG58*100)</f>
        <v>0</v>
      </c>
      <c r="AJ58" s="148">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8">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0">
        <f>IF(AJ58=0,0,(AK58-AJ58)/AJ58*100)</f>
        <v>0</v>
      </c>
      <c r="AM58" s="148">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8">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0">
        <f>IF(AM58=0,0,(AN58-AM58)/AM58*100)</f>
        <v>0</v>
      </c>
      <c r="AP58" s="148">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8">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0">
        <f>IF(AP58=0,0,(AQ58-AP58)/AP58*100)</f>
        <v>0</v>
      </c>
      <c r="AS58" s="148">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8">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0">
        <f>IF(AS58=0,0,(AT58-AS58)/AS58*100)</f>
        <v>0</v>
      </c>
      <c r="AV58" s="148">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8">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0">
        <f>IF(AV58=0,0,(AW58-AV58)/AV58*100)</f>
        <v>0</v>
      </c>
      <c r="AY58" s="148">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8">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0">
        <f>IF(AY58=0,0,(AZ58-AY58)/AY58*100)</f>
        <v>0</v>
      </c>
      <c r="BB58" s="148">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8">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0">
        <f>IF(BB58=0,0,(BC58-BB58)/BB58*100)</f>
        <v>0</v>
      </c>
      <c r="BE58" s="148">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8">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0">
        <f>IF(BE58=0,0,(BF58-BE58)/BE58*100)</f>
        <v>0</v>
      </c>
      <c r="BH58" s="148"/>
      <c r="BI58" s="148"/>
      <c r="BJ58" s="400">
        <f>IF(BH58=0,0,(BI58-BH58)/BH58*100)</f>
        <v>0</v>
      </c>
      <c r="BK58" s="148"/>
      <c r="BL58" s="148"/>
      <c r="BM58" s="400">
        <f>IF(BK58=0,0,(BL58-BK58)/BK58*100)</f>
        <v>0</v>
      </c>
      <c r="BN58" s="148"/>
      <c r="BO58" s="148"/>
      <c r="BP58" s="400">
        <f>IF(BN58=0,0,(BO58-BN58)/BN58*100)</f>
        <v>0</v>
      </c>
      <c r="BQ58" s="148"/>
      <c r="BR58" s="148"/>
      <c r="BS58" s="400">
        <f>IF(BQ58=0,0,(BR58-BQ58)/BQ58*100)</f>
        <v>0</v>
      </c>
      <c r="BT58" s="148"/>
      <c r="BU58" s="148"/>
      <c r="BV58" s="400">
        <f>IF(BT58=0,0,(BU58-BT58)/BT58*100)</f>
        <v>0</v>
      </c>
      <c r="BW58" s="148"/>
      <c r="BX58" s="148"/>
      <c r="BY58" s="400">
        <f>IF(BW58=0,0,(BX58-BW58)/BW58*100)</f>
        <v>0</v>
      </c>
      <c r="BZ58" s="148"/>
      <c r="CA58" s="148"/>
      <c r="CB58" s="400">
        <f>IF(BZ58=0,0,(CA58-BZ58)/BZ58*100)</f>
        <v>0</v>
      </c>
      <c r="CC58" s="148"/>
      <c r="CD58" s="148"/>
      <c r="CE58" s="400">
        <f>IF(CC58=0,0,(CD58-CC58)/CC58*100)</f>
        <v>0</v>
      </c>
      <c r="CF58" s="148"/>
      <c r="CG58" s="148"/>
      <c r="CH58" s="400">
        <f>IF(CF58=0,0,(CG58-CF58)/CF58*100)</f>
        <v>0</v>
      </c>
      <c r="CI58" s="148"/>
      <c r="CJ58" s="148"/>
      <c r="CK58" s="400">
        <f>IF(CI58=0,0,(CJ58-CI58)/CI58*100)</f>
        <v>0</v>
      </c>
      <c r="CL58" s="148"/>
      <c r="CM58" s="148"/>
      <c r="CN58" s="400">
        <f>IF(CL58=0,0,(CM58-CL58)/CL58*100)</f>
        <v>0</v>
      </c>
      <c r="CO58" s="148"/>
      <c r="CP58" s="148"/>
      <c r="CQ58" s="400">
        <f>IF(CO58=0,0,(CP58-CO58)/CO58*100)</f>
        <v>0</v>
      </c>
      <c r="CR58" s="148"/>
      <c r="CS58" s="148"/>
      <c r="CT58" s="400">
        <f>IF(CR58=0,0,(CS58-CR58)/CR58*100)</f>
        <v>0</v>
      </c>
      <c r="CU58" s="148"/>
      <c r="CV58" s="148"/>
      <c r="CW58" s="400">
        <f>IF(CU58=0,0,(CV58-CU58)/CU58*100)</f>
        <v>0</v>
      </c>
      <c r="CX58" s="148"/>
      <c r="CY58" s="148"/>
      <c r="CZ58" s="400">
        <f>IF(CX58=0,0,(CY58-CX58)/CX58*100)</f>
        <v>0</v>
      </c>
      <c r="DA58" s="148"/>
      <c r="DB58" s="148"/>
      <c r="DC58" s="400">
        <f>IF(DA58=0,0,(DB58-DA58)/DA58*100)</f>
        <v>0</v>
      </c>
      <c r="DD58" s="148"/>
      <c r="DE58" s="148"/>
      <c r="DF58" s="400">
        <f>IF(DD58=0,0,(DE58-DD58)/DD58*100)</f>
        <v>0</v>
      </c>
      <c r="DG58" s="148"/>
      <c r="DH58" s="148"/>
      <c r="DI58" s="400">
        <f>IF(DG58=0,0,(DH58-DG58)/DG58*100)</f>
        <v>0</v>
      </c>
      <c r="DJ58" s="148"/>
      <c r="DK58" s="148"/>
      <c r="DL58" s="400">
        <f>IF(DJ58=0,0,(DK58-DJ58)/DJ58*100)</f>
        <v>0</v>
      </c>
      <c r="DM58" s="148"/>
      <c r="DN58" s="148"/>
      <c r="DO58" s="400">
        <f>IF(DM58=0,0,(DN58-DM58)/DM58*100)</f>
        <v>0</v>
      </c>
      <c r="DP58" s="148"/>
      <c r="DQ58" s="148"/>
      <c r="DR58" s="400">
        <f>IF(DP58=0,0,(DQ58-DP58)/DP58*100)</f>
        <v>0</v>
      </c>
      <c r="DS58" s="148"/>
      <c r="DT58" s="148"/>
      <c r="DU58" s="400">
        <f>IF(DS58=0,0,(DT58-DS58)/DS58*100)</f>
        <v>0</v>
      </c>
      <c r="DV58" s="148"/>
      <c r="DW58" s="148"/>
      <c r="DX58" s="400">
        <f>IF(DV58=0,0,(DW58-DV58)/DV58*100)</f>
        <v>0</v>
      </c>
      <c r="DY58" s="148"/>
      <c r="DZ58" s="148"/>
      <c r="EA58" s="400">
        <f>IF(DY58=0,0,(DZ58-DY58)/DY58*100)</f>
        <v>0</v>
      </c>
      <c r="EB58" s="148"/>
      <c r="EC58" s="148"/>
      <c r="ED58" s="400">
        <f>IF(EB58=0,0,(EC58-EB58)/EB58*100)</f>
        <v>0</v>
      </c>
      <c r="EE58" s="148"/>
      <c r="EF58" s="148"/>
      <c r="EG58" s="400">
        <f>IF(EE58=0,0,(EF58-EE58)/EE58*100)</f>
        <v>0</v>
      </c>
      <c r="EH58" s="148"/>
      <c r="EI58" s="148"/>
      <c r="EJ58" s="400">
        <f>IF(EH58=0,0,(EI58-EH58)/EH58*100)</f>
        <v>0</v>
      </c>
      <c r="EK58" s="148"/>
      <c r="EL58" s="148"/>
      <c r="EM58" s="400">
        <f>IF(EK58=0,0,(EL58-EK58)/EK58*100)</f>
        <v>0</v>
      </c>
      <c r="EN58" s="148"/>
      <c r="EO58" s="148"/>
      <c r="EP58" s="400">
        <f>IF(EN58=0,0,(EO58-EN58)/EN58*100)</f>
        <v>0</v>
      </c>
      <c r="EQ58" s="148"/>
      <c r="ER58" s="148"/>
      <c r="ES58" s="400">
        <f>IF(EQ58=0,0,(ER58-EQ58)/EQ58*100)</f>
        <v>0</v>
      </c>
      <c r="ET58" s="148"/>
      <c r="EU58" s="148"/>
      <c r="EV58" s="400">
        <f>IF(ET58=0,0,(EU58-ET58)/ET58*100)</f>
        <v>0</v>
      </c>
      <c r="EW58" s="148"/>
      <c r="EX58" s="148"/>
      <c r="EY58" s="400">
        <f>IF(EW58=0,0,(EX58-EW58)/EW58*100)</f>
        <v>0</v>
      </c>
      <c r="EZ58" s="148"/>
      <c r="FA58" s="148"/>
      <c r="FB58" s="400">
        <f>IF(EZ58=0,0,(FA58-EZ58)/EZ58*100)</f>
        <v>0</v>
      </c>
      <c r="FC58" s="148"/>
      <c r="FD58" s="148"/>
      <c r="FE58" s="400">
        <f>IF(FC58=0,0,(FD58-FC58)/FC58*100)</f>
        <v>0</v>
      </c>
      <c r="FF58" s="148"/>
      <c r="FG58" s="148"/>
      <c r="FH58" s="400">
        <f>IF(FF58=0,0,(FG58-FF58)/FF58*100)</f>
        <v>0</v>
      </c>
      <c r="FI58" s="148"/>
      <c r="FJ58" s="148"/>
      <c r="FK58" s="400">
        <f>IF(FI58=0,0,(FJ58-FI58)/FI58*100)</f>
        <v>0</v>
      </c>
      <c r="FL58" s="148"/>
      <c r="FM58" s="148"/>
      <c r="FN58" s="400">
        <f>IF(FL58=0,0,(FM58-FL58)/FL58*100)</f>
        <v>0</v>
      </c>
      <c r="FO58" s="148"/>
      <c r="FP58" s="148"/>
      <c r="FQ58" s="400">
        <f>IF(FO58=0,0,(FP58-FO58)/FO58*100)</f>
        <v>0</v>
      </c>
      <c r="FR58" s="148"/>
      <c r="FS58" s="148"/>
      <c r="FT58" s="400">
        <f>IF(FR58=0,0,(FS58-FR58)/FR58*100)</f>
        <v>0</v>
      </c>
      <c r="FU58" s="148"/>
      <c r="FV58" s="148"/>
      <c r="FW58" s="400">
        <f>IF(FU58=0,0,(FV58-FU58)/FU58*100)</f>
        <v>0</v>
      </c>
      <c r="FZ58" s="1184" t="s">
        <v>2162</v>
      </c>
      <c r="GA58" s="1184"/>
      <c r="GB58" s="1184"/>
      <c r="GC58" s="1184"/>
      <c r="GD58" s="1184"/>
    </row>
    <row customHeight="1" ht="30.712500000000002" hidden="1">
      <c r="B59" s="964" cm="1" t="str">
        <f t="array" ref="B59:B59">B58</f>
        <v>false</v>
      </c>
      <c r="C59" s="1325" t="s">
        <v>1777</v>
      </c>
      <c r="D59" s="1294" t="s">
        <v>1778</v>
      </c>
      <c r="E59" s="797">
        <v>31.5</v>
      </c>
      <c r="F59" s="922" cm="1" t="str">
        <f t="array" ref="F59:F59">OFFSET(G59,-1,-1)</f>
        <v>0</v>
      </c>
      <c r="G59" s="739" t="s">
        <v>1783</v>
      </c>
      <c r="H59" s="213" t="s">
        <v>2151</v>
      </c>
      <c r="I59" s="213" t="s">
        <v>2097</v>
      </c>
      <c r="J59" s="1315"/>
      <c r="K59" s="1315" cm="1" t="str">
        <f t="array" ref="K59:K59">OFFSET(J59,-1,1)</f>
        <v>0</v>
      </c>
      <c r="L59" s="1315"/>
      <c r="M59" s="1315" t="s">
        <v>1735</v>
      </c>
      <c r="N59" s="1315" t="s">
        <v>2093</v>
      </c>
      <c r="O59" s="1316" t="s">
        <v>2094</v>
      </c>
      <c r="P59" s="1315" t="s">
        <v>2152</v>
      </c>
      <c r="Q59" s="1315"/>
      <c r="T59" s="808" cm="1" t="str">
        <f t="array" ref="T59:T59">T58</f>
        <v>false</v>
      </c>
      <c r="AB59" s="276" t="s">
        <v>2153</v>
      </c>
      <c r="AC59" s="520" t="s">
        <v>1781</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8">
        <f>IF(AD59=0,0,(AE59-AD59)/AD59*100)</f>
        <v>0</v>
      </c>
      <c r="AG59" s="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8">
        <f>IF(AG59=0,0,(AH59-AG59)/AG59*100)</f>
        <v>0</v>
      </c>
      <c r="AJ59" s="67">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7">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8">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8">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8">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8">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8">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8">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8">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8">
        <f>IF(BE59=0,0,(BF59-BE59)/BE59*100)</f>
        <v>0</v>
      </c>
      <c r="BH59" s="67"/>
      <c r="BI59" s="67"/>
      <c r="BJ59" s="368">
        <f>IF(BH59=0,0,(BI59-BH59)/BH59*100)</f>
        <v>0</v>
      </c>
      <c r="BK59" s="67"/>
      <c r="BL59" s="67"/>
      <c r="BM59" s="368">
        <f>IF(BK59=0,0,(BL59-BK59)/BK59*100)</f>
        <v>0</v>
      </c>
      <c r="BN59" s="67"/>
      <c r="BO59" s="67"/>
      <c r="BP59" s="368">
        <f>IF(BN59=0,0,(BO59-BN59)/BN59*100)</f>
        <v>0</v>
      </c>
      <c r="BQ59" s="67"/>
      <c r="BR59" s="67"/>
      <c r="BS59" s="368">
        <f>IF(BQ59=0,0,(BR59-BQ59)/BQ59*100)</f>
        <v>0</v>
      </c>
      <c r="BT59" s="67"/>
      <c r="BU59" s="67"/>
      <c r="BV59" s="368">
        <f>IF(BT59=0,0,(BU59-BT59)/BT59*100)</f>
        <v>0</v>
      </c>
      <c r="BW59" s="67"/>
      <c r="BX59" s="67"/>
      <c r="BY59" s="368">
        <f>IF(BW59=0,0,(BX59-BW59)/BW59*100)</f>
        <v>0</v>
      </c>
      <c r="BZ59" s="67"/>
      <c r="CA59" s="67"/>
      <c r="CB59" s="368">
        <f>IF(BZ59=0,0,(CA59-BZ59)/BZ59*100)</f>
        <v>0</v>
      </c>
      <c r="CC59" s="67"/>
      <c r="CD59" s="67"/>
      <c r="CE59" s="368">
        <f>IF(CC59=0,0,(CD59-CC59)/CC59*100)</f>
        <v>0</v>
      </c>
      <c r="CF59" s="67"/>
      <c r="CG59" s="67"/>
      <c r="CH59" s="368">
        <f>IF(CF59=0,0,(CG59-CF59)/CF59*100)</f>
        <v>0</v>
      </c>
      <c r="CI59" s="67"/>
      <c r="CJ59" s="67"/>
      <c r="CK59" s="368">
        <f>IF(CI59=0,0,(CJ59-CI59)/CI59*100)</f>
        <v>0</v>
      </c>
      <c r="CL59" s="67"/>
      <c r="CM59" s="67"/>
      <c r="CN59" s="368">
        <f>IF(CL59=0,0,(CM59-CL59)/CL59*100)</f>
        <v>0</v>
      </c>
      <c r="CO59" s="67"/>
      <c r="CP59" s="67"/>
      <c r="CQ59" s="368">
        <f>IF(CO59=0,0,(CP59-CO59)/CO59*100)</f>
        <v>0</v>
      </c>
      <c r="CR59" s="67"/>
      <c r="CS59" s="67"/>
      <c r="CT59" s="368">
        <f>IF(CR59=0,0,(CS59-CR59)/CR59*100)</f>
        <v>0</v>
      </c>
      <c r="CU59" s="67"/>
      <c r="CV59" s="67"/>
      <c r="CW59" s="368">
        <f>IF(CU59=0,0,(CV59-CU59)/CU59*100)</f>
        <v>0</v>
      </c>
      <c r="CX59" s="67"/>
      <c r="CY59" s="67"/>
      <c r="CZ59" s="368">
        <f>IF(CX59=0,0,(CY59-CX59)/CX59*100)</f>
        <v>0</v>
      </c>
      <c r="DA59" s="67"/>
      <c r="DB59" s="67"/>
      <c r="DC59" s="368">
        <f>IF(DA59=0,0,(DB59-DA59)/DA59*100)</f>
        <v>0</v>
      </c>
      <c r="DD59" s="67"/>
      <c r="DE59" s="67"/>
      <c r="DF59" s="368">
        <f>IF(DD59=0,0,(DE59-DD59)/DD59*100)</f>
        <v>0</v>
      </c>
      <c r="DG59" s="67"/>
      <c r="DH59" s="67"/>
      <c r="DI59" s="368">
        <f>IF(DG59=0,0,(DH59-DG59)/DG59*100)</f>
        <v>0</v>
      </c>
      <c r="DJ59" s="67"/>
      <c r="DK59" s="67"/>
      <c r="DL59" s="368">
        <f>IF(DJ59=0,0,(DK59-DJ59)/DJ59*100)</f>
        <v>0</v>
      </c>
      <c r="DM59" s="67"/>
      <c r="DN59" s="67"/>
      <c r="DO59" s="368">
        <f>IF(DM59=0,0,(DN59-DM59)/DM59*100)</f>
        <v>0</v>
      </c>
      <c r="DP59" s="67"/>
      <c r="DQ59" s="67"/>
      <c r="DR59" s="368">
        <f>IF(DP59=0,0,(DQ59-DP59)/DP59*100)</f>
        <v>0</v>
      </c>
      <c r="DS59" s="67"/>
      <c r="DT59" s="67"/>
      <c r="DU59" s="368">
        <f>IF(DS59=0,0,(DT59-DS59)/DS59*100)</f>
        <v>0</v>
      </c>
      <c r="DV59" s="67"/>
      <c r="DW59" s="67"/>
      <c r="DX59" s="368">
        <f>IF(DV59=0,0,(DW59-DV59)/DV59*100)</f>
        <v>0</v>
      </c>
      <c r="DY59" s="67"/>
      <c r="DZ59" s="67"/>
      <c r="EA59" s="368">
        <f>IF(DY59=0,0,(DZ59-DY59)/DY59*100)</f>
        <v>0</v>
      </c>
      <c r="EB59" s="67"/>
      <c r="EC59" s="67"/>
      <c r="ED59" s="368">
        <f>IF(EB59=0,0,(EC59-EB59)/EB59*100)</f>
        <v>0</v>
      </c>
      <c r="EE59" s="67"/>
      <c r="EF59" s="67"/>
      <c r="EG59" s="368">
        <f>IF(EE59=0,0,(EF59-EE59)/EE59*100)</f>
        <v>0</v>
      </c>
      <c r="EH59" s="67"/>
      <c r="EI59" s="67"/>
      <c r="EJ59" s="368">
        <f>IF(EH59=0,0,(EI59-EH59)/EH59*100)</f>
        <v>0</v>
      </c>
      <c r="EK59" s="67"/>
      <c r="EL59" s="67"/>
      <c r="EM59" s="368">
        <f>IF(EK59=0,0,(EL59-EK59)/EK59*100)</f>
        <v>0</v>
      </c>
      <c r="EN59" s="67"/>
      <c r="EO59" s="67"/>
      <c r="EP59" s="368">
        <f>IF(EN59=0,0,(EO59-EN59)/EN59*100)</f>
        <v>0</v>
      </c>
      <c r="EQ59" s="67"/>
      <c r="ER59" s="67"/>
      <c r="ES59" s="368">
        <f>IF(EQ59=0,0,(ER59-EQ59)/EQ59*100)</f>
        <v>0</v>
      </c>
      <c r="ET59" s="67"/>
      <c r="EU59" s="67"/>
      <c r="EV59" s="368">
        <f>IF(ET59=0,0,(EU59-ET59)/ET59*100)</f>
        <v>0</v>
      </c>
      <c r="EW59" s="67"/>
      <c r="EX59" s="67"/>
      <c r="EY59" s="368">
        <f>IF(EW59=0,0,(EX59-EW59)/EW59*100)</f>
        <v>0</v>
      </c>
      <c r="EZ59" s="67"/>
      <c r="FA59" s="67"/>
      <c r="FB59" s="368">
        <f>IF(EZ59=0,0,(FA59-EZ59)/EZ59*100)</f>
        <v>0</v>
      </c>
      <c r="FC59" s="67"/>
      <c r="FD59" s="67"/>
      <c r="FE59" s="368">
        <f>IF(FC59=0,0,(FD59-FC59)/FC59*100)</f>
        <v>0</v>
      </c>
      <c r="FF59" s="67"/>
      <c r="FG59" s="67"/>
      <c r="FH59" s="368">
        <f>IF(FF59=0,0,(FG59-FF59)/FF59*100)</f>
        <v>0</v>
      </c>
      <c r="FI59" s="67"/>
      <c r="FJ59" s="67"/>
      <c r="FK59" s="368">
        <f>IF(FI59=0,0,(FJ59-FI59)/FI59*100)</f>
        <v>0</v>
      </c>
      <c r="FL59" s="67"/>
      <c r="FM59" s="67"/>
      <c r="FN59" s="368">
        <f>IF(FL59=0,0,(FM59-FL59)/FL59*100)</f>
        <v>0</v>
      </c>
      <c r="FO59" s="67"/>
      <c r="FP59" s="67"/>
      <c r="FQ59" s="368">
        <f>IF(FO59=0,0,(FP59-FO59)/FO59*100)</f>
        <v>0</v>
      </c>
      <c r="FR59" s="67"/>
      <c r="FS59" s="67"/>
      <c r="FT59" s="368">
        <f>IF(FR59=0,0,(FS59-FR59)/FR59*100)</f>
        <v>0</v>
      </c>
      <c r="FU59" s="67"/>
      <c r="FV59" s="67"/>
      <c r="FW59" s="368">
        <f>IF(FU59=0,0,(FV59-FU59)/FU59*100)</f>
        <v>0</v>
      </c>
      <c r="FZ59" s="1184" t="s">
        <v>2163</v>
      </c>
      <c r="GA59" s="1184"/>
      <c r="GB59" s="1184"/>
      <c r="GC59" s="1184"/>
      <c r="GD59" s="1184"/>
    </row>
    <row customHeight="1" ht="15.405000000000001" hidden="1">
      <c r="B60" s="964" cm="1" t="str">
        <f t="array" ref="B60:B60">B59</f>
        <v>false</v>
      </c>
      <c r="C60" s="1325" t="s">
        <v>1749</v>
      </c>
      <c r="D60" s="1294" t="s">
        <v>1750</v>
      </c>
      <c r="E60" s="797">
        <v>15.8</v>
      </c>
      <c r="F60" s="922" cm="1" t="str">
        <f t="array" ref="F60:F60">OFFSET(G60,-1,-1)</f>
        <v>0</v>
      </c>
      <c r="G60" s="739" t="s">
        <v>1756</v>
      </c>
      <c r="H60" s="213" t="s">
        <v>2155</v>
      </c>
      <c r="I60" s="213" t="s">
        <v>2097</v>
      </c>
      <c r="J60" s="1315"/>
      <c r="K60" s="1315" cm="1" t="str">
        <f t="array" ref="K60:K60">OFFSET(J60,-1,1)</f>
        <v>0</v>
      </c>
      <c r="L60" s="1315"/>
      <c r="M60" s="1315" t="s">
        <v>1735</v>
      </c>
      <c r="N60" s="1315" t="s">
        <v>2093</v>
      </c>
      <c r="O60" s="1316" t="s">
        <v>2094</v>
      </c>
      <c r="P60" s="1315" t="s">
        <v>2156</v>
      </c>
      <c r="Q60" s="1315"/>
      <c r="T60" s="808" cm="1" t="str">
        <f t="array" ref="T60:T60">T59</f>
        <v>false</v>
      </c>
      <c r="AB60" s="276" t="s">
        <v>2157</v>
      </c>
      <c r="AC60" s="667" t="s">
        <v>695</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8">
        <f>IF(AD60=0,0,(AE60-AD60)/AD60*100)</f>
        <v>0</v>
      </c>
      <c r="AG60" s="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8">
        <f>IF(AG60=0,0,(AH60-AG60)/AG60*100)</f>
        <v>0</v>
      </c>
      <c r="AJ60" s="67">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7">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8">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8">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8">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8">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8">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8">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8">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8">
        <f>IF(BE60=0,0,(BF60-BE60)/BE60*100)</f>
        <v>0</v>
      </c>
      <c r="BH60" s="67"/>
      <c r="BI60" s="67"/>
      <c r="BJ60" s="368">
        <f>IF(BH60=0,0,(BI60-BH60)/BH60*100)</f>
        <v>0</v>
      </c>
      <c r="BK60" s="67"/>
      <c r="BL60" s="67"/>
      <c r="BM60" s="368">
        <f>IF(BK60=0,0,(BL60-BK60)/BK60*100)</f>
        <v>0</v>
      </c>
      <c r="BN60" s="67"/>
      <c r="BO60" s="67"/>
      <c r="BP60" s="368">
        <f>IF(BN60=0,0,(BO60-BN60)/BN60*100)</f>
        <v>0</v>
      </c>
      <c r="BQ60" s="67"/>
      <c r="BR60" s="67"/>
      <c r="BS60" s="368">
        <f>IF(BQ60=0,0,(BR60-BQ60)/BQ60*100)</f>
        <v>0</v>
      </c>
      <c r="BT60" s="67"/>
      <c r="BU60" s="67"/>
      <c r="BV60" s="368">
        <f>IF(BT60=0,0,(BU60-BT60)/BT60*100)</f>
        <v>0</v>
      </c>
      <c r="BW60" s="67"/>
      <c r="BX60" s="67"/>
      <c r="BY60" s="368">
        <f>IF(BW60=0,0,(BX60-BW60)/BW60*100)</f>
        <v>0</v>
      </c>
      <c r="BZ60" s="67"/>
      <c r="CA60" s="67"/>
      <c r="CB60" s="368">
        <f>IF(BZ60=0,0,(CA60-BZ60)/BZ60*100)</f>
        <v>0</v>
      </c>
      <c r="CC60" s="67"/>
      <c r="CD60" s="67"/>
      <c r="CE60" s="368">
        <f>IF(CC60=0,0,(CD60-CC60)/CC60*100)</f>
        <v>0</v>
      </c>
      <c r="CF60" s="67"/>
      <c r="CG60" s="67"/>
      <c r="CH60" s="368">
        <f>IF(CF60=0,0,(CG60-CF60)/CF60*100)</f>
        <v>0</v>
      </c>
      <c r="CI60" s="67"/>
      <c r="CJ60" s="67"/>
      <c r="CK60" s="368">
        <f>IF(CI60=0,0,(CJ60-CI60)/CI60*100)</f>
        <v>0</v>
      </c>
      <c r="CL60" s="67"/>
      <c r="CM60" s="67"/>
      <c r="CN60" s="368">
        <f>IF(CL60=0,0,(CM60-CL60)/CL60*100)</f>
        <v>0</v>
      </c>
      <c r="CO60" s="67"/>
      <c r="CP60" s="67"/>
      <c r="CQ60" s="368">
        <f>IF(CO60=0,0,(CP60-CO60)/CO60*100)</f>
        <v>0</v>
      </c>
      <c r="CR60" s="67"/>
      <c r="CS60" s="67"/>
      <c r="CT60" s="368">
        <f>IF(CR60=0,0,(CS60-CR60)/CR60*100)</f>
        <v>0</v>
      </c>
      <c r="CU60" s="67"/>
      <c r="CV60" s="67"/>
      <c r="CW60" s="368">
        <f>IF(CU60=0,0,(CV60-CU60)/CU60*100)</f>
        <v>0</v>
      </c>
      <c r="CX60" s="67"/>
      <c r="CY60" s="67"/>
      <c r="CZ60" s="368">
        <f>IF(CX60=0,0,(CY60-CX60)/CX60*100)</f>
        <v>0</v>
      </c>
      <c r="DA60" s="67"/>
      <c r="DB60" s="67"/>
      <c r="DC60" s="368">
        <f>IF(DA60=0,0,(DB60-DA60)/DA60*100)</f>
        <v>0</v>
      </c>
      <c r="DD60" s="67"/>
      <c r="DE60" s="67"/>
      <c r="DF60" s="368">
        <f>IF(DD60=0,0,(DE60-DD60)/DD60*100)</f>
        <v>0</v>
      </c>
      <c r="DG60" s="67"/>
      <c r="DH60" s="67"/>
      <c r="DI60" s="368">
        <f>IF(DG60=0,0,(DH60-DG60)/DG60*100)</f>
        <v>0</v>
      </c>
      <c r="DJ60" s="67"/>
      <c r="DK60" s="67"/>
      <c r="DL60" s="368">
        <f>IF(DJ60=0,0,(DK60-DJ60)/DJ60*100)</f>
        <v>0</v>
      </c>
      <c r="DM60" s="67"/>
      <c r="DN60" s="67"/>
      <c r="DO60" s="368">
        <f>IF(DM60=0,0,(DN60-DM60)/DM60*100)</f>
        <v>0</v>
      </c>
      <c r="DP60" s="67"/>
      <c r="DQ60" s="67"/>
      <c r="DR60" s="368">
        <f>IF(DP60=0,0,(DQ60-DP60)/DP60*100)</f>
        <v>0</v>
      </c>
      <c r="DS60" s="67"/>
      <c r="DT60" s="67"/>
      <c r="DU60" s="368">
        <f>IF(DS60=0,0,(DT60-DS60)/DS60*100)</f>
        <v>0</v>
      </c>
      <c r="DV60" s="67"/>
      <c r="DW60" s="67"/>
      <c r="DX60" s="368">
        <f>IF(DV60=0,0,(DW60-DV60)/DV60*100)</f>
        <v>0</v>
      </c>
      <c r="DY60" s="67"/>
      <c r="DZ60" s="67"/>
      <c r="EA60" s="368">
        <f>IF(DY60=0,0,(DZ60-DY60)/DY60*100)</f>
        <v>0</v>
      </c>
      <c r="EB60" s="67"/>
      <c r="EC60" s="67"/>
      <c r="ED60" s="368">
        <f>IF(EB60=0,0,(EC60-EB60)/EB60*100)</f>
        <v>0</v>
      </c>
      <c r="EE60" s="67"/>
      <c r="EF60" s="67"/>
      <c r="EG60" s="368">
        <f>IF(EE60=0,0,(EF60-EE60)/EE60*100)</f>
        <v>0</v>
      </c>
      <c r="EH60" s="67"/>
      <c r="EI60" s="67"/>
      <c r="EJ60" s="368">
        <f>IF(EH60=0,0,(EI60-EH60)/EH60*100)</f>
        <v>0</v>
      </c>
      <c r="EK60" s="67"/>
      <c r="EL60" s="67"/>
      <c r="EM60" s="368">
        <f>IF(EK60=0,0,(EL60-EK60)/EK60*100)</f>
        <v>0</v>
      </c>
      <c r="EN60" s="67"/>
      <c r="EO60" s="67"/>
      <c r="EP60" s="368">
        <f>IF(EN60=0,0,(EO60-EN60)/EN60*100)</f>
        <v>0</v>
      </c>
      <c r="EQ60" s="67"/>
      <c r="ER60" s="67"/>
      <c r="ES60" s="368">
        <f>IF(EQ60=0,0,(ER60-EQ60)/EQ60*100)</f>
        <v>0</v>
      </c>
      <c r="ET60" s="67"/>
      <c r="EU60" s="67"/>
      <c r="EV60" s="368">
        <f>IF(ET60=0,0,(EU60-ET60)/ET60*100)</f>
        <v>0</v>
      </c>
      <c r="EW60" s="67"/>
      <c r="EX60" s="67"/>
      <c r="EY60" s="368">
        <f>IF(EW60=0,0,(EX60-EW60)/EW60*100)</f>
        <v>0</v>
      </c>
      <c r="EZ60" s="67"/>
      <c r="FA60" s="67"/>
      <c r="FB60" s="368">
        <f>IF(EZ60=0,0,(FA60-EZ60)/EZ60*100)</f>
        <v>0</v>
      </c>
      <c r="FC60" s="67"/>
      <c r="FD60" s="67"/>
      <c r="FE60" s="368">
        <f>IF(FC60=0,0,(FD60-FC60)/FC60*100)</f>
        <v>0</v>
      </c>
      <c r="FF60" s="67"/>
      <c r="FG60" s="67"/>
      <c r="FH60" s="368">
        <f>IF(FF60=0,0,(FG60-FF60)/FF60*100)</f>
        <v>0</v>
      </c>
      <c r="FI60" s="67"/>
      <c r="FJ60" s="67"/>
      <c r="FK60" s="368">
        <f>IF(FI60=0,0,(FJ60-FI60)/FI60*100)</f>
        <v>0</v>
      </c>
      <c r="FL60" s="67"/>
      <c r="FM60" s="67"/>
      <c r="FN60" s="368">
        <f>IF(FL60=0,0,(FM60-FL60)/FL60*100)</f>
        <v>0</v>
      </c>
      <c r="FO60" s="67"/>
      <c r="FP60" s="67"/>
      <c r="FQ60" s="368">
        <f>IF(FO60=0,0,(FP60-FO60)/FO60*100)</f>
        <v>0</v>
      </c>
      <c r="FR60" s="67"/>
      <c r="FS60" s="67"/>
      <c r="FT60" s="368">
        <f>IF(FR60=0,0,(FS60-FR60)/FR60*100)</f>
        <v>0</v>
      </c>
      <c r="FU60" s="67"/>
      <c r="FV60" s="67"/>
      <c r="FW60" s="368">
        <f>IF(FU60=0,0,(FV60-FU60)/FU60*100)</f>
        <v>0</v>
      </c>
      <c r="FZ60" s="1184" t="s">
        <v>2164</v>
      </c>
      <c r="GA60" s="1184"/>
      <c r="GB60" s="1184"/>
      <c r="GC60" s="1184"/>
      <c r="GD60" s="1184"/>
    </row>
    <row customHeight="1" ht="15.405000000000001" hidden="1">
      <c r="B61" s="964" cm="1" t="str">
        <f t="array" ref="B61:B61">B60</f>
        <v>false</v>
      </c>
      <c r="E61" s="797">
        <v>15.8</v>
      </c>
      <c r="F61" s="922" cm="1" t="str">
        <f t="array" ref="F61:F61">OFFSET(G61,-1,-1)</f>
        <v>0</v>
      </c>
      <c r="K61" s="1315" cm="1" t="str">
        <f t="array" ref="K61:K61">OFFSET(J61,-1,1)</f>
        <v>0</v>
      </c>
      <c r="P61" s="1315"/>
      <c r="Q61" s="1315"/>
      <c r="T61" s="808" cm="1" t="str">
        <f t="array" ref="T61:T61">T60</f>
        <v>false</v>
      </c>
      <c r="AB61" s="1354" t="s">
        <v>2115</v>
      </c>
      <c r="AC61" s="370"/>
      <c r="AD61" s="371"/>
      <c r="AE61" s="371"/>
      <c r="AF61" s="371"/>
      <c r="AG61" s="371"/>
      <c r="AH61" s="371"/>
      <c r="AI61" s="371"/>
      <c r="AJ61" s="371"/>
      <c r="AK61" s="371"/>
      <c r="AL61" s="371"/>
      <c r="AM61" s="371"/>
      <c r="AN61" s="371"/>
      <c r="AO61" s="371"/>
      <c r="AP61" s="371"/>
      <c r="AQ61" s="371"/>
      <c r="AR61" s="371"/>
      <c r="AS61" s="371"/>
      <c r="AT61" s="371"/>
      <c r="AU61" s="371"/>
      <c r="AV61" s="371"/>
      <c r="AW61" s="371"/>
      <c r="AX61" s="371"/>
      <c r="AY61" s="371"/>
      <c r="AZ61" s="371"/>
      <c r="BA61" s="371"/>
      <c r="BB61" s="371"/>
      <c r="BC61" s="371"/>
      <c r="BD61" s="371"/>
      <c r="BE61" s="371"/>
      <c r="BF61" s="371"/>
      <c r="BG61" s="371"/>
      <c r="BH61" s="371"/>
      <c r="BI61" s="371"/>
      <c r="BJ61" s="371"/>
      <c r="BK61" s="371"/>
      <c r="BL61" s="371"/>
      <c r="BM61" s="371"/>
      <c r="BN61" s="371"/>
      <c r="BO61" s="371"/>
      <c r="BP61" s="371"/>
      <c r="BQ61" s="371"/>
      <c r="BR61" s="371"/>
      <c r="BS61" s="371"/>
      <c r="BT61" s="371"/>
      <c r="BU61" s="371"/>
      <c r="BV61" s="371"/>
      <c r="BW61" s="371"/>
      <c r="BX61" s="371"/>
      <c r="BY61" s="371"/>
      <c r="BZ61" s="371"/>
      <c r="CA61" s="371"/>
      <c r="CB61" s="371"/>
      <c r="CC61" s="371"/>
      <c r="CD61" s="371"/>
      <c r="CE61" s="371"/>
      <c r="CF61" s="371"/>
      <c r="CG61" s="371"/>
      <c r="CH61" s="371"/>
      <c r="CI61" s="371"/>
      <c r="CJ61" s="371"/>
      <c r="CK61" s="371"/>
      <c r="CL61" s="371"/>
      <c r="CM61" s="371"/>
      <c r="CN61" s="371"/>
      <c r="CO61" s="371"/>
      <c r="CP61" s="371"/>
      <c r="CQ61" s="371"/>
      <c r="CR61" s="371"/>
      <c r="CS61" s="371"/>
      <c r="CT61" s="371"/>
      <c r="CU61" s="371"/>
      <c r="CV61" s="371"/>
      <c r="CW61" s="371"/>
      <c r="CX61" s="371"/>
      <c r="CY61" s="371"/>
      <c r="CZ61" s="371"/>
      <c r="DA61" s="371"/>
      <c r="DB61" s="371"/>
      <c r="DC61" s="371"/>
      <c r="DD61" s="371"/>
      <c r="DE61" s="371"/>
      <c r="DF61" s="371"/>
      <c r="DG61" s="371"/>
      <c r="DH61" s="371"/>
      <c r="DI61" s="371"/>
      <c r="DJ61" s="371"/>
      <c r="DK61" s="371"/>
      <c r="DL61" s="371"/>
      <c r="DM61" s="371"/>
      <c r="DN61" s="371"/>
      <c r="DO61" s="371"/>
      <c r="DP61" s="371"/>
      <c r="DQ61" s="371"/>
      <c r="DR61" s="371"/>
      <c r="DS61" s="371"/>
      <c r="DT61" s="371"/>
      <c r="DU61" s="371"/>
      <c r="DV61" s="371"/>
      <c r="DW61" s="371"/>
      <c r="DX61" s="371"/>
      <c r="DY61" s="371"/>
      <c r="DZ61" s="371"/>
      <c r="EA61" s="371"/>
      <c r="EB61" s="371"/>
      <c r="EC61" s="371"/>
      <c r="ED61" s="371"/>
      <c r="EE61" s="371"/>
      <c r="EF61" s="371"/>
      <c r="EG61" s="371"/>
      <c r="EH61" s="371"/>
      <c r="EI61" s="371"/>
      <c r="EJ61" s="371"/>
      <c r="EK61" s="371"/>
      <c r="EL61" s="371"/>
      <c r="EM61" s="371"/>
      <c r="EN61" s="371"/>
      <c r="EO61" s="371"/>
      <c r="EP61" s="371"/>
      <c r="EQ61" s="371"/>
      <c r="ER61" s="371"/>
      <c r="ES61" s="371"/>
      <c r="ET61" s="371"/>
      <c r="EU61" s="371"/>
      <c r="EV61" s="371"/>
      <c r="EW61" s="371"/>
      <c r="EX61" s="371"/>
      <c r="EY61" s="371"/>
      <c r="EZ61" s="371"/>
      <c r="FA61" s="371"/>
      <c r="FB61" s="371"/>
      <c r="FC61" s="371"/>
      <c r="FD61" s="371"/>
      <c r="FE61" s="371"/>
      <c r="FF61" s="371"/>
      <c r="FG61" s="371"/>
      <c r="FH61" s="371"/>
      <c r="FI61" s="371"/>
      <c r="FJ61" s="371"/>
      <c r="FK61" s="371"/>
      <c r="FL61" s="371"/>
      <c r="FM61" s="371"/>
      <c r="FN61" s="371"/>
      <c r="FO61" s="371"/>
      <c r="FP61" s="371"/>
      <c r="FQ61" s="371"/>
      <c r="FR61" s="371"/>
      <c r="FS61" s="371"/>
      <c r="FT61" s="371"/>
      <c r="FU61" s="371"/>
      <c r="FV61" s="371"/>
      <c r="FW61" s="372"/>
      <c r="GA61" s="1184"/>
      <c r="GB61" s="1184"/>
      <c r="GC61" s="1184"/>
      <c r="GD61" s="1184"/>
    </row>
    <row customHeight="1" ht="15.405000000000001" hidden="1">
      <c r="B62" s="964" cm="1" t="str">
        <f t="array" ref="B62:B62">B61</f>
        <v>false</v>
      </c>
      <c r="C62" s="1325" t="s">
        <v>2165</v>
      </c>
      <c r="D62" s="1294" t="s">
        <v>2166</v>
      </c>
      <c r="E62" s="797">
        <v>15.8</v>
      </c>
      <c r="F62" s="922" cm="1" t="str">
        <f t="array" ref="F62:F62">OFFSET(G62,-1,-1)</f>
        <v>0</v>
      </c>
      <c r="H62" s="213" t="s">
        <v>2137</v>
      </c>
      <c r="I62" s="213" t="s">
        <v>2112</v>
      </c>
      <c r="J62" s="1315"/>
      <c r="K62" s="1315" cm="1" t="str">
        <f t="array" ref="K62:K62">OFFSET(J62,-1,1)</f>
        <v>0</v>
      </c>
      <c r="L62" s="1315"/>
      <c r="M62" s="1315" t="s">
        <v>1726</v>
      </c>
      <c r="N62" s="1315" t="s">
        <v>2113</v>
      </c>
      <c r="O62" s="1316" t="s">
        <v>2114</v>
      </c>
      <c r="P62" s="1315" t="s">
        <v>2138</v>
      </c>
      <c r="Q62" s="1315"/>
      <c r="T62" s="808" cm="1" t="str">
        <f t="array" ref="T62:T62">T61</f>
        <v>false</v>
      </c>
      <c r="AB62" s="276" t="s">
        <v>2139</v>
      </c>
      <c r="AC62" s="172" t="s">
        <v>900</v>
      </c>
      <c r="AD62" s="67">
        <f>IF(AD64=0,0,(AD63*AD64+AD65*AD66*IF(god=2026,9,6))/AD64)</f>
        <v>0</v>
      </c>
      <c r="AE62" s="67">
        <f>IF(AE64=0,0,(AE63*AE64+AE65*AE66*IF(god=2026,9,6))/AE64)</f>
        <v>0</v>
      </c>
      <c r="AF62" s="368">
        <f>IF(AD62=0,0,(AE62-AD62)/AD62*100)</f>
        <v>0</v>
      </c>
      <c r="AG62" s="67">
        <f>IF(AG64=0,0,(AG63*AG64+AG65*AG66*IF(god=2025,9,6))/AG64)</f>
        <v>0</v>
      </c>
      <c r="AH62" s="67">
        <f>IF(AH64=0,0,(AH63*AH64+AH65*AH66*IF(god=2025,9,6))/AH64)</f>
        <v>0</v>
      </c>
      <c r="AI62" s="368">
        <f>IF(AG62=0,0,(AH62-AG62)/AG62*100)</f>
        <v>0</v>
      </c>
      <c r="AJ62" s="67">
        <f>IF(AJ64=0,0,(AJ63*AJ64+AJ65*AJ66*6)/AJ64)</f>
        <v>0</v>
      </c>
      <c r="AK62" s="67">
        <f>IF(AK64=0,0,(AK63*AK64+AK65*AK66*6)/AK64)</f>
        <v>0</v>
      </c>
      <c r="AL62" s="368">
        <f>IF(AJ62=0,0,(AK62-AJ62)/AJ62*100)</f>
        <v>0</v>
      </c>
      <c r="AM62" s="67">
        <f>IF(AM64=0,0,(AM63*AM64+AM65*AM66*6)/AM64)</f>
        <v>0</v>
      </c>
      <c r="AN62" s="67">
        <f>IF(AN64=0,0,(AN63*AN64+AN65*AN66*6)/AN64)</f>
        <v>0</v>
      </c>
      <c r="AO62" s="368">
        <f>IF(AM62=0,0,(AN62-AM62)/AM62*100)</f>
        <v>0</v>
      </c>
      <c r="AP62" s="67">
        <f>IF(AP64=0,0,(AP63*AP64+AP65*AP66*6)/AP64)</f>
        <v>0</v>
      </c>
      <c r="AQ62" s="67">
        <f>IF(AQ64=0,0,(AQ63*AQ64+AQ65*AQ66*6)/AQ64)</f>
        <v>0</v>
      </c>
      <c r="AR62" s="368">
        <f>IF(AP62=0,0,(AQ62-AP62)/AP62*100)</f>
        <v>0</v>
      </c>
      <c r="AS62" s="67">
        <f>IF(AS64=0,0,(AS63*AS64+AS65*AS66*6)/AS64)</f>
        <v>0</v>
      </c>
      <c r="AT62" s="67">
        <f>IF(AT64=0,0,(AT63*AT64+AT65*AT66*6)/AT64)</f>
        <v>0</v>
      </c>
      <c r="AU62" s="368">
        <f>IF(AS62=0,0,(AT62-AS62)/AS62*100)</f>
        <v>0</v>
      </c>
      <c r="AV62" s="67">
        <f>IF(AV64=0,0,(AV63*AV64+AV65*AV66*6)/AV64)</f>
        <v>0</v>
      </c>
      <c r="AW62" s="67">
        <f>IF(AW64=0,0,(AW63*AW64+AW65*AW66*6)/AW64)</f>
        <v>0</v>
      </c>
      <c r="AX62" s="368">
        <f>IF(AV62=0,0,(AW62-AV62)/AV62*100)</f>
        <v>0</v>
      </c>
      <c r="AY62" s="67">
        <f>IF(AY64=0,0,(AY63*AY64+AY65*AY66*6)/AY64)</f>
        <v>0</v>
      </c>
      <c r="AZ62" s="67">
        <f>IF(AZ64=0,0,(AZ63*AZ64+AZ65*AZ66*6)/AZ64)</f>
        <v>0</v>
      </c>
      <c r="BA62" s="368">
        <f>IF(AY62=0,0,(AZ62-AY62)/AY62*100)</f>
        <v>0</v>
      </c>
      <c r="BB62" s="67">
        <f>IF(BB64=0,0,(BB63*BB64+BB65*BB66*6)/BB64)</f>
        <v>0</v>
      </c>
      <c r="BC62" s="67">
        <f>IF(BC64=0,0,(BC63*BC64+BC65*BC66*6)/BC64)</f>
        <v>0</v>
      </c>
      <c r="BD62" s="368">
        <f>IF(BB62=0,0,(BC62-BB62)/BB62*100)</f>
        <v>0</v>
      </c>
      <c r="BE62" s="67">
        <f>IF(BE64=0,0,(BE63*BE64+BE65*BE66*6)/BE64)</f>
        <v>0</v>
      </c>
      <c r="BF62" s="67">
        <f>IF(BF64=0,0,(BF63*BF64+BF65*BF66*6)/BF64)</f>
        <v>0</v>
      </c>
      <c r="BG62" s="368">
        <f>IF(BE62=0,0,(BF62-BE62)/BE62*100)</f>
        <v>0</v>
      </c>
      <c r="BH62" s="67">
        <f>IF(BH64=0,0,(BH63*BH64+BH65*BH66*6)/BH64)</f>
        <v>0</v>
      </c>
      <c r="BI62" s="67">
        <f>IF(BI64=0,0,(BI63*BI64+BI65*BI66*6)/BI64)</f>
        <v>0</v>
      </c>
      <c r="BJ62" s="368">
        <f>IF(BH62=0,0,(BI62-BH62)/BH62*100)</f>
        <v>0</v>
      </c>
      <c r="BK62" s="67">
        <f>IF(BK64=0,0,(BK63*BK64+BK65*BK66*6)/BK64)</f>
        <v>0</v>
      </c>
      <c r="BL62" s="67">
        <f>IF(BL64=0,0,(BL63*BL64+BL65*BL66*6)/BL64)</f>
        <v>0</v>
      </c>
      <c r="BM62" s="368">
        <f>IF(BK62=0,0,(BL62-BK62)/BK62*100)</f>
        <v>0</v>
      </c>
      <c r="BN62" s="67">
        <f>IF(BN64=0,0,(BN63*BN64+BN65*BN66*6)/BN64)</f>
        <v>0</v>
      </c>
      <c r="BO62" s="67">
        <f>IF(BO64=0,0,(BO63*BO64+BO65*BO66*6)/BO64)</f>
        <v>0</v>
      </c>
      <c r="BP62" s="368">
        <f>IF(BN62=0,0,(BO62-BN62)/BN62*100)</f>
        <v>0</v>
      </c>
      <c r="BQ62" s="67">
        <f>IF(BQ64=0,0,(BQ63*BQ64+BQ65*BQ66*6)/BQ64)</f>
        <v>0</v>
      </c>
      <c r="BR62" s="67">
        <f>IF(BR64=0,0,(BR63*BR64+BR65*BR66*6)/BR64)</f>
        <v>0</v>
      </c>
      <c r="BS62" s="368">
        <f>IF(BQ62=0,0,(BR62-BQ62)/BQ62*100)</f>
        <v>0</v>
      </c>
      <c r="BT62" s="67">
        <f>IF(BT64=0,0,(BT63*BT64+BT65*BT66*6)/BT64)</f>
        <v>0</v>
      </c>
      <c r="BU62" s="67">
        <f>IF(BU64=0,0,(BU63*BU64+BU65*BU66*6)/BU64)</f>
        <v>0</v>
      </c>
      <c r="BV62" s="368">
        <f>IF(BT62=0,0,(BU62-BT62)/BT62*100)</f>
        <v>0</v>
      </c>
      <c r="BW62" s="67">
        <f>IF(BW64=0,0,(BW63*BW64+BW65*BW66*6)/BW64)</f>
        <v>0</v>
      </c>
      <c r="BX62" s="67">
        <f>IF(BX64=0,0,(BX63*BX64+BX65*BX66*6)/BX64)</f>
        <v>0</v>
      </c>
      <c r="BY62" s="368">
        <f>IF(BW62=0,0,(BX62-BW62)/BW62*100)</f>
        <v>0</v>
      </c>
      <c r="BZ62" s="67">
        <f>IF(BZ64=0,0,(BZ63*BZ64+BZ65*BZ66*6)/BZ64)</f>
        <v>0</v>
      </c>
      <c r="CA62" s="67">
        <f>IF(CA64=0,0,(CA63*CA64+CA65*CA66*6)/CA64)</f>
        <v>0</v>
      </c>
      <c r="CB62" s="368">
        <f>IF(BZ62=0,0,(CA62-BZ62)/BZ62*100)</f>
        <v>0</v>
      </c>
      <c r="CC62" s="67">
        <f>IF(CC64=0,0,(CC63*CC64+CC65*CC66*6)/CC64)</f>
        <v>0</v>
      </c>
      <c r="CD62" s="67">
        <f>IF(CD64=0,0,(CD63*CD64+CD65*CD66*6)/CD64)</f>
        <v>0</v>
      </c>
      <c r="CE62" s="368">
        <f>IF(CC62=0,0,(CD62-CC62)/CC62*100)</f>
        <v>0</v>
      </c>
      <c r="CF62" s="67">
        <f>IF(CF64=0,0,(CF63*CF64+CF65*CF66*6)/CF64)</f>
        <v>0</v>
      </c>
      <c r="CG62" s="67">
        <f>IF(CG64=0,0,(CG63*CG64+CG65*CG66*6)/CG64)</f>
        <v>0</v>
      </c>
      <c r="CH62" s="368">
        <f>IF(CF62=0,0,(CG62-CF62)/CF62*100)</f>
        <v>0</v>
      </c>
      <c r="CI62" s="67">
        <f>IF(CI64=0,0,(CI63*CI64+CI65*CI66*6)/CI64)</f>
        <v>0</v>
      </c>
      <c r="CJ62" s="67">
        <f>IF(CJ64=0,0,(CJ63*CJ64+CJ65*CJ66*6)/CJ64)</f>
        <v>0</v>
      </c>
      <c r="CK62" s="368">
        <f>IF(CI62=0,0,(CJ62-CI62)/CI62*100)</f>
        <v>0</v>
      </c>
      <c r="CL62" s="67">
        <f>IF(CL64=0,0,(CL63*CL64+CL65*CL66*6)/CL64)</f>
        <v>0</v>
      </c>
      <c r="CM62" s="67">
        <f>IF(CM64=0,0,(CM63*CM64+CM65*CM66*6)/CM64)</f>
        <v>0</v>
      </c>
      <c r="CN62" s="368">
        <f>IF(CL62=0,0,(CM62-CL62)/CL62*100)</f>
        <v>0</v>
      </c>
      <c r="CO62" s="67">
        <f>IF(CO64=0,0,(CO63*CO64+CO65*CO66*6)/CO64)</f>
        <v>0</v>
      </c>
      <c r="CP62" s="67">
        <f>IF(CP64=0,0,(CP63*CP64+CP65*CP66*6)/CP64)</f>
        <v>0</v>
      </c>
      <c r="CQ62" s="368">
        <f>IF(CO62=0,0,(CP62-CO62)/CO62*100)</f>
        <v>0</v>
      </c>
      <c r="CR62" s="67">
        <f>IF(CR64=0,0,(CR63*CR64+CR65*CR66*6)/CR64)</f>
        <v>0</v>
      </c>
      <c r="CS62" s="67">
        <f>IF(CS64=0,0,(CS63*CS64+CS65*CS66*6)/CS64)</f>
        <v>0</v>
      </c>
      <c r="CT62" s="368">
        <f>IF(CR62=0,0,(CS62-CR62)/CR62*100)</f>
        <v>0</v>
      </c>
      <c r="CU62" s="67">
        <f>IF(CU64=0,0,(CU63*CU64+CU65*CU66*6)/CU64)</f>
        <v>0</v>
      </c>
      <c r="CV62" s="67">
        <f>IF(CV64=0,0,(CV63*CV64+CV65*CV66*6)/CV64)</f>
        <v>0</v>
      </c>
      <c r="CW62" s="368">
        <f>IF(CU62=0,0,(CV62-CU62)/CU62*100)</f>
        <v>0</v>
      </c>
      <c r="CX62" s="67">
        <f>IF(CX64=0,0,(CX63*CX64+CX65*CX66*6)/CX64)</f>
        <v>0</v>
      </c>
      <c r="CY62" s="67">
        <f>IF(CY64=0,0,(CY63*CY64+CY65*CY66*6)/CY64)</f>
        <v>0</v>
      </c>
      <c r="CZ62" s="368">
        <f>IF(CX62=0,0,(CY62-CX62)/CX62*100)</f>
        <v>0</v>
      </c>
      <c r="DA62" s="67">
        <f>IF(DA64=0,0,(DA63*DA64+DA65*DA66*6)/DA64)</f>
        <v>0</v>
      </c>
      <c r="DB62" s="67">
        <f>IF(DB64=0,0,(DB63*DB64+DB65*DB66*6)/DB64)</f>
        <v>0</v>
      </c>
      <c r="DC62" s="368">
        <f>IF(DA62=0,0,(DB62-DA62)/DA62*100)</f>
        <v>0</v>
      </c>
      <c r="DD62" s="67">
        <f>IF(DD64=0,0,(DD63*DD64+DD65*DD66*6)/DD64)</f>
        <v>0</v>
      </c>
      <c r="DE62" s="67">
        <f>IF(DE64=0,0,(DE63*DE64+DE65*DE66*6)/DE64)</f>
        <v>0</v>
      </c>
      <c r="DF62" s="368">
        <f>IF(DD62=0,0,(DE62-DD62)/DD62*100)</f>
        <v>0</v>
      </c>
      <c r="DG62" s="67">
        <f>IF(DG64=0,0,(DG63*DG64+DG65*DG66*6)/DG64)</f>
        <v>0</v>
      </c>
      <c r="DH62" s="67">
        <f>IF(DH64=0,0,(DH63*DH64+DH65*DH66*6)/DH64)</f>
        <v>0</v>
      </c>
      <c r="DI62" s="368">
        <f>IF(DG62=0,0,(DH62-DG62)/DG62*100)</f>
        <v>0</v>
      </c>
      <c r="DJ62" s="67">
        <f>IF(DJ64=0,0,(DJ63*DJ64+DJ65*DJ66*6)/DJ64)</f>
        <v>0</v>
      </c>
      <c r="DK62" s="67">
        <f>IF(DK64=0,0,(DK63*DK64+DK65*DK66*6)/DK64)</f>
        <v>0</v>
      </c>
      <c r="DL62" s="368">
        <f>IF(DJ62=0,0,(DK62-DJ62)/DJ62*100)</f>
        <v>0</v>
      </c>
      <c r="DM62" s="67">
        <f>IF(DM64=0,0,(DM63*DM64+DM65*DM66*6)/DM64)</f>
        <v>0</v>
      </c>
      <c r="DN62" s="67">
        <f>IF(DN64=0,0,(DN63*DN64+DN65*DN66*6)/DN64)</f>
        <v>0</v>
      </c>
      <c r="DO62" s="368">
        <f>IF(DM62=0,0,(DN62-DM62)/DM62*100)</f>
        <v>0</v>
      </c>
      <c r="DP62" s="67">
        <f>IF(DP64=0,0,(DP63*DP64+DP65*DP66*6)/DP64)</f>
        <v>0</v>
      </c>
      <c r="DQ62" s="67">
        <f>IF(DQ64=0,0,(DQ63*DQ64+DQ65*DQ66*6)/DQ64)</f>
        <v>0</v>
      </c>
      <c r="DR62" s="368">
        <f>IF(DP62=0,0,(DQ62-DP62)/DP62*100)</f>
        <v>0</v>
      </c>
      <c r="DS62" s="67">
        <f>IF(DS64=0,0,(DS63*DS64+DS65*DS66*6)/DS64)</f>
        <v>0</v>
      </c>
      <c r="DT62" s="67">
        <f>IF(DT64=0,0,(DT63*DT64+DT65*DT66*6)/DT64)</f>
        <v>0</v>
      </c>
      <c r="DU62" s="368">
        <f>IF(DS62=0,0,(DT62-DS62)/DS62*100)</f>
        <v>0</v>
      </c>
      <c r="DV62" s="67">
        <f>IF(DV64=0,0,(DV63*DV64+DV65*DV66*6)/DV64)</f>
        <v>0</v>
      </c>
      <c r="DW62" s="67">
        <f>IF(DW64=0,0,(DW63*DW64+DW65*DW66*6)/DW64)</f>
        <v>0</v>
      </c>
      <c r="DX62" s="368">
        <f>IF(DV62=0,0,(DW62-DV62)/DV62*100)</f>
        <v>0</v>
      </c>
      <c r="DY62" s="67">
        <f>IF(DY64=0,0,(DY63*DY64+DY65*DY66*6)/DY64)</f>
        <v>0</v>
      </c>
      <c r="DZ62" s="67">
        <f>IF(DZ64=0,0,(DZ63*DZ64+DZ65*DZ66*6)/DZ64)</f>
        <v>0</v>
      </c>
      <c r="EA62" s="368">
        <f>IF(DY62=0,0,(DZ62-DY62)/DY62*100)</f>
        <v>0</v>
      </c>
      <c r="EB62" s="67">
        <f>IF(EB64=0,0,(EB63*EB64+EB65*EB66*6)/EB64)</f>
        <v>0</v>
      </c>
      <c r="EC62" s="67">
        <f>IF(EC64=0,0,(EC63*EC64+EC65*EC66*6)/EC64)</f>
        <v>0</v>
      </c>
      <c r="ED62" s="368">
        <f>IF(EB62=0,0,(EC62-EB62)/EB62*100)</f>
        <v>0</v>
      </c>
      <c r="EE62" s="67">
        <f>IF(EE64=0,0,(EE63*EE64+EE65*EE66*6)/EE64)</f>
        <v>0</v>
      </c>
      <c r="EF62" s="67">
        <f>IF(EF64=0,0,(EF63*EF64+EF65*EF66*6)/EF64)</f>
        <v>0</v>
      </c>
      <c r="EG62" s="368">
        <f>IF(EE62=0,0,(EF62-EE62)/EE62*100)</f>
        <v>0</v>
      </c>
      <c r="EH62" s="67">
        <f>IF(EH64=0,0,(EH63*EH64+EH65*EH66*6)/EH64)</f>
        <v>0</v>
      </c>
      <c r="EI62" s="67">
        <f>IF(EI64=0,0,(EI63*EI64+EI65*EI66*6)/EI64)</f>
        <v>0</v>
      </c>
      <c r="EJ62" s="368">
        <f>IF(EH62=0,0,(EI62-EH62)/EH62*100)</f>
        <v>0</v>
      </c>
      <c r="EK62" s="67">
        <f>IF(EK64=0,0,(EK63*EK64+EK65*EK66*6)/EK64)</f>
        <v>0</v>
      </c>
      <c r="EL62" s="67">
        <f>IF(EL64=0,0,(EL63*EL64+EL65*EL66*6)/EL64)</f>
        <v>0</v>
      </c>
      <c r="EM62" s="368">
        <f>IF(EK62=0,0,(EL62-EK62)/EK62*100)</f>
        <v>0</v>
      </c>
      <c r="EN62" s="67">
        <f>IF(EN64=0,0,(EN63*EN64+EN65*EN66*6)/EN64)</f>
        <v>0</v>
      </c>
      <c r="EO62" s="67">
        <f>IF(EO64=0,0,(EO63*EO64+EO65*EO66*6)/EO64)</f>
        <v>0</v>
      </c>
      <c r="EP62" s="368">
        <f>IF(EN62=0,0,(EO62-EN62)/EN62*100)</f>
        <v>0</v>
      </c>
      <c r="EQ62" s="67">
        <f>IF(EQ64=0,0,(EQ63*EQ64+EQ65*EQ66*6)/EQ64)</f>
        <v>0</v>
      </c>
      <c r="ER62" s="67">
        <f>IF(ER64=0,0,(ER63*ER64+ER65*ER66*6)/ER64)</f>
        <v>0</v>
      </c>
      <c r="ES62" s="368">
        <f>IF(EQ62=0,0,(ER62-EQ62)/EQ62*100)</f>
        <v>0</v>
      </c>
      <c r="ET62" s="67">
        <f>IF(ET64=0,0,(ET63*ET64+ET65*ET66*6)/ET64)</f>
        <v>0</v>
      </c>
      <c r="EU62" s="67">
        <f>IF(EU64=0,0,(EU63*EU64+EU65*EU66*6)/EU64)</f>
        <v>0</v>
      </c>
      <c r="EV62" s="368">
        <f>IF(ET62=0,0,(EU62-ET62)/ET62*100)</f>
        <v>0</v>
      </c>
      <c r="EW62" s="67">
        <f>IF(EW64=0,0,(EW63*EW64+EW65*EW66*6)/EW64)</f>
        <v>0</v>
      </c>
      <c r="EX62" s="67">
        <f>IF(EX64=0,0,(EX63*EX64+EX65*EX66*6)/EX64)</f>
        <v>0</v>
      </c>
      <c r="EY62" s="368">
        <f>IF(EW62=0,0,(EX62-EW62)/EW62*100)</f>
        <v>0</v>
      </c>
      <c r="EZ62" s="67">
        <f>IF(EZ64=0,0,(EZ63*EZ64+EZ65*EZ66*6)/EZ64)</f>
        <v>0</v>
      </c>
      <c r="FA62" s="67">
        <f>IF(FA64=0,0,(FA63*FA64+FA65*FA66*6)/FA64)</f>
        <v>0</v>
      </c>
      <c r="FB62" s="368">
        <f>IF(EZ62=0,0,(FA62-EZ62)/EZ62*100)</f>
        <v>0</v>
      </c>
      <c r="FC62" s="67">
        <f>IF(FC64=0,0,(FC63*FC64+FC65*FC66*6)/FC64)</f>
        <v>0</v>
      </c>
      <c r="FD62" s="67">
        <f>IF(FD64=0,0,(FD63*FD64+FD65*FD66*6)/FD64)</f>
        <v>0</v>
      </c>
      <c r="FE62" s="368">
        <f>IF(FC62=0,0,(FD62-FC62)/FC62*100)</f>
        <v>0</v>
      </c>
      <c r="FF62" s="67">
        <f>IF(FF64=0,0,(FF63*FF64+FF65*FF66*6)/FF64)</f>
        <v>0</v>
      </c>
      <c r="FG62" s="67">
        <f>IF(FG64=0,0,(FG63*FG64+FG65*FG66*6)/FG64)</f>
        <v>0</v>
      </c>
      <c r="FH62" s="368">
        <f>IF(FF62=0,0,(FG62-FF62)/FF62*100)</f>
        <v>0</v>
      </c>
      <c r="FI62" s="67">
        <f>IF(FI64=0,0,(FI63*FI64+FI65*FI66*6)/FI64)</f>
        <v>0</v>
      </c>
      <c r="FJ62" s="67">
        <f>IF(FJ64=0,0,(FJ63*FJ64+FJ65*FJ66*6)/FJ64)</f>
        <v>0</v>
      </c>
      <c r="FK62" s="368">
        <f>IF(FI62=0,0,(FJ62-FI62)/FI62*100)</f>
        <v>0</v>
      </c>
      <c r="FL62" s="67">
        <f>IF(FL64=0,0,(FL63*FL64+FL65*FL66*6)/FL64)</f>
        <v>0</v>
      </c>
      <c r="FM62" s="67">
        <f>IF(FM64=0,0,(FM63*FM64+FM65*FM66*6)/FM64)</f>
        <v>0</v>
      </c>
      <c r="FN62" s="368">
        <f>IF(FL62=0,0,(FM62-FL62)/FL62*100)</f>
        <v>0</v>
      </c>
      <c r="FO62" s="67">
        <f>IF(FO64=0,0,(FO63*FO64+FO65*FO66*6)/FO64)</f>
        <v>0</v>
      </c>
      <c r="FP62" s="67">
        <f>IF(FP64=0,0,(FP63*FP64+FP65*FP66*6)/FP64)</f>
        <v>0</v>
      </c>
      <c r="FQ62" s="368">
        <f>IF(FO62=0,0,(FP62-FO62)/FO62*100)</f>
        <v>0</v>
      </c>
      <c r="FR62" s="67">
        <f>IF(FR64=0,0,(FR63*FR64+FR65*FR66*6)/FR64)</f>
        <v>0</v>
      </c>
      <c r="FS62" s="67">
        <f>IF(FS64=0,0,(FS63*FS64+FS65*FS66*6)/FS64)</f>
        <v>0</v>
      </c>
      <c r="FT62" s="368">
        <f>IF(FR62=0,0,(FS62-FR62)/FR62*100)</f>
        <v>0</v>
      </c>
      <c r="FU62" s="67">
        <f>IF(FU64=0,0,(FU63*FU64+FU65*FU66*6)/FU64)</f>
        <v>0</v>
      </c>
      <c r="FV62" s="67">
        <f>IF(FV64=0,0,(FV63*FV64+FV65*FV66*6)/FV64)</f>
        <v>0</v>
      </c>
      <c r="FW62" s="368">
        <f>IF(FU62=0,0,(FV62-FU62)/FU62*100)</f>
        <v>0</v>
      </c>
      <c r="FZ62" s="1184" t="s">
        <v>2167</v>
      </c>
      <c r="GA62" s="1184"/>
      <c r="GB62" s="1184"/>
      <c r="GC62" s="1184"/>
      <c r="GD62" s="1184"/>
    </row>
    <row customHeight="1" ht="15.405000000000001" hidden="1">
      <c r="B63" s="964" cm="1" t="str">
        <f t="array" ref="B63:B63">B62</f>
        <v>false</v>
      </c>
      <c r="C63" s="1325" t="s">
        <v>2168</v>
      </c>
      <c r="D63" s="1294" t="s">
        <v>2169</v>
      </c>
      <c r="E63" s="797">
        <v>15.8</v>
      </c>
      <c r="F63" s="922" cm="1" t="str">
        <f t="array" ref="F63:F63">OFFSET(G63,-1,-1)</f>
        <v>0</v>
      </c>
      <c r="H63" s="213" t="s">
        <v>2143</v>
      </c>
      <c r="I63" s="213" t="s">
        <v>2112</v>
      </c>
      <c r="J63" s="1315"/>
      <c r="K63" s="1315" cm="1" t="str">
        <f t="array" ref="K63:K63">OFFSET(J63,-1,1)</f>
        <v>0</v>
      </c>
      <c r="L63" s="1315"/>
      <c r="M63" s="1315" t="s">
        <v>1726</v>
      </c>
      <c r="N63" s="1315" t="s">
        <v>2113</v>
      </c>
      <c r="O63" s="1316" t="s">
        <v>2114</v>
      </c>
      <c r="P63" s="1315" t="s">
        <v>2144</v>
      </c>
      <c r="Q63" s="1315"/>
      <c r="T63" s="808" cm="1" t="str">
        <f t="array" ref="T63:T63">T62</f>
        <v>false</v>
      </c>
      <c r="AB63" s="276" t="s">
        <v>2145</v>
      </c>
      <c r="AC63" s="172" t="s">
        <v>900</v>
      </c>
      <c r="AD63" s="67"/>
      <c r="AE63" s="67"/>
      <c r="AF63" s="368">
        <f>IF(AD63=0,0,(AE63-AD63)/AD63*100)</f>
        <v>0</v>
      </c>
      <c r="AG63" s="67"/>
      <c r="AH63" s="67"/>
      <c r="AI63" s="368">
        <f>IF(AG63=0,0,(AH63-AG63)/AG63*100)</f>
        <v>0</v>
      </c>
      <c r="AJ63" s="67"/>
      <c r="AK63" s="67"/>
      <c r="AL63" s="368">
        <f>IF(AJ63=0,0,(AK63-AJ63)/AJ63*100)</f>
        <v>0</v>
      </c>
      <c r="AM63" s="67"/>
      <c r="AN63" s="67"/>
      <c r="AO63" s="368">
        <f>IF(AM63=0,0,(AN63-AM63)/AM63*100)</f>
        <v>0</v>
      </c>
      <c r="AP63" s="67"/>
      <c r="AQ63" s="67"/>
      <c r="AR63" s="368">
        <f>IF(AP63=0,0,(AQ63-AP63)/AP63*100)</f>
        <v>0</v>
      </c>
      <c r="AS63" s="67"/>
      <c r="AT63" s="67"/>
      <c r="AU63" s="368">
        <f>IF(AS63=0,0,(AT63-AS63)/AS63*100)</f>
        <v>0</v>
      </c>
      <c r="AV63" s="67"/>
      <c r="AW63" s="67"/>
      <c r="AX63" s="368">
        <f>IF(AV63=0,0,(AW63-AV63)/AV63*100)</f>
        <v>0</v>
      </c>
      <c r="AY63" s="67"/>
      <c r="AZ63" s="67"/>
      <c r="BA63" s="368">
        <f>IF(AY63=0,0,(AZ63-AY63)/AY63*100)</f>
        <v>0</v>
      </c>
      <c r="BB63" s="67"/>
      <c r="BC63" s="67"/>
      <c r="BD63" s="368">
        <f>IF(BB63=0,0,(BC63-BB63)/BB63*100)</f>
        <v>0</v>
      </c>
      <c r="BE63" s="67"/>
      <c r="BF63" s="67"/>
      <c r="BG63" s="368">
        <f>IF(BE63=0,0,(BF63-BE63)/BE63*100)</f>
        <v>0</v>
      </c>
      <c r="BH63" s="67"/>
      <c r="BI63" s="67"/>
      <c r="BJ63" s="368">
        <f>IF(BH63=0,0,(BI63-BH63)/BH63*100)</f>
        <v>0</v>
      </c>
      <c r="BK63" s="67"/>
      <c r="BL63" s="67"/>
      <c r="BM63" s="368">
        <f>IF(BK63=0,0,(BL63-BK63)/BK63*100)</f>
        <v>0</v>
      </c>
      <c r="BN63" s="67"/>
      <c r="BO63" s="67"/>
      <c r="BP63" s="368">
        <f>IF(BN63=0,0,(BO63-BN63)/BN63*100)</f>
        <v>0</v>
      </c>
      <c r="BQ63" s="67"/>
      <c r="BR63" s="67"/>
      <c r="BS63" s="368">
        <f>IF(BQ63=0,0,(BR63-BQ63)/BQ63*100)</f>
        <v>0</v>
      </c>
      <c r="BT63" s="67"/>
      <c r="BU63" s="67"/>
      <c r="BV63" s="368">
        <f>IF(BT63=0,0,(BU63-BT63)/BT63*100)</f>
        <v>0</v>
      </c>
      <c r="BW63" s="67"/>
      <c r="BX63" s="67"/>
      <c r="BY63" s="368">
        <f>IF(BW63=0,0,(BX63-BW63)/BW63*100)</f>
        <v>0</v>
      </c>
      <c r="BZ63" s="67"/>
      <c r="CA63" s="67"/>
      <c r="CB63" s="368">
        <f>IF(BZ63=0,0,(CA63-BZ63)/BZ63*100)</f>
        <v>0</v>
      </c>
      <c r="CC63" s="67"/>
      <c r="CD63" s="67"/>
      <c r="CE63" s="368">
        <f>IF(CC63=0,0,(CD63-CC63)/CC63*100)</f>
        <v>0</v>
      </c>
      <c r="CF63" s="67"/>
      <c r="CG63" s="67"/>
      <c r="CH63" s="368">
        <f>IF(CF63=0,0,(CG63-CF63)/CF63*100)</f>
        <v>0</v>
      </c>
      <c r="CI63" s="67"/>
      <c r="CJ63" s="67"/>
      <c r="CK63" s="368">
        <f>IF(CI63=0,0,(CJ63-CI63)/CI63*100)</f>
        <v>0</v>
      </c>
      <c r="CL63" s="67"/>
      <c r="CM63" s="67"/>
      <c r="CN63" s="368">
        <f>IF(CL63=0,0,(CM63-CL63)/CL63*100)</f>
        <v>0</v>
      </c>
      <c r="CO63" s="67"/>
      <c r="CP63" s="67"/>
      <c r="CQ63" s="368">
        <f>IF(CO63=0,0,(CP63-CO63)/CO63*100)</f>
        <v>0</v>
      </c>
      <c r="CR63" s="67"/>
      <c r="CS63" s="67"/>
      <c r="CT63" s="368">
        <f>IF(CR63=0,0,(CS63-CR63)/CR63*100)</f>
        <v>0</v>
      </c>
      <c r="CU63" s="67"/>
      <c r="CV63" s="67"/>
      <c r="CW63" s="368">
        <f>IF(CU63=0,0,(CV63-CU63)/CU63*100)</f>
        <v>0</v>
      </c>
      <c r="CX63" s="67"/>
      <c r="CY63" s="67"/>
      <c r="CZ63" s="368">
        <f>IF(CX63=0,0,(CY63-CX63)/CX63*100)</f>
        <v>0</v>
      </c>
      <c r="DA63" s="67"/>
      <c r="DB63" s="67"/>
      <c r="DC63" s="368">
        <f>IF(DA63=0,0,(DB63-DA63)/DA63*100)</f>
        <v>0</v>
      </c>
      <c r="DD63" s="67"/>
      <c r="DE63" s="67"/>
      <c r="DF63" s="368">
        <f>IF(DD63=0,0,(DE63-DD63)/DD63*100)</f>
        <v>0</v>
      </c>
      <c r="DG63" s="67"/>
      <c r="DH63" s="67"/>
      <c r="DI63" s="368">
        <f>IF(DG63=0,0,(DH63-DG63)/DG63*100)</f>
        <v>0</v>
      </c>
      <c r="DJ63" s="67"/>
      <c r="DK63" s="67"/>
      <c r="DL63" s="368">
        <f>IF(DJ63=0,0,(DK63-DJ63)/DJ63*100)</f>
        <v>0</v>
      </c>
      <c r="DM63" s="67"/>
      <c r="DN63" s="67"/>
      <c r="DO63" s="368">
        <f>IF(DM63=0,0,(DN63-DM63)/DM63*100)</f>
        <v>0</v>
      </c>
      <c r="DP63" s="67"/>
      <c r="DQ63" s="67"/>
      <c r="DR63" s="368">
        <f>IF(DP63=0,0,(DQ63-DP63)/DP63*100)</f>
        <v>0</v>
      </c>
      <c r="DS63" s="67"/>
      <c r="DT63" s="67"/>
      <c r="DU63" s="368">
        <f>IF(DS63=0,0,(DT63-DS63)/DS63*100)</f>
        <v>0</v>
      </c>
      <c r="DV63" s="67"/>
      <c r="DW63" s="67"/>
      <c r="DX63" s="368">
        <f>IF(DV63=0,0,(DW63-DV63)/DV63*100)</f>
        <v>0</v>
      </c>
      <c r="DY63" s="67"/>
      <c r="DZ63" s="67"/>
      <c r="EA63" s="368">
        <f>IF(DY63=0,0,(DZ63-DY63)/DY63*100)</f>
        <v>0</v>
      </c>
      <c r="EB63" s="67"/>
      <c r="EC63" s="67"/>
      <c r="ED63" s="368">
        <f>IF(EB63=0,0,(EC63-EB63)/EB63*100)</f>
        <v>0</v>
      </c>
      <c r="EE63" s="67"/>
      <c r="EF63" s="67"/>
      <c r="EG63" s="368">
        <f>IF(EE63=0,0,(EF63-EE63)/EE63*100)</f>
        <v>0</v>
      </c>
      <c r="EH63" s="67"/>
      <c r="EI63" s="67"/>
      <c r="EJ63" s="368">
        <f>IF(EH63=0,0,(EI63-EH63)/EH63*100)</f>
        <v>0</v>
      </c>
      <c r="EK63" s="67"/>
      <c r="EL63" s="67"/>
      <c r="EM63" s="368">
        <f>IF(EK63=0,0,(EL63-EK63)/EK63*100)</f>
        <v>0</v>
      </c>
      <c r="EN63" s="67"/>
      <c r="EO63" s="67"/>
      <c r="EP63" s="368">
        <f>IF(EN63=0,0,(EO63-EN63)/EN63*100)</f>
        <v>0</v>
      </c>
      <c r="EQ63" s="67"/>
      <c r="ER63" s="67"/>
      <c r="ES63" s="368">
        <f>IF(EQ63=0,0,(ER63-EQ63)/EQ63*100)</f>
        <v>0</v>
      </c>
      <c r="ET63" s="67"/>
      <c r="EU63" s="67"/>
      <c r="EV63" s="368">
        <f>IF(ET63=0,0,(EU63-ET63)/ET63*100)</f>
        <v>0</v>
      </c>
      <c r="EW63" s="67"/>
      <c r="EX63" s="67"/>
      <c r="EY63" s="368">
        <f>IF(EW63=0,0,(EX63-EW63)/EW63*100)</f>
        <v>0</v>
      </c>
      <c r="EZ63" s="67"/>
      <c r="FA63" s="67"/>
      <c r="FB63" s="368">
        <f>IF(EZ63=0,0,(FA63-EZ63)/EZ63*100)</f>
        <v>0</v>
      </c>
      <c r="FC63" s="67"/>
      <c r="FD63" s="67"/>
      <c r="FE63" s="368">
        <f>IF(FC63=0,0,(FD63-FC63)/FC63*100)</f>
        <v>0</v>
      </c>
      <c r="FF63" s="67"/>
      <c r="FG63" s="67"/>
      <c r="FH63" s="368">
        <f>IF(FF63=0,0,(FG63-FF63)/FF63*100)</f>
        <v>0</v>
      </c>
      <c r="FI63" s="67"/>
      <c r="FJ63" s="67"/>
      <c r="FK63" s="368">
        <f>IF(FI63=0,0,(FJ63-FI63)/FI63*100)</f>
        <v>0</v>
      </c>
      <c r="FL63" s="67"/>
      <c r="FM63" s="67"/>
      <c r="FN63" s="368">
        <f>IF(FL63=0,0,(FM63-FL63)/FL63*100)</f>
        <v>0</v>
      </c>
      <c r="FO63" s="67"/>
      <c r="FP63" s="67"/>
      <c r="FQ63" s="368">
        <f>IF(FO63=0,0,(FP63-FO63)/FO63*100)</f>
        <v>0</v>
      </c>
      <c r="FR63" s="67"/>
      <c r="FS63" s="67"/>
      <c r="FT63" s="368">
        <f>IF(FR63=0,0,(FS63-FR63)/FR63*100)</f>
        <v>0</v>
      </c>
      <c r="FU63" s="67"/>
      <c r="FV63" s="67"/>
      <c r="FW63" s="368">
        <f>IF(FU63=0,0,(FV63-FU63)/FU63*100)</f>
        <v>0</v>
      </c>
      <c r="FZ63" s="1184" t="s">
        <v>2170</v>
      </c>
      <c r="GA63" s="1184"/>
      <c r="GB63" s="1184"/>
      <c r="GC63" s="1184"/>
      <c r="GD63" s="1184"/>
    </row>
    <row customHeight="1" ht="15.405000000000001" hidden="1">
      <c r="B64" s="964" cm="1" t="str">
        <f t="array" ref="B64:B64">B63</f>
        <v>false</v>
      </c>
      <c r="C64" s="1325" t="s">
        <v>1723</v>
      </c>
      <c r="D64" s="1294" t="s">
        <v>1724</v>
      </c>
      <c r="E64" s="797">
        <v>15.8</v>
      </c>
      <c r="F64" s="922" cm="1" t="str">
        <f t="array" ref="F64:F64">OFFSET(G64,-1,-1)</f>
        <v>0</v>
      </c>
      <c r="H64" s="213" t="s">
        <v>2147</v>
      </c>
      <c r="I64" s="213" t="s">
        <v>2112</v>
      </c>
      <c r="J64" s="1315"/>
      <c r="K64" s="1315" cm="1" t="str">
        <f t="array" ref="K64:K64">OFFSET(J64,-1,1)</f>
        <v>0</v>
      </c>
      <c r="L64" s="1315"/>
      <c r="M64" s="1315" t="s">
        <v>1726</v>
      </c>
      <c r="N64" s="1315" t="s">
        <v>2113</v>
      </c>
      <c r="O64" s="1316" t="s">
        <v>2114</v>
      </c>
      <c r="P64" s="1315" t="s">
        <v>2148</v>
      </c>
      <c r="Q64" s="1315"/>
      <c r="T64" s="808" cm="1" t="str">
        <f t="array" ref="T64:T64">T63</f>
        <v>false</v>
      </c>
      <c r="AB64" s="276" t="s">
        <v>2149</v>
      </c>
      <c r="AC64" s="172" t="s">
        <v>599</v>
      </c>
      <c r="AD64" s="148"/>
      <c r="AE64" s="148"/>
      <c r="AF64" s="400">
        <f>IF(AD64=0,0,(AE64-AD64)/AD64*100)</f>
        <v>0</v>
      </c>
      <c r="AG64" s="148"/>
      <c r="AH64" s="148"/>
      <c r="AI64" s="400">
        <f>IF(AG64=0,0,(AH64-AG64)/AG64*100)</f>
        <v>0</v>
      </c>
      <c r="AJ64" s="148"/>
      <c r="AK64" s="148"/>
      <c r="AL64" s="400">
        <f>IF(AJ64=0,0,(AK64-AJ64)/AJ64*100)</f>
        <v>0</v>
      </c>
      <c r="AM64" s="148"/>
      <c r="AN64" s="148"/>
      <c r="AO64" s="400">
        <f>IF(AM64=0,0,(AN64-AM64)/AM64*100)</f>
        <v>0</v>
      </c>
      <c r="AP64" s="148"/>
      <c r="AQ64" s="148"/>
      <c r="AR64" s="400">
        <f>IF(AP64=0,0,(AQ64-AP64)/AP64*100)</f>
        <v>0</v>
      </c>
      <c r="AS64" s="148"/>
      <c r="AT64" s="148"/>
      <c r="AU64" s="400">
        <f>IF(AS64=0,0,(AT64-AS64)/AS64*100)</f>
        <v>0</v>
      </c>
      <c r="AV64" s="148"/>
      <c r="AW64" s="148"/>
      <c r="AX64" s="400">
        <f>IF(AV64=0,0,(AW64-AV64)/AV64*100)</f>
        <v>0</v>
      </c>
      <c r="AY64" s="148"/>
      <c r="AZ64" s="148"/>
      <c r="BA64" s="400">
        <f>IF(AY64=0,0,(AZ64-AY64)/AY64*100)</f>
        <v>0</v>
      </c>
      <c r="BB64" s="148"/>
      <c r="BC64" s="148"/>
      <c r="BD64" s="400">
        <f>IF(BB64=0,0,(BC64-BB64)/BB64*100)</f>
        <v>0</v>
      </c>
      <c r="BE64" s="148"/>
      <c r="BF64" s="148"/>
      <c r="BG64" s="400">
        <f>IF(BE64=0,0,(BF64-BE64)/BE64*100)</f>
        <v>0</v>
      </c>
      <c r="BH64" s="148"/>
      <c r="BI64" s="148"/>
      <c r="BJ64" s="400">
        <f>IF(BH64=0,0,(BI64-BH64)/BH64*100)</f>
        <v>0</v>
      </c>
      <c r="BK64" s="148"/>
      <c r="BL64" s="148"/>
      <c r="BM64" s="400">
        <f>IF(BK64=0,0,(BL64-BK64)/BK64*100)</f>
        <v>0</v>
      </c>
      <c r="BN64" s="148"/>
      <c r="BO64" s="148"/>
      <c r="BP64" s="400">
        <f>IF(BN64=0,0,(BO64-BN64)/BN64*100)</f>
        <v>0</v>
      </c>
      <c r="BQ64" s="148"/>
      <c r="BR64" s="148"/>
      <c r="BS64" s="400">
        <f>IF(BQ64=0,0,(BR64-BQ64)/BQ64*100)</f>
        <v>0</v>
      </c>
      <c r="BT64" s="148"/>
      <c r="BU64" s="148"/>
      <c r="BV64" s="400">
        <f>IF(BT64=0,0,(BU64-BT64)/BT64*100)</f>
        <v>0</v>
      </c>
      <c r="BW64" s="148"/>
      <c r="BX64" s="148"/>
      <c r="BY64" s="400">
        <f>IF(BW64=0,0,(BX64-BW64)/BW64*100)</f>
        <v>0</v>
      </c>
      <c r="BZ64" s="148"/>
      <c r="CA64" s="148"/>
      <c r="CB64" s="400">
        <f>IF(BZ64=0,0,(CA64-BZ64)/BZ64*100)</f>
        <v>0</v>
      </c>
      <c r="CC64" s="148"/>
      <c r="CD64" s="148"/>
      <c r="CE64" s="400">
        <f>IF(CC64=0,0,(CD64-CC64)/CC64*100)</f>
        <v>0</v>
      </c>
      <c r="CF64" s="148"/>
      <c r="CG64" s="148"/>
      <c r="CH64" s="400">
        <f>IF(CF64=0,0,(CG64-CF64)/CF64*100)</f>
        <v>0</v>
      </c>
      <c r="CI64" s="148"/>
      <c r="CJ64" s="148"/>
      <c r="CK64" s="400">
        <f>IF(CI64=0,0,(CJ64-CI64)/CI64*100)</f>
        <v>0</v>
      </c>
      <c r="CL64" s="148"/>
      <c r="CM64" s="148"/>
      <c r="CN64" s="400">
        <f>IF(CL64=0,0,(CM64-CL64)/CL64*100)</f>
        <v>0</v>
      </c>
      <c r="CO64" s="148"/>
      <c r="CP64" s="148"/>
      <c r="CQ64" s="400">
        <f>IF(CO64=0,0,(CP64-CO64)/CO64*100)</f>
        <v>0</v>
      </c>
      <c r="CR64" s="148"/>
      <c r="CS64" s="148"/>
      <c r="CT64" s="400">
        <f>IF(CR64=0,0,(CS64-CR64)/CR64*100)</f>
        <v>0</v>
      </c>
      <c r="CU64" s="148"/>
      <c r="CV64" s="148"/>
      <c r="CW64" s="400">
        <f>IF(CU64=0,0,(CV64-CU64)/CU64*100)</f>
        <v>0</v>
      </c>
      <c r="CX64" s="148"/>
      <c r="CY64" s="148"/>
      <c r="CZ64" s="400">
        <f>IF(CX64=0,0,(CY64-CX64)/CX64*100)</f>
        <v>0</v>
      </c>
      <c r="DA64" s="148"/>
      <c r="DB64" s="148"/>
      <c r="DC64" s="400">
        <f>IF(DA64=0,0,(DB64-DA64)/DA64*100)</f>
        <v>0</v>
      </c>
      <c r="DD64" s="148"/>
      <c r="DE64" s="148"/>
      <c r="DF64" s="400">
        <f>IF(DD64=0,0,(DE64-DD64)/DD64*100)</f>
        <v>0</v>
      </c>
      <c r="DG64" s="148"/>
      <c r="DH64" s="148"/>
      <c r="DI64" s="400">
        <f>IF(DG64=0,0,(DH64-DG64)/DG64*100)</f>
        <v>0</v>
      </c>
      <c r="DJ64" s="148"/>
      <c r="DK64" s="148"/>
      <c r="DL64" s="400">
        <f>IF(DJ64=0,0,(DK64-DJ64)/DJ64*100)</f>
        <v>0</v>
      </c>
      <c r="DM64" s="148"/>
      <c r="DN64" s="148"/>
      <c r="DO64" s="400">
        <f>IF(DM64=0,0,(DN64-DM64)/DM64*100)</f>
        <v>0</v>
      </c>
      <c r="DP64" s="148"/>
      <c r="DQ64" s="148"/>
      <c r="DR64" s="400">
        <f>IF(DP64=0,0,(DQ64-DP64)/DP64*100)</f>
        <v>0</v>
      </c>
      <c r="DS64" s="148"/>
      <c r="DT64" s="148"/>
      <c r="DU64" s="400">
        <f>IF(DS64=0,0,(DT64-DS64)/DS64*100)</f>
        <v>0</v>
      </c>
      <c r="DV64" s="148"/>
      <c r="DW64" s="148"/>
      <c r="DX64" s="400">
        <f>IF(DV64=0,0,(DW64-DV64)/DV64*100)</f>
        <v>0</v>
      </c>
      <c r="DY64" s="148"/>
      <c r="DZ64" s="148"/>
      <c r="EA64" s="400">
        <f>IF(DY64=0,0,(DZ64-DY64)/DY64*100)</f>
        <v>0</v>
      </c>
      <c r="EB64" s="148"/>
      <c r="EC64" s="148"/>
      <c r="ED64" s="400">
        <f>IF(EB64=0,0,(EC64-EB64)/EB64*100)</f>
        <v>0</v>
      </c>
      <c r="EE64" s="148"/>
      <c r="EF64" s="148"/>
      <c r="EG64" s="400">
        <f>IF(EE64=0,0,(EF64-EE64)/EE64*100)</f>
        <v>0</v>
      </c>
      <c r="EH64" s="148"/>
      <c r="EI64" s="148"/>
      <c r="EJ64" s="400">
        <f>IF(EH64=0,0,(EI64-EH64)/EH64*100)</f>
        <v>0</v>
      </c>
      <c r="EK64" s="148"/>
      <c r="EL64" s="148"/>
      <c r="EM64" s="400">
        <f>IF(EK64=0,0,(EL64-EK64)/EK64*100)</f>
        <v>0</v>
      </c>
      <c r="EN64" s="148"/>
      <c r="EO64" s="148"/>
      <c r="EP64" s="400">
        <f>IF(EN64=0,0,(EO64-EN64)/EN64*100)</f>
        <v>0</v>
      </c>
      <c r="EQ64" s="148"/>
      <c r="ER64" s="148"/>
      <c r="ES64" s="400">
        <f>IF(EQ64=0,0,(ER64-EQ64)/EQ64*100)</f>
        <v>0</v>
      </c>
      <c r="ET64" s="148"/>
      <c r="EU64" s="148"/>
      <c r="EV64" s="400">
        <f>IF(ET64=0,0,(EU64-ET64)/ET64*100)</f>
        <v>0</v>
      </c>
      <c r="EW64" s="148"/>
      <c r="EX64" s="148"/>
      <c r="EY64" s="400">
        <f>IF(EW64=0,0,(EX64-EW64)/EW64*100)</f>
        <v>0</v>
      </c>
      <c r="EZ64" s="148"/>
      <c r="FA64" s="148"/>
      <c r="FB64" s="400">
        <f>IF(EZ64=0,0,(FA64-EZ64)/EZ64*100)</f>
        <v>0</v>
      </c>
      <c r="FC64" s="148"/>
      <c r="FD64" s="148"/>
      <c r="FE64" s="400">
        <f>IF(FC64=0,0,(FD64-FC64)/FC64*100)</f>
        <v>0</v>
      </c>
      <c r="FF64" s="148"/>
      <c r="FG64" s="148"/>
      <c r="FH64" s="400">
        <f>IF(FF64=0,0,(FG64-FF64)/FF64*100)</f>
        <v>0</v>
      </c>
      <c r="FI64" s="148"/>
      <c r="FJ64" s="148"/>
      <c r="FK64" s="400">
        <f>IF(FI64=0,0,(FJ64-FI64)/FI64*100)</f>
        <v>0</v>
      </c>
      <c r="FL64" s="148"/>
      <c r="FM64" s="148"/>
      <c r="FN64" s="400">
        <f>IF(FL64=0,0,(FM64-FL64)/FL64*100)</f>
        <v>0</v>
      </c>
      <c r="FO64" s="148"/>
      <c r="FP64" s="148"/>
      <c r="FQ64" s="400">
        <f>IF(FO64=0,0,(FP64-FO64)/FO64*100)</f>
        <v>0</v>
      </c>
      <c r="FR64" s="148"/>
      <c r="FS64" s="148"/>
      <c r="FT64" s="400">
        <f>IF(FR64=0,0,(FS64-FR64)/FR64*100)</f>
        <v>0</v>
      </c>
      <c r="FU64" s="148"/>
      <c r="FV64" s="148"/>
      <c r="FW64" s="400">
        <f>IF(FU64=0,0,(FV64-FU64)/FU64*100)</f>
        <v>0</v>
      </c>
      <c r="FZ64" s="1184" t="s">
        <v>2171</v>
      </c>
      <c r="GA64" s="1184"/>
      <c r="GB64" s="1184"/>
      <c r="GC64" s="1184"/>
      <c r="GD64" s="1184"/>
    </row>
    <row customHeight="1" ht="30.712500000000002" hidden="1">
      <c r="B65" s="964" cm="1" t="str">
        <f t="array" ref="B65:B65">B64</f>
        <v>false</v>
      </c>
      <c r="C65" s="1325" t="s">
        <v>1777</v>
      </c>
      <c r="D65" s="1294" t="s">
        <v>1778</v>
      </c>
      <c r="E65" s="797">
        <v>31.5</v>
      </c>
      <c r="F65" s="922" cm="1" t="str">
        <f t="array" ref="F65:F65">OFFSET(G65,-1,-1)</f>
        <v>0</v>
      </c>
      <c r="H65" s="213" t="s">
        <v>2151</v>
      </c>
      <c r="I65" s="213" t="s">
        <v>2112</v>
      </c>
      <c r="J65" s="1315"/>
      <c r="K65" s="1315" cm="1" t="str">
        <f t="array" ref="K65:K65">OFFSET(J65,-1,1)</f>
        <v>0</v>
      </c>
      <c r="L65" s="1315"/>
      <c r="M65" s="1315" t="s">
        <v>1726</v>
      </c>
      <c r="N65" s="1315" t="s">
        <v>2113</v>
      </c>
      <c r="O65" s="1316" t="s">
        <v>2114</v>
      </c>
      <c r="P65" s="1315" t="s">
        <v>2152</v>
      </c>
      <c r="Q65" s="1315"/>
      <c r="T65" s="808" cm="1" t="str">
        <f t="array" ref="T65:T65">T64</f>
        <v>false</v>
      </c>
      <c r="AB65" s="276" t="s">
        <v>2153</v>
      </c>
      <c r="AC65" s="520" t="s">
        <v>1781</v>
      </c>
      <c r="AD65" s="67"/>
      <c r="AE65" s="67"/>
      <c r="AF65" s="368">
        <f>IF(AD65=0,0,(AE65-AD65)/AD65*100)</f>
        <v>0</v>
      </c>
      <c r="AG65" s="67"/>
      <c r="AH65" s="67"/>
      <c r="AI65" s="368">
        <f>IF(AG65=0,0,(AH65-AG65)/AG65*100)</f>
        <v>0</v>
      </c>
      <c r="AJ65" s="67"/>
      <c r="AK65" s="67"/>
      <c r="AL65" s="368">
        <f>IF(AJ65=0,0,(AK65-AJ65)/AJ65*100)</f>
        <v>0</v>
      </c>
      <c r="AM65" s="67"/>
      <c r="AN65" s="67"/>
      <c r="AO65" s="368">
        <f>IF(AM65=0,0,(AN65-AM65)/AM65*100)</f>
        <v>0</v>
      </c>
      <c r="AP65" s="67"/>
      <c r="AQ65" s="67"/>
      <c r="AR65" s="368">
        <f>IF(AP65=0,0,(AQ65-AP65)/AP65*100)</f>
        <v>0</v>
      </c>
      <c r="AS65" s="67"/>
      <c r="AT65" s="67"/>
      <c r="AU65" s="368">
        <f>IF(AS65=0,0,(AT65-AS65)/AS65*100)</f>
        <v>0</v>
      </c>
      <c r="AV65" s="67"/>
      <c r="AW65" s="67"/>
      <c r="AX65" s="368">
        <f>IF(AV65=0,0,(AW65-AV65)/AV65*100)</f>
        <v>0</v>
      </c>
      <c r="AY65" s="67"/>
      <c r="AZ65" s="67"/>
      <c r="BA65" s="368">
        <f>IF(AY65=0,0,(AZ65-AY65)/AY65*100)</f>
        <v>0</v>
      </c>
      <c r="BB65" s="67"/>
      <c r="BC65" s="67"/>
      <c r="BD65" s="368">
        <f>IF(BB65=0,0,(BC65-BB65)/BB65*100)</f>
        <v>0</v>
      </c>
      <c r="BE65" s="67"/>
      <c r="BF65" s="67"/>
      <c r="BG65" s="368">
        <f>IF(BE65=0,0,(BF65-BE65)/BE65*100)</f>
        <v>0</v>
      </c>
      <c r="BH65" s="67"/>
      <c r="BI65" s="67"/>
      <c r="BJ65" s="368">
        <f>IF(BH65=0,0,(BI65-BH65)/BH65*100)</f>
        <v>0</v>
      </c>
      <c r="BK65" s="67"/>
      <c r="BL65" s="67"/>
      <c r="BM65" s="368">
        <f>IF(BK65=0,0,(BL65-BK65)/BK65*100)</f>
        <v>0</v>
      </c>
      <c r="BN65" s="67"/>
      <c r="BO65" s="67"/>
      <c r="BP65" s="368">
        <f>IF(BN65=0,0,(BO65-BN65)/BN65*100)</f>
        <v>0</v>
      </c>
      <c r="BQ65" s="67"/>
      <c r="BR65" s="67"/>
      <c r="BS65" s="368">
        <f>IF(BQ65=0,0,(BR65-BQ65)/BQ65*100)</f>
        <v>0</v>
      </c>
      <c r="BT65" s="67"/>
      <c r="BU65" s="67"/>
      <c r="BV65" s="368">
        <f>IF(BT65=0,0,(BU65-BT65)/BT65*100)</f>
        <v>0</v>
      </c>
      <c r="BW65" s="67"/>
      <c r="BX65" s="67"/>
      <c r="BY65" s="368">
        <f>IF(BW65=0,0,(BX65-BW65)/BW65*100)</f>
        <v>0</v>
      </c>
      <c r="BZ65" s="67"/>
      <c r="CA65" s="67"/>
      <c r="CB65" s="368">
        <f>IF(BZ65=0,0,(CA65-BZ65)/BZ65*100)</f>
        <v>0</v>
      </c>
      <c r="CC65" s="67"/>
      <c r="CD65" s="67"/>
      <c r="CE65" s="368">
        <f>IF(CC65=0,0,(CD65-CC65)/CC65*100)</f>
        <v>0</v>
      </c>
      <c r="CF65" s="67"/>
      <c r="CG65" s="67"/>
      <c r="CH65" s="368">
        <f>IF(CF65=0,0,(CG65-CF65)/CF65*100)</f>
        <v>0</v>
      </c>
      <c r="CI65" s="67"/>
      <c r="CJ65" s="67"/>
      <c r="CK65" s="368">
        <f>IF(CI65=0,0,(CJ65-CI65)/CI65*100)</f>
        <v>0</v>
      </c>
      <c r="CL65" s="67"/>
      <c r="CM65" s="67"/>
      <c r="CN65" s="368">
        <f>IF(CL65=0,0,(CM65-CL65)/CL65*100)</f>
        <v>0</v>
      </c>
      <c r="CO65" s="67"/>
      <c r="CP65" s="67"/>
      <c r="CQ65" s="368">
        <f>IF(CO65=0,0,(CP65-CO65)/CO65*100)</f>
        <v>0</v>
      </c>
      <c r="CR65" s="67"/>
      <c r="CS65" s="67"/>
      <c r="CT65" s="368">
        <f>IF(CR65=0,0,(CS65-CR65)/CR65*100)</f>
        <v>0</v>
      </c>
      <c r="CU65" s="67"/>
      <c r="CV65" s="67"/>
      <c r="CW65" s="368">
        <f>IF(CU65=0,0,(CV65-CU65)/CU65*100)</f>
        <v>0</v>
      </c>
      <c r="CX65" s="67"/>
      <c r="CY65" s="67"/>
      <c r="CZ65" s="368">
        <f>IF(CX65=0,0,(CY65-CX65)/CX65*100)</f>
        <v>0</v>
      </c>
      <c r="DA65" s="67"/>
      <c r="DB65" s="67"/>
      <c r="DC65" s="368">
        <f>IF(DA65=0,0,(DB65-DA65)/DA65*100)</f>
        <v>0</v>
      </c>
      <c r="DD65" s="67"/>
      <c r="DE65" s="67"/>
      <c r="DF65" s="368">
        <f>IF(DD65=0,0,(DE65-DD65)/DD65*100)</f>
        <v>0</v>
      </c>
      <c r="DG65" s="67"/>
      <c r="DH65" s="67"/>
      <c r="DI65" s="368">
        <f>IF(DG65=0,0,(DH65-DG65)/DG65*100)</f>
        <v>0</v>
      </c>
      <c r="DJ65" s="67"/>
      <c r="DK65" s="67"/>
      <c r="DL65" s="368">
        <f>IF(DJ65=0,0,(DK65-DJ65)/DJ65*100)</f>
        <v>0</v>
      </c>
      <c r="DM65" s="67"/>
      <c r="DN65" s="67"/>
      <c r="DO65" s="368">
        <f>IF(DM65=0,0,(DN65-DM65)/DM65*100)</f>
        <v>0</v>
      </c>
      <c r="DP65" s="67"/>
      <c r="DQ65" s="67"/>
      <c r="DR65" s="368">
        <f>IF(DP65=0,0,(DQ65-DP65)/DP65*100)</f>
        <v>0</v>
      </c>
      <c r="DS65" s="67"/>
      <c r="DT65" s="67"/>
      <c r="DU65" s="368">
        <f>IF(DS65=0,0,(DT65-DS65)/DS65*100)</f>
        <v>0</v>
      </c>
      <c r="DV65" s="67"/>
      <c r="DW65" s="67"/>
      <c r="DX65" s="368">
        <f>IF(DV65=0,0,(DW65-DV65)/DV65*100)</f>
        <v>0</v>
      </c>
      <c r="DY65" s="67"/>
      <c r="DZ65" s="67"/>
      <c r="EA65" s="368">
        <f>IF(DY65=0,0,(DZ65-DY65)/DY65*100)</f>
        <v>0</v>
      </c>
      <c r="EB65" s="67"/>
      <c r="EC65" s="67"/>
      <c r="ED65" s="368">
        <f>IF(EB65=0,0,(EC65-EB65)/EB65*100)</f>
        <v>0</v>
      </c>
      <c r="EE65" s="67"/>
      <c r="EF65" s="67"/>
      <c r="EG65" s="368">
        <f>IF(EE65=0,0,(EF65-EE65)/EE65*100)</f>
        <v>0</v>
      </c>
      <c r="EH65" s="67"/>
      <c r="EI65" s="67"/>
      <c r="EJ65" s="368">
        <f>IF(EH65=0,0,(EI65-EH65)/EH65*100)</f>
        <v>0</v>
      </c>
      <c r="EK65" s="67"/>
      <c r="EL65" s="67"/>
      <c r="EM65" s="368">
        <f>IF(EK65=0,0,(EL65-EK65)/EK65*100)</f>
        <v>0</v>
      </c>
      <c r="EN65" s="67"/>
      <c r="EO65" s="67"/>
      <c r="EP65" s="368">
        <f>IF(EN65=0,0,(EO65-EN65)/EN65*100)</f>
        <v>0</v>
      </c>
      <c r="EQ65" s="67"/>
      <c r="ER65" s="67"/>
      <c r="ES65" s="368">
        <f>IF(EQ65=0,0,(ER65-EQ65)/EQ65*100)</f>
        <v>0</v>
      </c>
      <c r="ET65" s="67"/>
      <c r="EU65" s="67"/>
      <c r="EV65" s="368">
        <f>IF(ET65=0,0,(EU65-ET65)/ET65*100)</f>
        <v>0</v>
      </c>
      <c r="EW65" s="67"/>
      <c r="EX65" s="67"/>
      <c r="EY65" s="368">
        <f>IF(EW65=0,0,(EX65-EW65)/EW65*100)</f>
        <v>0</v>
      </c>
      <c r="EZ65" s="67"/>
      <c r="FA65" s="67"/>
      <c r="FB65" s="368">
        <f>IF(EZ65=0,0,(FA65-EZ65)/EZ65*100)</f>
        <v>0</v>
      </c>
      <c r="FC65" s="67"/>
      <c r="FD65" s="67"/>
      <c r="FE65" s="368">
        <f>IF(FC65=0,0,(FD65-FC65)/FC65*100)</f>
        <v>0</v>
      </c>
      <c r="FF65" s="67"/>
      <c r="FG65" s="67"/>
      <c r="FH65" s="368">
        <f>IF(FF65=0,0,(FG65-FF65)/FF65*100)</f>
        <v>0</v>
      </c>
      <c r="FI65" s="67"/>
      <c r="FJ65" s="67"/>
      <c r="FK65" s="368">
        <f>IF(FI65=0,0,(FJ65-FI65)/FI65*100)</f>
        <v>0</v>
      </c>
      <c r="FL65" s="67"/>
      <c r="FM65" s="67"/>
      <c r="FN65" s="368">
        <f>IF(FL65=0,0,(FM65-FL65)/FL65*100)</f>
        <v>0</v>
      </c>
      <c r="FO65" s="67"/>
      <c r="FP65" s="67"/>
      <c r="FQ65" s="368">
        <f>IF(FO65=0,0,(FP65-FO65)/FO65*100)</f>
        <v>0</v>
      </c>
      <c r="FR65" s="67"/>
      <c r="FS65" s="67"/>
      <c r="FT65" s="368">
        <f>IF(FR65=0,0,(FS65-FR65)/FR65*100)</f>
        <v>0</v>
      </c>
      <c r="FU65" s="67"/>
      <c r="FV65" s="67"/>
      <c r="FW65" s="368">
        <f>IF(FU65=0,0,(FV65-FU65)/FU65*100)</f>
        <v>0</v>
      </c>
      <c r="FZ65" s="1184" t="s">
        <v>2172</v>
      </c>
      <c r="GA65" s="1184"/>
      <c r="GB65" s="1184"/>
      <c r="GC65" s="1184"/>
      <c r="GD65" s="1184"/>
    </row>
    <row customHeight="1" ht="15.405000000000001" hidden="1">
      <c r="B66" s="964" cm="1" t="str">
        <f t="array" ref="B66:B66">B65</f>
        <v>false</v>
      </c>
      <c r="C66" s="1325" t="s">
        <v>1749</v>
      </c>
      <c r="D66" s="1294" t="s">
        <v>1750</v>
      </c>
      <c r="E66" s="797">
        <v>15.8</v>
      </c>
      <c r="F66" s="922" cm="1" t="str">
        <f t="array" ref="F66:F66">OFFSET(G66,-1,-1)</f>
        <v>0</v>
      </c>
      <c r="H66" s="213" t="s">
        <v>2155</v>
      </c>
      <c r="I66" s="213" t="s">
        <v>2112</v>
      </c>
      <c r="J66" s="1315"/>
      <c r="K66" s="1315" cm="1" t="str">
        <f t="array" ref="K66:K66">OFFSET(J66,-1,1)</f>
        <v>0</v>
      </c>
      <c r="L66" s="1315"/>
      <c r="M66" s="1315" t="s">
        <v>1726</v>
      </c>
      <c r="N66" s="1315" t="s">
        <v>2113</v>
      </c>
      <c r="O66" s="1316" t="s">
        <v>2114</v>
      </c>
      <c r="P66" s="1315" t="s">
        <v>2156</v>
      </c>
      <c r="Q66" s="1315"/>
      <c r="T66" s="808" cm="1" t="str">
        <f t="array" ref="T66:T66">T65</f>
        <v>false</v>
      </c>
      <c r="AB66" s="276" t="s">
        <v>2157</v>
      </c>
      <c r="AC66" s="667" t="s">
        <v>695</v>
      </c>
      <c r="AD66" s="67"/>
      <c r="AE66" s="67"/>
      <c r="AF66" s="368">
        <f>IF(AD66=0,0,(AE66-AD66)/AD66*100)</f>
        <v>0</v>
      </c>
      <c r="AG66" s="67"/>
      <c r="AH66" s="67"/>
      <c r="AI66" s="368">
        <f>IF(AG66=0,0,(AH66-AG66)/AG66*100)</f>
        <v>0</v>
      </c>
      <c r="AJ66" s="67"/>
      <c r="AK66" s="67"/>
      <c r="AL66" s="368">
        <f>IF(AJ66=0,0,(AK66-AJ66)/AJ66*100)</f>
        <v>0</v>
      </c>
      <c r="AM66" s="67"/>
      <c r="AN66" s="67"/>
      <c r="AO66" s="368">
        <f>IF(AM66=0,0,(AN66-AM66)/AM66*100)</f>
        <v>0</v>
      </c>
      <c r="AP66" s="67"/>
      <c r="AQ66" s="67"/>
      <c r="AR66" s="368">
        <f>IF(AP66=0,0,(AQ66-AP66)/AP66*100)</f>
        <v>0</v>
      </c>
      <c r="AS66" s="67"/>
      <c r="AT66" s="67"/>
      <c r="AU66" s="368">
        <f>IF(AS66=0,0,(AT66-AS66)/AS66*100)</f>
        <v>0</v>
      </c>
      <c r="AV66" s="67"/>
      <c r="AW66" s="67"/>
      <c r="AX66" s="368">
        <f>IF(AV66=0,0,(AW66-AV66)/AV66*100)</f>
        <v>0</v>
      </c>
      <c r="AY66" s="67"/>
      <c r="AZ66" s="67"/>
      <c r="BA66" s="368">
        <f>IF(AY66=0,0,(AZ66-AY66)/AY66*100)</f>
        <v>0</v>
      </c>
      <c r="BB66" s="67"/>
      <c r="BC66" s="67"/>
      <c r="BD66" s="368">
        <f>IF(BB66=0,0,(BC66-BB66)/BB66*100)</f>
        <v>0</v>
      </c>
      <c r="BE66" s="67"/>
      <c r="BF66" s="67"/>
      <c r="BG66" s="368">
        <f>IF(BE66=0,0,(BF66-BE66)/BE66*100)</f>
        <v>0</v>
      </c>
      <c r="BH66" s="67"/>
      <c r="BI66" s="67"/>
      <c r="BJ66" s="368">
        <f>IF(BH66=0,0,(BI66-BH66)/BH66*100)</f>
        <v>0</v>
      </c>
      <c r="BK66" s="67"/>
      <c r="BL66" s="67"/>
      <c r="BM66" s="368">
        <f>IF(BK66=0,0,(BL66-BK66)/BK66*100)</f>
        <v>0</v>
      </c>
      <c r="BN66" s="67"/>
      <c r="BO66" s="67"/>
      <c r="BP66" s="368">
        <f>IF(BN66=0,0,(BO66-BN66)/BN66*100)</f>
        <v>0</v>
      </c>
      <c r="BQ66" s="67"/>
      <c r="BR66" s="67"/>
      <c r="BS66" s="368">
        <f>IF(BQ66=0,0,(BR66-BQ66)/BQ66*100)</f>
        <v>0</v>
      </c>
      <c r="BT66" s="67"/>
      <c r="BU66" s="67"/>
      <c r="BV66" s="368">
        <f>IF(BT66=0,0,(BU66-BT66)/BT66*100)</f>
        <v>0</v>
      </c>
      <c r="BW66" s="67"/>
      <c r="BX66" s="67"/>
      <c r="BY66" s="368">
        <f>IF(BW66=0,0,(BX66-BW66)/BW66*100)</f>
        <v>0</v>
      </c>
      <c r="BZ66" s="67"/>
      <c r="CA66" s="67"/>
      <c r="CB66" s="368">
        <f>IF(BZ66=0,0,(CA66-BZ66)/BZ66*100)</f>
        <v>0</v>
      </c>
      <c r="CC66" s="67"/>
      <c r="CD66" s="67"/>
      <c r="CE66" s="368">
        <f>IF(CC66=0,0,(CD66-CC66)/CC66*100)</f>
        <v>0</v>
      </c>
      <c r="CF66" s="67"/>
      <c r="CG66" s="67"/>
      <c r="CH66" s="368">
        <f>IF(CF66=0,0,(CG66-CF66)/CF66*100)</f>
        <v>0</v>
      </c>
      <c r="CI66" s="67"/>
      <c r="CJ66" s="67"/>
      <c r="CK66" s="368">
        <f>IF(CI66=0,0,(CJ66-CI66)/CI66*100)</f>
        <v>0</v>
      </c>
      <c r="CL66" s="67"/>
      <c r="CM66" s="67"/>
      <c r="CN66" s="368">
        <f>IF(CL66=0,0,(CM66-CL66)/CL66*100)</f>
        <v>0</v>
      </c>
      <c r="CO66" s="67"/>
      <c r="CP66" s="67"/>
      <c r="CQ66" s="368">
        <f>IF(CO66=0,0,(CP66-CO66)/CO66*100)</f>
        <v>0</v>
      </c>
      <c r="CR66" s="67"/>
      <c r="CS66" s="67"/>
      <c r="CT66" s="368">
        <f>IF(CR66=0,0,(CS66-CR66)/CR66*100)</f>
        <v>0</v>
      </c>
      <c r="CU66" s="67"/>
      <c r="CV66" s="67"/>
      <c r="CW66" s="368">
        <f>IF(CU66=0,0,(CV66-CU66)/CU66*100)</f>
        <v>0</v>
      </c>
      <c r="CX66" s="67"/>
      <c r="CY66" s="67"/>
      <c r="CZ66" s="368">
        <f>IF(CX66=0,0,(CY66-CX66)/CX66*100)</f>
        <v>0</v>
      </c>
      <c r="DA66" s="67"/>
      <c r="DB66" s="67"/>
      <c r="DC66" s="368">
        <f>IF(DA66=0,0,(DB66-DA66)/DA66*100)</f>
        <v>0</v>
      </c>
      <c r="DD66" s="67"/>
      <c r="DE66" s="67"/>
      <c r="DF66" s="368">
        <f>IF(DD66=0,0,(DE66-DD66)/DD66*100)</f>
        <v>0</v>
      </c>
      <c r="DG66" s="67"/>
      <c r="DH66" s="67"/>
      <c r="DI66" s="368">
        <f>IF(DG66=0,0,(DH66-DG66)/DG66*100)</f>
        <v>0</v>
      </c>
      <c r="DJ66" s="67"/>
      <c r="DK66" s="67"/>
      <c r="DL66" s="368">
        <f>IF(DJ66=0,0,(DK66-DJ66)/DJ66*100)</f>
        <v>0</v>
      </c>
      <c r="DM66" s="67"/>
      <c r="DN66" s="67"/>
      <c r="DO66" s="368">
        <f>IF(DM66=0,0,(DN66-DM66)/DM66*100)</f>
        <v>0</v>
      </c>
      <c r="DP66" s="67"/>
      <c r="DQ66" s="67"/>
      <c r="DR66" s="368">
        <f>IF(DP66=0,0,(DQ66-DP66)/DP66*100)</f>
        <v>0</v>
      </c>
      <c r="DS66" s="67"/>
      <c r="DT66" s="67"/>
      <c r="DU66" s="368">
        <f>IF(DS66=0,0,(DT66-DS66)/DS66*100)</f>
        <v>0</v>
      </c>
      <c r="DV66" s="67"/>
      <c r="DW66" s="67"/>
      <c r="DX66" s="368">
        <f>IF(DV66=0,0,(DW66-DV66)/DV66*100)</f>
        <v>0</v>
      </c>
      <c r="DY66" s="67"/>
      <c r="DZ66" s="67"/>
      <c r="EA66" s="368">
        <f>IF(DY66=0,0,(DZ66-DY66)/DY66*100)</f>
        <v>0</v>
      </c>
      <c r="EB66" s="67"/>
      <c r="EC66" s="67"/>
      <c r="ED66" s="368">
        <f>IF(EB66=0,0,(EC66-EB66)/EB66*100)</f>
        <v>0</v>
      </c>
      <c r="EE66" s="67"/>
      <c r="EF66" s="67"/>
      <c r="EG66" s="368">
        <f>IF(EE66=0,0,(EF66-EE66)/EE66*100)</f>
        <v>0</v>
      </c>
      <c r="EH66" s="67"/>
      <c r="EI66" s="67"/>
      <c r="EJ66" s="368">
        <f>IF(EH66=0,0,(EI66-EH66)/EH66*100)</f>
        <v>0</v>
      </c>
      <c r="EK66" s="67"/>
      <c r="EL66" s="67"/>
      <c r="EM66" s="368">
        <f>IF(EK66=0,0,(EL66-EK66)/EK66*100)</f>
        <v>0</v>
      </c>
      <c r="EN66" s="67"/>
      <c r="EO66" s="67"/>
      <c r="EP66" s="368">
        <f>IF(EN66=0,0,(EO66-EN66)/EN66*100)</f>
        <v>0</v>
      </c>
      <c r="EQ66" s="67"/>
      <c r="ER66" s="67"/>
      <c r="ES66" s="368">
        <f>IF(EQ66=0,0,(ER66-EQ66)/EQ66*100)</f>
        <v>0</v>
      </c>
      <c r="ET66" s="67"/>
      <c r="EU66" s="67"/>
      <c r="EV66" s="368">
        <f>IF(ET66=0,0,(EU66-ET66)/ET66*100)</f>
        <v>0</v>
      </c>
      <c r="EW66" s="67"/>
      <c r="EX66" s="67"/>
      <c r="EY66" s="368">
        <f>IF(EW66=0,0,(EX66-EW66)/EW66*100)</f>
        <v>0</v>
      </c>
      <c r="EZ66" s="67"/>
      <c r="FA66" s="67"/>
      <c r="FB66" s="368">
        <f>IF(EZ66=0,0,(FA66-EZ66)/EZ66*100)</f>
        <v>0</v>
      </c>
      <c r="FC66" s="67"/>
      <c r="FD66" s="67"/>
      <c r="FE66" s="368">
        <f>IF(FC66=0,0,(FD66-FC66)/FC66*100)</f>
        <v>0</v>
      </c>
      <c r="FF66" s="67"/>
      <c r="FG66" s="67"/>
      <c r="FH66" s="368">
        <f>IF(FF66=0,0,(FG66-FF66)/FF66*100)</f>
        <v>0</v>
      </c>
      <c r="FI66" s="67"/>
      <c r="FJ66" s="67"/>
      <c r="FK66" s="368">
        <f>IF(FI66=0,0,(FJ66-FI66)/FI66*100)</f>
        <v>0</v>
      </c>
      <c r="FL66" s="67"/>
      <c r="FM66" s="67"/>
      <c r="FN66" s="368">
        <f>IF(FL66=0,0,(FM66-FL66)/FL66*100)</f>
        <v>0</v>
      </c>
      <c r="FO66" s="67"/>
      <c r="FP66" s="67"/>
      <c r="FQ66" s="368">
        <f>IF(FO66=0,0,(FP66-FO66)/FO66*100)</f>
        <v>0</v>
      </c>
      <c r="FR66" s="67"/>
      <c r="FS66" s="67"/>
      <c r="FT66" s="368">
        <f>IF(FR66=0,0,(FS66-FR66)/FR66*100)</f>
        <v>0</v>
      </c>
      <c r="FU66" s="67"/>
      <c r="FV66" s="67"/>
      <c r="FW66" s="368">
        <f>IF(FU66=0,0,(FV66-FU66)/FU66*100)</f>
        <v>0</v>
      </c>
      <c r="FZ66" s="1184" t="s">
        <v>2173</v>
      </c>
      <c r="GA66" s="1184"/>
      <c r="GB66" s="1184"/>
      <c r="GC66" s="1184"/>
      <c r="GD66" s="1184"/>
    </row>
    <row customHeight="1" ht="15.405000000000001" hidden="1">
      <c r="B67" s="964" cm="1" t="str">
        <f t="array" ref="B67:B67">B66</f>
        <v>false</v>
      </c>
      <c r="E67" s="797">
        <v>15.8</v>
      </c>
      <c r="F67" s="922" cm="1" t="str">
        <f t="array" ref="F67:F67">OFFSET(G67,-1,-1)</f>
        <v>0</v>
      </c>
      <c r="K67" s="1315" cm="1" t="str">
        <f t="array" ref="K67:K67">OFFSET(J67,-1,1)</f>
        <v>0</v>
      </c>
      <c r="P67" s="1315"/>
      <c r="Q67" s="1315"/>
      <c r="T67" s="808" cm="1" t="str">
        <f t="array" ref="T67:T67">T66</f>
        <v>false</v>
      </c>
      <c r="AB67" s="1354" t="s">
        <v>2118</v>
      </c>
      <c r="AC67" s="370"/>
      <c r="AD67" s="371"/>
      <c r="AE67" s="371"/>
      <c r="AF67" s="371"/>
      <c r="AG67" s="371"/>
      <c r="AH67" s="371"/>
      <c r="AI67" s="371"/>
      <c r="AJ67" s="371"/>
      <c r="AK67" s="371"/>
      <c r="AL67" s="371"/>
      <c r="AM67" s="371"/>
      <c r="AN67" s="371"/>
      <c r="AO67" s="371"/>
      <c r="AP67" s="371"/>
      <c r="AQ67" s="371"/>
      <c r="AR67" s="371"/>
      <c r="AS67" s="371"/>
      <c r="AT67" s="371"/>
      <c r="AU67" s="371"/>
      <c r="AV67" s="371"/>
      <c r="AW67" s="371"/>
      <c r="AX67" s="371"/>
      <c r="AY67" s="371"/>
      <c r="AZ67" s="371"/>
      <c r="BA67" s="371"/>
      <c r="BB67" s="371"/>
      <c r="BC67" s="371"/>
      <c r="BD67" s="371"/>
      <c r="BE67" s="371"/>
      <c r="BF67" s="371"/>
      <c r="BG67" s="371"/>
      <c r="BH67" s="371"/>
      <c r="BI67" s="371"/>
      <c r="BJ67" s="371"/>
      <c r="BK67" s="371"/>
      <c r="BL67" s="371"/>
      <c r="BM67" s="371"/>
      <c r="BN67" s="371"/>
      <c r="BO67" s="371"/>
      <c r="BP67" s="371"/>
      <c r="BQ67" s="371"/>
      <c r="BR67" s="371"/>
      <c r="BS67" s="371"/>
      <c r="BT67" s="371"/>
      <c r="BU67" s="371"/>
      <c r="BV67" s="371"/>
      <c r="BW67" s="371"/>
      <c r="BX67" s="371"/>
      <c r="BY67" s="371"/>
      <c r="BZ67" s="371"/>
      <c r="CA67" s="371"/>
      <c r="CB67" s="371"/>
      <c r="CC67" s="371"/>
      <c r="CD67" s="371"/>
      <c r="CE67" s="371"/>
      <c r="CF67" s="371"/>
      <c r="CG67" s="371"/>
      <c r="CH67" s="371"/>
      <c r="CI67" s="371"/>
      <c r="CJ67" s="371"/>
      <c r="CK67" s="371"/>
      <c r="CL67" s="371"/>
      <c r="CM67" s="371"/>
      <c r="CN67" s="371"/>
      <c r="CO67" s="371"/>
      <c r="CP67" s="371"/>
      <c r="CQ67" s="371"/>
      <c r="CR67" s="371"/>
      <c r="CS67" s="371"/>
      <c r="CT67" s="371"/>
      <c r="CU67" s="371"/>
      <c r="CV67" s="371"/>
      <c r="CW67" s="371"/>
      <c r="CX67" s="371"/>
      <c r="CY67" s="371"/>
      <c r="CZ67" s="371"/>
      <c r="DA67" s="371"/>
      <c r="DB67" s="371"/>
      <c r="DC67" s="371"/>
      <c r="DD67" s="371"/>
      <c r="DE67" s="371"/>
      <c r="DF67" s="371"/>
      <c r="DG67" s="371"/>
      <c r="DH67" s="371"/>
      <c r="DI67" s="371"/>
      <c r="DJ67" s="371"/>
      <c r="DK67" s="371"/>
      <c r="DL67" s="371"/>
      <c r="DM67" s="371"/>
      <c r="DN67" s="371"/>
      <c r="DO67" s="371"/>
      <c r="DP67" s="371"/>
      <c r="DQ67" s="371"/>
      <c r="DR67" s="371"/>
      <c r="DS67" s="371"/>
      <c r="DT67" s="371"/>
      <c r="DU67" s="371"/>
      <c r="DV67" s="371"/>
      <c r="DW67" s="371"/>
      <c r="DX67" s="371"/>
      <c r="DY67" s="371"/>
      <c r="DZ67" s="371"/>
      <c r="EA67" s="371"/>
      <c r="EB67" s="371"/>
      <c r="EC67" s="371"/>
      <c r="ED67" s="371"/>
      <c r="EE67" s="371"/>
      <c r="EF67" s="371"/>
      <c r="EG67" s="371"/>
      <c r="EH67" s="371"/>
      <c r="EI67" s="371"/>
      <c r="EJ67" s="371"/>
      <c r="EK67" s="371"/>
      <c r="EL67" s="371"/>
      <c r="EM67" s="371"/>
      <c r="EN67" s="371"/>
      <c r="EO67" s="371"/>
      <c r="EP67" s="371"/>
      <c r="EQ67" s="371"/>
      <c r="ER67" s="371"/>
      <c r="ES67" s="371"/>
      <c r="ET67" s="371"/>
      <c r="EU67" s="371"/>
      <c r="EV67" s="371"/>
      <c r="EW67" s="371"/>
      <c r="EX67" s="371"/>
      <c r="EY67" s="371"/>
      <c r="EZ67" s="371"/>
      <c r="FA67" s="371"/>
      <c r="FB67" s="371"/>
      <c r="FC67" s="371"/>
      <c r="FD67" s="371"/>
      <c r="FE67" s="371"/>
      <c r="FF67" s="371"/>
      <c r="FG67" s="371"/>
      <c r="FH67" s="371"/>
      <c r="FI67" s="371"/>
      <c r="FJ67" s="371"/>
      <c r="FK67" s="371"/>
      <c r="FL67" s="371"/>
      <c r="FM67" s="371"/>
      <c r="FN67" s="371"/>
      <c r="FO67" s="371"/>
      <c r="FP67" s="371"/>
      <c r="FQ67" s="371"/>
      <c r="FR67" s="371"/>
      <c r="FS67" s="371"/>
      <c r="FT67" s="371"/>
      <c r="FU67" s="371"/>
      <c r="FV67" s="371"/>
      <c r="FW67" s="372"/>
      <c r="GA67" s="1184"/>
      <c r="GB67" s="1184"/>
      <c r="GC67" s="1184"/>
      <c r="GD67" s="1184"/>
    </row>
    <row customHeight="1" ht="15.405000000000001" hidden="1">
      <c r="B68" s="964" cm="1" t="str">
        <f t="array" ref="B68:B68">B67</f>
        <v>false</v>
      </c>
      <c r="C68" s="1325" t="s">
        <v>2165</v>
      </c>
      <c r="D68" s="1294" t="s">
        <v>2166</v>
      </c>
      <c r="E68" s="797">
        <v>15.8</v>
      </c>
      <c r="F68" s="922" cm="1" t="str">
        <f t="array" ref="F68:F68">OFFSET(G68,-1,-1)</f>
        <v>0</v>
      </c>
      <c r="H68" s="213" t="s">
        <v>2137</v>
      </c>
      <c r="I68" s="213" t="s">
        <v>2117</v>
      </c>
      <c r="J68" s="1315"/>
      <c r="K68" s="1315" cm="1" t="str">
        <f t="array" ref="K68:K68">OFFSET(J68,-1,1)</f>
        <v>0</v>
      </c>
      <c r="L68" s="1315"/>
      <c r="M68" s="1315" t="s">
        <v>1735</v>
      </c>
      <c r="N68" s="1315" t="s">
        <v>2113</v>
      </c>
      <c r="O68" s="1316" t="s">
        <v>2114</v>
      </c>
      <c r="P68" s="1315" t="s">
        <v>2138</v>
      </c>
      <c r="Q68" s="1315"/>
      <c r="T68" s="808" cm="1" t="str">
        <f t="array" ref="T68:T68">T67</f>
        <v>false</v>
      </c>
      <c r="AB68" s="276" t="s">
        <v>2139</v>
      </c>
      <c r="AC68" s="172" t="s">
        <v>900</v>
      </c>
      <c r="AD68" s="67">
        <f>IF(AD70=0,0,(AD69*AD70+AD71*AD72*IF(god=2026,3,6))/AD70)</f>
        <v>0</v>
      </c>
      <c r="AE68" s="67">
        <f>IF(AE70=0,0,(AE69*AE70+AE71*AE72*IF(god=2026,3,6))/AE70)</f>
        <v>0</v>
      </c>
      <c r="AF68" s="368">
        <f>IF(AD68=0,0,(AE68-AD68)/AD68*100)</f>
        <v>0</v>
      </c>
      <c r="AG68" s="67">
        <f>IF(AG70=0,0,(AG69*AG70+AG71*AG72*IF(god=2025,3,6))/AG70)</f>
        <v>0</v>
      </c>
      <c r="AH68" s="67">
        <f>IF(AH70=0,0,(AH69*AH70+AH71*AH72*IF(god=2025,3,6))/AH70)</f>
        <v>0</v>
      </c>
      <c r="AI68" s="368">
        <f>IF(AG68=0,0,(AH68-AG68)/AG68*100)</f>
        <v>0</v>
      </c>
      <c r="AJ68" s="67">
        <f>IF(AJ70=0,0,(AJ69*AJ70+AJ71*AJ72*6)/AJ70)</f>
        <v>0</v>
      </c>
      <c r="AK68" s="67">
        <f>IF(AK70=0,0,(AK69*AK70+AK71*AK72*6)/AK70)</f>
        <v>0</v>
      </c>
      <c r="AL68" s="368">
        <f>IF(AJ68=0,0,(AK68-AJ68)/AJ68*100)</f>
        <v>0</v>
      </c>
      <c r="AM68" s="67">
        <f>IF(AM70=0,0,(AM69*AM70+AM71*AM72*6)/AM70)</f>
        <v>0</v>
      </c>
      <c r="AN68" s="67">
        <f>IF(AN70=0,0,(AN69*AN70+AN71*AN72*6)/AN70)</f>
        <v>0</v>
      </c>
      <c r="AO68" s="368">
        <f>IF(AM68=0,0,(AN68-AM68)/AM68*100)</f>
        <v>0</v>
      </c>
      <c r="AP68" s="67">
        <f>IF(AP70=0,0,(AP69*AP70+AP71*AP72*6)/AP70)</f>
        <v>0</v>
      </c>
      <c r="AQ68" s="67">
        <f>IF(AQ70=0,0,(AQ69*AQ70+AQ71*AQ72*6)/AQ70)</f>
        <v>0</v>
      </c>
      <c r="AR68" s="368">
        <f>IF(AP68=0,0,(AQ68-AP68)/AP68*100)</f>
        <v>0</v>
      </c>
      <c r="AS68" s="67">
        <f>IF(AS70=0,0,(AS69*AS70+AS71*AS72*6)/AS70)</f>
        <v>0</v>
      </c>
      <c r="AT68" s="67">
        <f>IF(AT70=0,0,(AT69*AT70+AT71*AT72*6)/AT70)</f>
        <v>0</v>
      </c>
      <c r="AU68" s="368">
        <f>IF(AS68=0,0,(AT68-AS68)/AS68*100)</f>
        <v>0</v>
      </c>
      <c r="AV68" s="67">
        <f>IF(AV70=0,0,(AV69*AV70+AV71*AV72*6)/AV70)</f>
        <v>0</v>
      </c>
      <c r="AW68" s="67">
        <f>IF(AW70=0,0,(AW69*AW70+AW71*AW72*6)/AW70)</f>
        <v>0</v>
      </c>
      <c r="AX68" s="368">
        <f>IF(AV68=0,0,(AW68-AV68)/AV68*100)</f>
        <v>0</v>
      </c>
      <c r="AY68" s="67">
        <f>IF(AY70=0,0,(AY69*AY70+AY71*AY72*6)/AY70)</f>
        <v>0</v>
      </c>
      <c r="AZ68" s="67">
        <f>IF(AZ70=0,0,(AZ69*AZ70+AZ71*AZ72*6)/AZ70)</f>
        <v>0</v>
      </c>
      <c r="BA68" s="368">
        <f>IF(AY68=0,0,(AZ68-AY68)/AY68*100)</f>
        <v>0</v>
      </c>
      <c r="BB68" s="67">
        <f>IF(BB70=0,0,(BB69*BB70+BB71*BB72*6)/BB70)</f>
        <v>0</v>
      </c>
      <c r="BC68" s="67">
        <f>IF(BC70=0,0,(BC69*BC70+BC71*BC72*6)/BC70)</f>
        <v>0</v>
      </c>
      <c r="BD68" s="368">
        <f>IF(BB68=0,0,(BC68-BB68)/BB68*100)</f>
        <v>0</v>
      </c>
      <c r="BE68" s="67">
        <f>IF(BE70=0,0,(BE69*BE70+BE71*BE72*6)/BE70)</f>
        <v>0</v>
      </c>
      <c r="BF68" s="67">
        <f>IF(BF70=0,0,(BF69*BF70+BF71*BF72*6)/BF70)</f>
        <v>0</v>
      </c>
      <c r="BG68" s="368">
        <f>IF(BE68=0,0,(BF68-BE68)/BE68*100)</f>
        <v>0</v>
      </c>
      <c r="BH68" s="67">
        <f>IF(BH70=0,0,(BH69*BH70+BH71*BH72*6)/BH70)</f>
        <v>0</v>
      </c>
      <c r="BI68" s="67">
        <f>IF(BI70=0,0,(BI69*BI70+BI71*BI72*6)/BI70)</f>
        <v>0</v>
      </c>
      <c r="BJ68" s="368">
        <f>IF(BH68=0,0,(BI68-BH68)/BH68*100)</f>
        <v>0</v>
      </c>
      <c r="BK68" s="67">
        <f>IF(BK70=0,0,(BK69*BK70+BK71*BK72*6)/BK70)</f>
        <v>0</v>
      </c>
      <c r="BL68" s="67">
        <f>IF(BL70=0,0,(BL69*BL70+BL71*BL72*6)/BL70)</f>
        <v>0</v>
      </c>
      <c r="BM68" s="368">
        <f>IF(BK68=0,0,(BL68-BK68)/BK68*100)</f>
        <v>0</v>
      </c>
      <c r="BN68" s="67">
        <f>IF(BN70=0,0,(BN69*BN70+BN71*BN72*6)/BN70)</f>
        <v>0</v>
      </c>
      <c r="BO68" s="67">
        <f>IF(BO70=0,0,(BO69*BO70+BO71*BO72*6)/BO70)</f>
        <v>0</v>
      </c>
      <c r="BP68" s="368">
        <f>IF(BN68=0,0,(BO68-BN68)/BN68*100)</f>
        <v>0</v>
      </c>
      <c r="BQ68" s="67">
        <f>IF(BQ70=0,0,(BQ69*BQ70+BQ71*BQ72*6)/BQ70)</f>
        <v>0</v>
      </c>
      <c r="BR68" s="67">
        <f>IF(BR70=0,0,(BR69*BR70+BR71*BR72*6)/BR70)</f>
        <v>0</v>
      </c>
      <c r="BS68" s="368">
        <f>IF(BQ68=0,0,(BR68-BQ68)/BQ68*100)</f>
        <v>0</v>
      </c>
      <c r="BT68" s="67">
        <f>IF(BT70=0,0,(BT69*BT70+BT71*BT72*6)/BT70)</f>
        <v>0</v>
      </c>
      <c r="BU68" s="67">
        <f>IF(BU70=0,0,(BU69*BU70+BU71*BU72*6)/BU70)</f>
        <v>0</v>
      </c>
      <c r="BV68" s="368">
        <f>IF(BT68=0,0,(BU68-BT68)/BT68*100)</f>
        <v>0</v>
      </c>
      <c r="BW68" s="67">
        <f>IF(BW70=0,0,(BW69*BW70+BW71*BW72*6)/BW70)</f>
        <v>0</v>
      </c>
      <c r="BX68" s="67">
        <f>IF(BX70=0,0,(BX69*BX70+BX71*BX72*6)/BX70)</f>
        <v>0</v>
      </c>
      <c r="BY68" s="368">
        <f>IF(BW68=0,0,(BX68-BW68)/BW68*100)</f>
        <v>0</v>
      </c>
      <c r="BZ68" s="67">
        <f>IF(BZ70=0,0,(BZ69*BZ70+BZ71*BZ72*6)/BZ70)</f>
        <v>0</v>
      </c>
      <c r="CA68" s="67">
        <f>IF(CA70=0,0,(CA69*CA70+CA71*CA72*6)/CA70)</f>
        <v>0</v>
      </c>
      <c r="CB68" s="368">
        <f>IF(BZ68=0,0,(CA68-BZ68)/BZ68*100)</f>
        <v>0</v>
      </c>
      <c r="CC68" s="67">
        <f>IF(CC70=0,0,(CC69*CC70+CC71*CC72*6)/CC70)</f>
        <v>0</v>
      </c>
      <c r="CD68" s="67">
        <f>IF(CD70=0,0,(CD69*CD70+CD71*CD72*6)/CD70)</f>
        <v>0</v>
      </c>
      <c r="CE68" s="368">
        <f>IF(CC68=0,0,(CD68-CC68)/CC68*100)</f>
        <v>0</v>
      </c>
      <c r="CF68" s="67">
        <f>IF(CF70=0,0,(CF69*CF70+CF71*CF72*6)/CF70)</f>
        <v>0</v>
      </c>
      <c r="CG68" s="67">
        <f>IF(CG70=0,0,(CG69*CG70+CG71*CG72*6)/CG70)</f>
        <v>0</v>
      </c>
      <c r="CH68" s="368">
        <f>IF(CF68=0,0,(CG68-CF68)/CF68*100)</f>
        <v>0</v>
      </c>
      <c r="CI68" s="67">
        <f>IF(CI70=0,0,(CI69*CI70+CI71*CI72*6)/CI70)</f>
        <v>0</v>
      </c>
      <c r="CJ68" s="67">
        <f>IF(CJ70=0,0,(CJ69*CJ70+CJ71*CJ72*6)/CJ70)</f>
        <v>0</v>
      </c>
      <c r="CK68" s="368">
        <f>IF(CI68=0,0,(CJ68-CI68)/CI68*100)</f>
        <v>0</v>
      </c>
      <c r="CL68" s="67">
        <f>IF(CL70=0,0,(CL69*CL70+CL71*CL72*6)/CL70)</f>
        <v>0</v>
      </c>
      <c r="CM68" s="67">
        <f>IF(CM70=0,0,(CM69*CM70+CM71*CM72*6)/CM70)</f>
        <v>0</v>
      </c>
      <c r="CN68" s="368">
        <f>IF(CL68=0,0,(CM68-CL68)/CL68*100)</f>
        <v>0</v>
      </c>
      <c r="CO68" s="67">
        <f>IF(CO70=0,0,(CO69*CO70+CO71*CO72*6)/CO70)</f>
        <v>0</v>
      </c>
      <c r="CP68" s="67">
        <f>IF(CP70=0,0,(CP69*CP70+CP71*CP72*6)/CP70)</f>
        <v>0</v>
      </c>
      <c r="CQ68" s="368">
        <f>IF(CO68=0,0,(CP68-CO68)/CO68*100)</f>
        <v>0</v>
      </c>
      <c r="CR68" s="67">
        <f>IF(CR70=0,0,(CR69*CR70+CR71*CR72*6)/CR70)</f>
        <v>0</v>
      </c>
      <c r="CS68" s="67">
        <f>IF(CS70=0,0,(CS69*CS70+CS71*CS72*6)/CS70)</f>
        <v>0</v>
      </c>
      <c r="CT68" s="368">
        <f>IF(CR68=0,0,(CS68-CR68)/CR68*100)</f>
        <v>0</v>
      </c>
      <c r="CU68" s="67">
        <f>IF(CU70=0,0,(CU69*CU70+CU71*CU72*6)/CU70)</f>
        <v>0</v>
      </c>
      <c r="CV68" s="67">
        <f>IF(CV70=0,0,(CV69*CV70+CV71*CV72*6)/CV70)</f>
        <v>0</v>
      </c>
      <c r="CW68" s="368">
        <f>IF(CU68=0,0,(CV68-CU68)/CU68*100)</f>
        <v>0</v>
      </c>
      <c r="CX68" s="67">
        <f>IF(CX70=0,0,(CX69*CX70+CX71*CX72*6)/CX70)</f>
        <v>0</v>
      </c>
      <c r="CY68" s="67">
        <f>IF(CY70=0,0,(CY69*CY70+CY71*CY72*6)/CY70)</f>
        <v>0</v>
      </c>
      <c r="CZ68" s="368">
        <f>IF(CX68=0,0,(CY68-CX68)/CX68*100)</f>
        <v>0</v>
      </c>
      <c r="DA68" s="67">
        <f>IF(DA70=0,0,(DA69*DA70+DA71*DA72*6)/DA70)</f>
        <v>0</v>
      </c>
      <c r="DB68" s="67">
        <f>IF(DB70=0,0,(DB69*DB70+DB71*DB72*6)/DB70)</f>
        <v>0</v>
      </c>
      <c r="DC68" s="368">
        <f>IF(DA68=0,0,(DB68-DA68)/DA68*100)</f>
        <v>0</v>
      </c>
      <c r="DD68" s="67">
        <f>IF(DD70=0,0,(DD69*DD70+DD71*DD72*6)/DD70)</f>
        <v>0</v>
      </c>
      <c r="DE68" s="67">
        <f>IF(DE70=0,0,(DE69*DE70+DE71*DE72*6)/DE70)</f>
        <v>0</v>
      </c>
      <c r="DF68" s="368">
        <f>IF(DD68=0,0,(DE68-DD68)/DD68*100)</f>
        <v>0</v>
      </c>
      <c r="DG68" s="67">
        <f>IF(DG70=0,0,(DG69*DG70+DG71*DG72*6)/DG70)</f>
        <v>0</v>
      </c>
      <c r="DH68" s="67">
        <f>IF(DH70=0,0,(DH69*DH70+DH71*DH72*6)/DH70)</f>
        <v>0</v>
      </c>
      <c r="DI68" s="368">
        <f>IF(DG68=0,0,(DH68-DG68)/DG68*100)</f>
        <v>0</v>
      </c>
      <c r="DJ68" s="67">
        <f>IF(DJ70=0,0,(DJ69*DJ70+DJ71*DJ72*6)/DJ70)</f>
        <v>0</v>
      </c>
      <c r="DK68" s="67">
        <f>IF(DK70=0,0,(DK69*DK70+DK71*DK72*6)/DK70)</f>
        <v>0</v>
      </c>
      <c r="DL68" s="368">
        <f>IF(DJ68=0,0,(DK68-DJ68)/DJ68*100)</f>
        <v>0</v>
      </c>
      <c r="DM68" s="67">
        <f>IF(DM70=0,0,(DM69*DM70+DM71*DM72*6)/DM70)</f>
        <v>0</v>
      </c>
      <c r="DN68" s="67">
        <f>IF(DN70=0,0,(DN69*DN70+DN71*DN72*6)/DN70)</f>
        <v>0</v>
      </c>
      <c r="DO68" s="368">
        <f>IF(DM68=0,0,(DN68-DM68)/DM68*100)</f>
        <v>0</v>
      </c>
      <c r="DP68" s="67">
        <f>IF(DP70=0,0,(DP69*DP70+DP71*DP72*6)/DP70)</f>
        <v>0</v>
      </c>
      <c r="DQ68" s="67">
        <f>IF(DQ70=0,0,(DQ69*DQ70+DQ71*DQ72*6)/DQ70)</f>
        <v>0</v>
      </c>
      <c r="DR68" s="368">
        <f>IF(DP68=0,0,(DQ68-DP68)/DP68*100)</f>
        <v>0</v>
      </c>
      <c r="DS68" s="67">
        <f>IF(DS70=0,0,(DS69*DS70+DS71*DS72*6)/DS70)</f>
        <v>0</v>
      </c>
      <c r="DT68" s="67">
        <f>IF(DT70=0,0,(DT69*DT70+DT71*DT72*6)/DT70)</f>
        <v>0</v>
      </c>
      <c r="DU68" s="368">
        <f>IF(DS68=0,0,(DT68-DS68)/DS68*100)</f>
        <v>0</v>
      </c>
      <c r="DV68" s="67">
        <f>IF(DV70=0,0,(DV69*DV70+DV71*DV72*6)/DV70)</f>
        <v>0</v>
      </c>
      <c r="DW68" s="67">
        <f>IF(DW70=0,0,(DW69*DW70+DW71*DW72*6)/DW70)</f>
        <v>0</v>
      </c>
      <c r="DX68" s="368">
        <f>IF(DV68=0,0,(DW68-DV68)/DV68*100)</f>
        <v>0</v>
      </c>
      <c r="DY68" s="67">
        <f>IF(DY70=0,0,(DY69*DY70+DY71*DY72*6)/DY70)</f>
        <v>0</v>
      </c>
      <c r="DZ68" s="67">
        <f>IF(DZ70=0,0,(DZ69*DZ70+DZ71*DZ72*6)/DZ70)</f>
        <v>0</v>
      </c>
      <c r="EA68" s="368">
        <f>IF(DY68=0,0,(DZ68-DY68)/DY68*100)</f>
        <v>0</v>
      </c>
      <c r="EB68" s="67">
        <f>IF(EB70=0,0,(EB69*EB70+EB71*EB72*6)/EB70)</f>
        <v>0</v>
      </c>
      <c r="EC68" s="67">
        <f>IF(EC70=0,0,(EC69*EC70+EC71*EC72*6)/EC70)</f>
        <v>0</v>
      </c>
      <c r="ED68" s="368">
        <f>IF(EB68=0,0,(EC68-EB68)/EB68*100)</f>
        <v>0</v>
      </c>
      <c r="EE68" s="67">
        <f>IF(EE70=0,0,(EE69*EE70+EE71*EE72*6)/EE70)</f>
        <v>0</v>
      </c>
      <c r="EF68" s="67">
        <f>IF(EF70=0,0,(EF69*EF70+EF71*EF72*6)/EF70)</f>
        <v>0</v>
      </c>
      <c r="EG68" s="368">
        <f>IF(EE68=0,0,(EF68-EE68)/EE68*100)</f>
        <v>0</v>
      </c>
      <c r="EH68" s="67">
        <f>IF(EH70=0,0,(EH69*EH70+EH71*EH72*6)/EH70)</f>
        <v>0</v>
      </c>
      <c r="EI68" s="67">
        <f>IF(EI70=0,0,(EI69*EI70+EI71*EI72*6)/EI70)</f>
        <v>0</v>
      </c>
      <c r="EJ68" s="368">
        <f>IF(EH68=0,0,(EI68-EH68)/EH68*100)</f>
        <v>0</v>
      </c>
      <c r="EK68" s="67">
        <f>IF(EK70=0,0,(EK69*EK70+EK71*EK72*6)/EK70)</f>
        <v>0</v>
      </c>
      <c r="EL68" s="67">
        <f>IF(EL70=0,0,(EL69*EL70+EL71*EL72*6)/EL70)</f>
        <v>0</v>
      </c>
      <c r="EM68" s="368">
        <f>IF(EK68=0,0,(EL68-EK68)/EK68*100)</f>
        <v>0</v>
      </c>
      <c r="EN68" s="67">
        <f>IF(EN70=0,0,(EN69*EN70+EN71*EN72*6)/EN70)</f>
        <v>0</v>
      </c>
      <c r="EO68" s="67">
        <f>IF(EO70=0,0,(EO69*EO70+EO71*EO72*6)/EO70)</f>
        <v>0</v>
      </c>
      <c r="EP68" s="368">
        <f>IF(EN68=0,0,(EO68-EN68)/EN68*100)</f>
        <v>0</v>
      </c>
      <c r="EQ68" s="67">
        <f>IF(EQ70=0,0,(EQ69*EQ70+EQ71*EQ72*6)/EQ70)</f>
        <v>0</v>
      </c>
      <c r="ER68" s="67">
        <f>IF(ER70=0,0,(ER69*ER70+ER71*ER72*6)/ER70)</f>
        <v>0</v>
      </c>
      <c r="ES68" s="368">
        <f>IF(EQ68=0,0,(ER68-EQ68)/EQ68*100)</f>
        <v>0</v>
      </c>
      <c r="ET68" s="67">
        <f>IF(ET70=0,0,(ET69*ET70+ET71*ET72*6)/ET70)</f>
        <v>0</v>
      </c>
      <c r="EU68" s="67">
        <f>IF(EU70=0,0,(EU69*EU70+EU71*EU72*6)/EU70)</f>
        <v>0</v>
      </c>
      <c r="EV68" s="368">
        <f>IF(ET68=0,0,(EU68-ET68)/ET68*100)</f>
        <v>0</v>
      </c>
      <c r="EW68" s="67">
        <f>IF(EW70=0,0,(EW69*EW70+EW71*EW72*6)/EW70)</f>
        <v>0</v>
      </c>
      <c r="EX68" s="67">
        <f>IF(EX70=0,0,(EX69*EX70+EX71*EX72*6)/EX70)</f>
        <v>0</v>
      </c>
      <c r="EY68" s="368">
        <f>IF(EW68=0,0,(EX68-EW68)/EW68*100)</f>
        <v>0</v>
      </c>
      <c r="EZ68" s="67">
        <f>IF(EZ70=0,0,(EZ69*EZ70+EZ71*EZ72*6)/EZ70)</f>
        <v>0</v>
      </c>
      <c r="FA68" s="67">
        <f>IF(FA70=0,0,(FA69*FA70+FA71*FA72*6)/FA70)</f>
        <v>0</v>
      </c>
      <c r="FB68" s="368">
        <f>IF(EZ68=0,0,(FA68-EZ68)/EZ68*100)</f>
        <v>0</v>
      </c>
      <c r="FC68" s="67">
        <f>IF(FC70=0,0,(FC69*FC70+FC71*FC72*6)/FC70)</f>
        <v>0</v>
      </c>
      <c r="FD68" s="67">
        <f>IF(FD70=0,0,(FD69*FD70+FD71*FD72*6)/FD70)</f>
        <v>0</v>
      </c>
      <c r="FE68" s="368">
        <f>IF(FC68=0,0,(FD68-FC68)/FC68*100)</f>
        <v>0</v>
      </c>
      <c r="FF68" s="67">
        <f>IF(FF70=0,0,(FF69*FF70+FF71*FF72*6)/FF70)</f>
        <v>0</v>
      </c>
      <c r="FG68" s="67">
        <f>IF(FG70=0,0,(FG69*FG70+FG71*FG72*6)/FG70)</f>
        <v>0</v>
      </c>
      <c r="FH68" s="368">
        <f>IF(FF68=0,0,(FG68-FF68)/FF68*100)</f>
        <v>0</v>
      </c>
      <c r="FI68" s="67">
        <f>IF(FI70=0,0,(FI69*FI70+FI71*FI72*6)/FI70)</f>
        <v>0</v>
      </c>
      <c r="FJ68" s="67">
        <f>IF(FJ70=0,0,(FJ69*FJ70+FJ71*FJ72*6)/FJ70)</f>
        <v>0</v>
      </c>
      <c r="FK68" s="368">
        <f>IF(FI68=0,0,(FJ68-FI68)/FI68*100)</f>
        <v>0</v>
      </c>
      <c r="FL68" s="67">
        <f>IF(FL70=0,0,(FL69*FL70+FL71*FL72*6)/FL70)</f>
        <v>0</v>
      </c>
      <c r="FM68" s="67">
        <f>IF(FM70=0,0,(FM69*FM70+FM71*FM72*6)/FM70)</f>
        <v>0</v>
      </c>
      <c r="FN68" s="368">
        <f>IF(FL68=0,0,(FM68-FL68)/FL68*100)</f>
        <v>0</v>
      </c>
      <c r="FO68" s="67">
        <f>IF(FO70=0,0,(FO69*FO70+FO71*FO72*6)/FO70)</f>
        <v>0</v>
      </c>
      <c r="FP68" s="67">
        <f>IF(FP70=0,0,(FP69*FP70+FP71*FP72*6)/FP70)</f>
        <v>0</v>
      </c>
      <c r="FQ68" s="368">
        <f>IF(FO68=0,0,(FP68-FO68)/FO68*100)</f>
        <v>0</v>
      </c>
      <c r="FR68" s="67">
        <f>IF(FR70=0,0,(FR69*FR70+FR71*FR72*6)/FR70)</f>
        <v>0</v>
      </c>
      <c r="FS68" s="67">
        <f>IF(FS70=0,0,(FS69*FS70+FS71*FS72*6)/FS70)</f>
        <v>0</v>
      </c>
      <c r="FT68" s="368">
        <f>IF(FR68=0,0,(FS68-FR68)/FR68*100)</f>
        <v>0</v>
      </c>
      <c r="FU68" s="67">
        <f>IF(FU70=0,0,(FU69*FU70+FU71*FU72*6)/FU70)</f>
        <v>0</v>
      </c>
      <c r="FV68" s="67">
        <f>IF(FV70=0,0,(FV69*FV70+FV71*FV72*6)/FV70)</f>
        <v>0</v>
      </c>
      <c r="FW68" s="368">
        <f>IF(FU68=0,0,(FV68-FU68)/FU68*100)</f>
        <v>0</v>
      </c>
      <c r="FZ68" s="1184" t="s">
        <v>2174</v>
      </c>
      <c r="GA68" s="1184"/>
      <c r="GB68" s="1184"/>
      <c r="GC68" s="1184"/>
      <c r="GD68" s="1184"/>
    </row>
    <row customHeight="1" ht="15.405000000000001" hidden="1">
      <c r="B69" s="964" cm="1" t="str">
        <f t="array" ref="B69:B69">B68</f>
        <v>false</v>
      </c>
      <c r="C69" s="1325" t="s">
        <v>2168</v>
      </c>
      <c r="D69" s="1294" t="s">
        <v>2169</v>
      </c>
      <c r="E69" s="797">
        <v>15.8</v>
      </c>
      <c r="F69" s="922" cm="1" t="str">
        <f t="array" ref="F69:F69">OFFSET(G69,-1,-1)</f>
        <v>0</v>
      </c>
      <c r="H69" s="213" t="s">
        <v>2143</v>
      </c>
      <c r="I69" s="213" t="s">
        <v>2117</v>
      </c>
      <c r="J69" s="1315"/>
      <c r="K69" s="1315" cm="1" t="str">
        <f t="array" ref="K69:K69">OFFSET(J69,-1,1)</f>
        <v>0</v>
      </c>
      <c r="L69" s="1315"/>
      <c r="M69" s="1315" t="s">
        <v>1735</v>
      </c>
      <c r="N69" s="1315" t="s">
        <v>2113</v>
      </c>
      <c r="O69" s="1316" t="s">
        <v>2114</v>
      </c>
      <c r="P69" s="1315" t="s">
        <v>2144</v>
      </c>
      <c r="Q69" s="1315"/>
      <c r="T69" s="808" cm="1" t="str">
        <f t="array" ref="T69:T69">T68</f>
        <v>false</v>
      </c>
      <c r="AB69" s="276" t="s">
        <v>2145</v>
      </c>
      <c r="AC69" s="172" t="s">
        <v>900</v>
      </c>
      <c r="AD69" s="67"/>
      <c r="AE69" s="67"/>
      <c r="AF69" s="368">
        <f>IF(AD69=0,0,(AE69-AD69)/AD69*100)</f>
        <v>0</v>
      </c>
      <c r="AG69" s="67"/>
      <c r="AH69" s="67"/>
      <c r="AI69" s="368">
        <f>IF(AG69=0,0,(AH69-AG69)/AG69*100)</f>
        <v>0</v>
      </c>
      <c r="AJ69" s="67"/>
      <c r="AK69" s="67"/>
      <c r="AL69" s="368">
        <f>IF(AJ69=0,0,(AK69-AJ69)/AJ69*100)</f>
        <v>0</v>
      </c>
      <c r="AM69" s="67"/>
      <c r="AN69" s="67"/>
      <c r="AO69" s="368">
        <f>IF(AM69=0,0,(AN69-AM69)/AM69*100)</f>
        <v>0</v>
      </c>
      <c r="AP69" s="67"/>
      <c r="AQ69" s="67"/>
      <c r="AR69" s="368">
        <f>IF(AP69=0,0,(AQ69-AP69)/AP69*100)</f>
        <v>0</v>
      </c>
      <c r="AS69" s="67"/>
      <c r="AT69" s="67"/>
      <c r="AU69" s="368">
        <f>IF(AS69=0,0,(AT69-AS69)/AS69*100)</f>
        <v>0</v>
      </c>
      <c r="AV69" s="67"/>
      <c r="AW69" s="67"/>
      <c r="AX69" s="368">
        <f>IF(AV69=0,0,(AW69-AV69)/AV69*100)</f>
        <v>0</v>
      </c>
      <c r="AY69" s="67"/>
      <c r="AZ69" s="67"/>
      <c r="BA69" s="368">
        <f>IF(AY69=0,0,(AZ69-AY69)/AY69*100)</f>
        <v>0</v>
      </c>
      <c r="BB69" s="67"/>
      <c r="BC69" s="67"/>
      <c r="BD69" s="368">
        <f>IF(BB69=0,0,(BC69-BB69)/BB69*100)</f>
        <v>0</v>
      </c>
      <c r="BE69" s="67"/>
      <c r="BF69" s="67"/>
      <c r="BG69" s="368">
        <f>IF(BE69=0,0,(BF69-BE69)/BE69*100)</f>
        <v>0</v>
      </c>
      <c r="BH69" s="67"/>
      <c r="BI69" s="67"/>
      <c r="BJ69" s="368">
        <f>IF(BH69=0,0,(BI69-BH69)/BH69*100)</f>
        <v>0</v>
      </c>
      <c r="BK69" s="67"/>
      <c r="BL69" s="67"/>
      <c r="BM69" s="368">
        <f>IF(BK69=0,0,(BL69-BK69)/BK69*100)</f>
        <v>0</v>
      </c>
      <c r="BN69" s="67"/>
      <c r="BO69" s="67"/>
      <c r="BP69" s="368">
        <f>IF(BN69=0,0,(BO69-BN69)/BN69*100)</f>
        <v>0</v>
      </c>
      <c r="BQ69" s="67"/>
      <c r="BR69" s="67"/>
      <c r="BS69" s="368">
        <f>IF(BQ69=0,0,(BR69-BQ69)/BQ69*100)</f>
        <v>0</v>
      </c>
      <c r="BT69" s="67"/>
      <c r="BU69" s="67"/>
      <c r="BV69" s="368">
        <f>IF(BT69=0,0,(BU69-BT69)/BT69*100)</f>
        <v>0</v>
      </c>
      <c r="BW69" s="67"/>
      <c r="BX69" s="67"/>
      <c r="BY69" s="368">
        <f>IF(BW69=0,0,(BX69-BW69)/BW69*100)</f>
        <v>0</v>
      </c>
      <c r="BZ69" s="67"/>
      <c r="CA69" s="67"/>
      <c r="CB69" s="368">
        <f>IF(BZ69=0,0,(CA69-BZ69)/BZ69*100)</f>
        <v>0</v>
      </c>
      <c r="CC69" s="67"/>
      <c r="CD69" s="67"/>
      <c r="CE69" s="368">
        <f>IF(CC69=0,0,(CD69-CC69)/CC69*100)</f>
        <v>0</v>
      </c>
      <c r="CF69" s="67"/>
      <c r="CG69" s="67"/>
      <c r="CH69" s="368">
        <f>IF(CF69=0,0,(CG69-CF69)/CF69*100)</f>
        <v>0</v>
      </c>
      <c r="CI69" s="67"/>
      <c r="CJ69" s="67"/>
      <c r="CK69" s="368">
        <f>IF(CI69=0,0,(CJ69-CI69)/CI69*100)</f>
        <v>0</v>
      </c>
      <c r="CL69" s="67"/>
      <c r="CM69" s="67"/>
      <c r="CN69" s="368">
        <f>IF(CL69=0,0,(CM69-CL69)/CL69*100)</f>
        <v>0</v>
      </c>
      <c r="CO69" s="67"/>
      <c r="CP69" s="67"/>
      <c r="CQ69" s="368">
        <f>IF(CO69=0,0,(CP69-CO69)/CO69*100)</f>
        <v>0</v>
      </c>
      <c r="CR69" s="67"/>
      <c r="CS69" s="67"/>
      <c r="CT69" s="368">
        <f>IF(CR69=0,0,(CS69-CR69)/CR69*100)</f>
        <v>0</v>
      </c>
      <c r="CU69" s="67"/>
      <c r="CV69" s="67"/>
      <c r="CW69" s="368">
        <f>IF(CU69=0,0,(CV69-CU69)/CU69*100)</f>
        <v>0</v>
      </c>
      <c r="CX69" s="67"/>
      <c r="CY69" s="67"/>
      <c r="CZ69" s="368">
        <f>IF(CX69=0,0,(CY69-CX69)/CX69*100)</f>
        <v>0</v>
      </c>
      <c r="DA69" s="67"/>
      <c r="DB69" s="67"/>
      <c r="DC69" s="368">
        <f>IF(DA69=0,0,(DB69-DA69)/DA69*100)</f>
        <v>0</v>
      </c>
      <c r="DD69" s="67"/>
      <c r="DE69" s="67"/>
      <c r="DF69" s="368">
        <f>IF(DD69=0,0,(DE69-DD69)/DD69*100)</f>
        <v>0</v>
      </c>
      <c r="DG69" s="67"/>
      <c r="DH69" s="67"/>
      <c r="DI69" s="368">
        <f>IF(DG69=0,0,(DH69-DG69)/DG69*100)</f>
        <v>0</v>
      </c>
      <c r="DJ69" s="67"/>
      <c r="DK69" s="67"/>
      <c r="DL69" s="368">
        <f>IF(DJ69=0,0,(DK69-DJ69)/DJ69*100)</f>
        <v>0</v>
      </c>
      <c r="DM69" s="67"/>
      <c r="DN69" s="67"/>
      <c r="DO69" s="368">
        <f>IF(DM69=0,0,(DN69-DM69)/DM69*100)</f>
        <v>0</v>
      </c>
      <c r="DP69" s="67"/>
      <c r="DQ69" s="67"/>
      <c r="DR69" s="368">
        <f>IF(DP69=0,0,(DQ69-DP69)/DP69*100)</f>
        <v>0</v>
      </c>
      <c r="DS69" s="67"/>
      <c r="DT69" s="67"/>
      <c r="DU69" s="368">
        <f>IF(DS69=0,0,(DT69-DS69)/DS69*100)</f>
        <v>0</v>
      </c>
      <c r="DV69" s="67"/>
      <c r="DW69" s="67"/>
      <c r="DX69" s="368">
        <f>IF(DV69=0,0,(DW69-DV69)/DV69*100)</f>
        <v>0</v>
      </c>
      <c r="DY69" s="67"/>
      <c r="DZ69" s="67"/>
      <c r="EA69" s="368">
        <f>IF(DY69=0,0,(DZ69-DY69)/DY69*100)</f>
        <v>0</v>
      </c>
      <c r="EB69" s="67"/>
      <c r="EC69" s="67"/>
      <c r="ED69" s="368">
        <f>IF(EB69=0,0,(EC69-EB69)/EB69*100)</f>
        <v>0</v>
      </c>
      <c r="EE69" s="67"/>
      <c r="EF69" s="67"/>
      <c r="EG69" s="368">
        <f>IF(EE69=0,0,(EF69-EE69)/EE69*100)</f>
        <v>0</v>
      </c>
      <c r="EH69" s="67"/>
      <c r="EI69" s="67"/>
      <c r="EJ69" s="368">
        <f>IF(EH69=0,0,(EI69-EH69)/EH69*100)</f>
        <v>0</v>
      </c>
      <c r="EK69" s="67"/>
      <c r="EL69" s="67"/>
      <c r="EM69" s="368">
        <f>IF(EK69=0,0,(EL69-EK69)/EK69*100)</f>
        <v>0</v>
      </c>
      <c r="EN69" s="67"/>
      <c r="EO69" s="67"/>
      <c r="EP69" s="368">
        <f>IF(EN69=0,0,(EO69-EN69)/EN69*100)</f>
        <v>0</v>
      </c>
      <c r="EQ69" s="67"/>
      <c r="ER69" s="67"/>
      <c r="ES69" s="368">
        <f>IF(EQ69=0,0,(ER69-EQ69)/EQ69*100)</f>
        <v>0</v>
      </c>
      <c r="ET69" s="67"/>
      <c r="EU69" s="67"/>
      <c r="EV69" s="368">
        <f>IF(ET69=0,0,(EU69-ET69)/ET69*100)</f>
        <v>0</v>
      </c>
      <c r="EW69" s="67"/>
      <c r="EX69" s="67"/>
      <c r="EY69" s="368">
        <f>IF(EW69=0,0,(EX69-EW69)/EW69*100)</f>
        <v>0</v>
      </c>
      <c r="EZ69" s="67"/>
      <c r="FA69" s="67"/>
      <c r="FB69" s="368">
        <f>IF(EZ69=0,0,(FA69-EZ69)/EZ69*100)</f>
        <v>0</v>
      </c>
      <c r="FC69" s="67"/>
      <c r="FD69" s="67"/>
      <c r="FE69" s="368">
        <f>IF(FC69=0,0,(FD69-FC69)/FC69*100)</f>
        <v>0</v>
      </c>
      <c r="FF69" s="67"/>
      <c r="FG69" s="67"/>
      <c r="FH69" s="368">
        <f>IF(FF69=0,0,(FG69-FF69)/FF69*100)</f>
        <v>0</v>
      </c>
      <c r="FI69" s="67"/>
      <c r="FJ69" s="67"/>
      <c r="FK69" s="368">
        <f>IF(FI69=0,0,(FJ69-FI69)/FI69*100)</f>
        <v>0</v>
      </c>
      <c r="FL69" s="67"/>
      <c r="FM69" s="67"/>
      <c r="FN69" s="368">
        <f>IF(FL69=0,0,(FM69-FL69)/FL69*100)</f>
        <v>0</v>
      </c>
      <c r="FO69" s="67"/>
      <c r="FP69" s="67"/>
      <c r="FQ69" s="368">
        <f>IF(FO69=0,0,(FP69-FO69)/FO69*100)</f>
        <v>0</v>
      </c>
      <c r="FR69" s="67"/>
      <c r="FS69" s="67"/>
      <c r="FT69" s="368">
        <f>IF(FR69=0,0,(FS69-FR69)/FR69*100)</f>
        <v>0</v>
      </c>
      <c r="FU69" s="67"/>
      <c r="FV69" s="67"/>
      <c r="FW69" s="368">
        <f>IF(FU69=0,0,(FV69-FU69)/FU69*100)</f>
        <v>0</v>
      </c>
      <c r="FZ69" s="1184" t="s">
        <v>2175</v>
      </c>
      <c r="GA69" s="1184"/>
      <c r="GB69" s="1184"/>
      <c r="GC69" s="1184"/>
      <c r="GD69" s="1184"/>
    </row>
    <row customHeight="1" ht="15.405000000000001" hidden="1">
      <c r="B70" s="964" cm="1" t="str">
        <f t="array" ref="B70:B70">B69</f>
        <v>false</v>
      </c>
      <c r="C70" s="1325" t="s">
        <v>1723</v>
      </c>
      <c r="D70" s="1294" t="s">
        <v>1724</v>
      </c>
      <c r="E70" s="797">
        <v>15.8</v>
      </c>
      <c r="F70" s="922" cm="1" t="str">
        <f t="array" ref="F70:F70">OFFSET(G70,-1,-1)</f>
        <v>0</v>
      </c>
      <c r="H70" s="213" t="s">
        <v>2147</v>
      </c>
      <c r="I70" s="213" t="s">
        <v>2117</v>
      </c>
      <c r="J70" s="1315"/>
      <c r="K70" s="1315" cm="1" t="str">
        <f t="array" ref="K70:K70">OFFSET(J70,-1,1)</f>
        <v>0</v>
      </c>
      <c r="L70" s="1315"/>
      <c r="M70" s="1315" t="s">
        <v>1735</v>
      </c>
      <c r="N70" s="1315" t="s">
        <v>2113</v>
      </c>
      <c r="O70" s="1316" t="s">
        <v>2114</v>
      </c>
      <c r="P70" s="1315" t="s">
        <v>2148</v>
      </c>
      <c r="Q70" s="1315"/>
      <c r="T70" s="808" cm="1" t="str">
        <f t="array" ref="T70:T70">T69</f>
        <v>false</v>
      </c>
      <c r="AB70" s="276" t="s">
        <v>2149</v>
      </c>
      <c r="AC70" s="172" t="s">
        <v>599</v>
      </c>
      <c r="AD70" s="148"/>
      <c r="AE70" s="148"/>
      <c r="AF70" s="400">
        <f>IF(AD70=0,0,(AE70-AD70)/AD70*100)</f>
        <v>0</v>
      </c>
      <c r="AG70" s="148"/>
      <c r="AH70" s="148"/>
      <c r="AI70" s="400">
        <f>IF(AG70=0,0,(AH70-AG70)/AG70*100)</f>
        <v>0</v>
      </c>
      <c r="AJ70" s="148"/>
      <c r="AK70" s="148"/>
      <c r="AL70" s="400">
        <f>IF(AJ70=0,0,(AK70-AJ70)/AJ70*100)</f>
        <v>0</v>
      </c>
      <c r="AM70" s="148"/>
      <c r="AN70" s="148"/>
      <c r="AO70" s="400">
        <f>IF(AM70=0,0,(AN70-AM70)/AM70*100)</f>
        <v>0</v>
      </c>
      <c r="AP70" s="148"/>
      <c r="AQ70" s="148"/>
      <c r="AR70" s="400">
        <f>IF(AP70=0,0,(AQ70-AP70)/AP70*100)</f>
        <v>0</v>
      </c>
      <c r="AS70" s="148"/>
      <c r="AT70" s="148"/>
      <c r="AU70" s="400">
        <f>IF(AS70=0,0,(AT70-AS70)/AS70*100)</f>
        <v>0</v>
      </c>
      <c r="AV70" s="148"/>
      <c r="AW70" s="148"/>
      <c r="AX70" s="400">
        <f>IF(AV70=0,0,(AW70-AV70)/AV70*100)</f>
        <v>0</v>
      </c>
      <c r="AY70" s="148"/>
      <c r="AZ70" s="148"/>
      <c r="BA70" s="400">
        <f>IF(AY70=0,0,(AZ70-AY70)/AY70*100)</f>
        <v>0</v>
      </c>
      <c r="BB70" s="148"/>
      <c r="BC70" s="148"/>
      <c r="BD70" s="400">
        <f>IF(BB70=0,0,(BC70-BB70)/BB70*100)</f>
        <v>0</v>
      </c>
      <c r="BE70" s="148"/>
      <c r="BF70" s="148"/>
      <c r="BG70" s="400">
        <f>IF(BE70=0,0,(BF70-BE70)/BE70*100)</f>
        <v>0</v>
      </c>
      <c r="BH70" s="148"/>
      <c r="BI70" s="148"/>
      <c r="BJ70" s="400">
        <f>IF(BH70=0,0,(BI70-BH70)/BH70*100)</f>
        <v>0</v>
      </c>
      <c r="BK70" s="148"/>
      <c r="BL70" s="148"/>
      <c r="BM70" s="400">
        <f>IF(BK70=0,0,(BL70-BK70)/BK70*100)</f>
        <v>0</v>
      </c>
      <c r="BN70" s="148"/>
      <c r="BO70" s="148"/>
      <c r="BP70" s="400">
        <f>IF(BN70=0,0,(BO70-BN70)/BN70*100)</f>
        <v>0</v>
      </c>
      <c r="BQ70" s="148"/>
      <c r="BR70" s="148"/>
      <c r="BS70" s="400">
        <f>IF(BQ70=0,0,(BR70-BQ70)/BQ70*100)</f>
        <v>0</v>
      </c>
      <c r="BT70" s="148"/>
      <c r="BU70" s="148"/>
      <c r="BV70" s="400">
        <f>IF(BT70=0,0,(BU70-BT70)/BT70*100)</f>
        <v>0</v>
      </c>
      <c r="BW70" s="148"/>
      <c r="BX70" s="148"/>
      <c r="BY70" s="400">
        <f>IF(BW70=0,0,(BX70-BW70)/BW70*100)</f>
        <v>0</v>
      </c>
      <c r="BZ70" s="148"/>
      <c r="CA70" s="148"/>
      <c r="CB70" s="400">
        <f>IF(BZ70=0,0,(CA70-BZ70)/BZ70*100)</f>
        <v>0</v>
      </c>
      <c r="CC70" s="148"/>
      <c r="CD70" s="148"/>
      <c r="CE70" s="400">
        <f>IF(CC70=0,0,(CD70-CC70)/CC70*100)</f>
        <v>0</v>
      </c>
      <c r="CF70" s="148"/>
      <c r="CG70" s="148"/>
      <c r="CH70" s="400">
        <f>IF(CF70=0,0,(CG70-CF70)/CF70*100)</f>
        <v>0</v>
      </c>
      <c r="CI70" s="148"/>
      <c r="CJ70" s="148"/>
      <c r="CK70" s="400">
        <f>IF(CI70=0,0,(CJ70-CI70)/CI70*100)</f>
        <v>0</v>
      </c>
      <c r="CL70" s="148"/>
      <c r="CM70" s="148"/>
      <c r="CN70" s="400">
        <f>IF(CL70=0,0,(CM70-CL70)/CL70*100)</f>
        <v>0</v>
      </c>
      <c r="CO70" s="148"/>
      <c r="CP70" s="148"/>
      <c r="CQ70" s="400">
        <f>IF(CO70=0,0,(CP70-CO70)/CO70*100)</f>
        <v>0</v>
      </c>
      <c r="CR70" s="148"/>
      <c r="CS70" s="148"/>
      <c r="CT70" s="400">
        <f>IF(CR70=0,0,(CS70-CR70)/CR70*100)</f>
        <v>0</v>
      </c>
      <c r="CU70" s="148"/>
      <c r="CV70" s="148"/>
      <c r="CW70" s="400">
        <f>IF(CU70=0,0,(CV70-CU70)/CU70*100)</f>
        <v>0</v>
      </c>
      <c r="CX70" s="148"/>
      <c r="CY70" s="148"/>
      <c r="CZ70" s="400">
        <f>IF(CX70=0,0,(CY70-CX70)/CX70*100)</f>
        <v>0</v>
      </c>
      <c r="DA70" s="148"/>
      <c r="DB70" s="148"/>
      <c r="DC70" s="400">
        <f>IF(DA70=0,0,(DB70-DA70)/DA70*100)</f>
        <v>0</v>
      </c>
      <c r="DD70" s="148"/>
      <c r="DE70" s="148"/>
      <c r="DF70" s="400">
        <f>IF(DD70=0,0,(DE70-DD70)/DD70*100)</f>
        <v>0</v>
      </c>
      <c r="DG70" s="148"/>
      <c r="DH70" s="148"/>
      <c r="DI70" s="400">
        <f>IF(DG70=0,0,(DH70-DG70)/DG70*100)</f>
        <v>0</v>
      </c>
      <c r="DJ70" s="148"/>
      <c r="DK70" s="148"/>
      <c r="DL70" s="400">
        <f>IF(DJ70=0,0,(DK70-DJ70)/DJ70*100)</f>
        <v>0</v>
      </c>
      <c r="DM70" s="148"/>
      <c r="DN70" s="148"/>
      <c r="DO70" s="400">
        <f>IF(DM70=0,0,(DN70-DM70)/DM70*100)</f>
        <v>0</v>
      </c>
      <c r="DP70" s="148"/>
      <c r="DQ70" s="148"/>
      <c r="DR70" s="400">
        <f>IF(DP70=0,0,(DQ70-DP70)/DP70*100)</f>
        <v>0</v>
      </c>
      <c r="DS70" s="148"/>
      <c r="DT70" s="148"/>
      <c r="DU70" s="400">
        <f>IF(DS70=0,0,(DT70-DS70)/DS70*100)</f>
        <v>0</v>
      </c>
      <c r="DV70" s="148"/>
      <c r="DW70" s="148"/>
      <c r="DX70" s="400">
        <f>IF(DV70=0,0,(DW70-DV70)/DV70*100)</f>
        <v>0</v>
      </c>
      <c r="DY70" s="148"/>
      <c r="DZ70" s="148"/>
      <c r="EA70" s="400">
        <f>IF(DY70=0,0,(DZ70-DY70)/DY70*100)</f>
        <v>0</v>
      </c>
      <c r="EB70" s="148"/>
      <c r="EC70" s="148"/>
      <c r="ED70" s="400">
        <f>IF(EB70=0,0,(EC70-EB70)/EB70*100)</f>
        <v>0</v>
      </c>
      <c r="EE70" s="148"/>
      <c r="EF70" s="148"/>
      <c r="EG70" s="400">
        <f>IF(EE70=0,0,(EF70-EE70)/EE70*100)</f>
        <v>0</v>
      </c>
      <c r="EH70" s="148"/>
      <c r="EI70" s="148"/>
      <c r="EJ70" s="400">
        <f>IF(EH70=0,0,(EI70-EH70)/EH70*100)</f>
        <v>0</v>
      </c>
      <c r="EK70" s="148"/>
      <c r="EL70" s="148"/>
      <c r="EM70" s="400">
        <f>IF(EK70=0,0,(EL70-EK70)/EK70*100)</f>
        <v>0</v>
      </c>
      <c r="EN70" s="148"/>
      <c r="EO70" s="148"/>
      <c r="EP70" s="400">
        <f>IF(EN70=0,0,(EO70-EN70)/EN70*100)</f>
        <v>0</v>
      </c>
      <c r="EQ70" s="148"/>
      <c r="ER70" s="148"/>
      <c r="ES70" s="400">
        <f>IF(EQ70=0,0,(ER70-EQ70)/EQ70*100)</f>
        <v>0</v>
      </c>
      <c r="ET70" s="148"/>
      <c r="EU70" s="148"/>
      <c r="EV70" s="400">
        <f>IF(ET70=0,0,(EU70-ET70)/ET70*100)</f>
        <v>0</v>
      </c>
      <c r="EW70" s="148"/>
      <c r="EX70" s="148"/>
      <c r="EY70" s="400">
        <f>IF(EW70=0,0,(EX70-EW70)/EW70*100)</f>
        <v>0</v>
      </c>
      <c r="EZ70" s="148"/>
      <c r="FA70" s="148"/>
      <c r="FB70" s="400">
        <f>IF(EZ70=0,0,(FA70-EZ70)/EZ70*100)</f>
        <v>0</v>
      </c>
      <c r="FC70" s="148"/>
      <c r="FD70" s="148"/>
      <c r="FE70" s="400">
        <f>IF(FC70=0,0,(FD70-FC70)/FC70*100)</f>
        <v>0</v>
      </c>
      <c r="FF70" s="148"/>
      <c r="FG70" s="148"/>
      <c r="FH70" s="400">
        <f>IF(FF70=0,0,(FG70-FF70)/FF70*100)</f>
        <v>0</v>
      </c>
      <c r="FI70" s="148"/>
      <c r="FJ70" s="148"/>
      <c r="FK70" s="400">
        <f>IF(FI70=0,0,(FJ70-FI70)/FI70*100)</f>
        <v>0</v>
      </c>
      <c r="FL70" s="148"/>
      <c r="FM70" s="148"/>
      <c r="FN70" s="400">
        <f>IF(FL70=0,0,(FM70-FL70)/FL70*100)</f>
        <v>0</v>
      </c>
      <c r="FO70" s="148"/>
      <c r="FP70" s="148"/>
      <c r="FQ70" s="400">
        <f>IF(FO70=0,0,(FP70-FO70)/FO70*100)</f>
        <v>0</v>
      </c>
      <c r="FR70" s="148"/>
      <c r="FS70" s="148"/>
      <c r="FT70" s="400">
        <f>IF(FR70=0,0,(FS70-FR70)/FR70*100)</f>
        <v>0</v>
      </c>
      <c r="FU70" s="148"/>
      <c r="FV70" s="148"/>
      <c r="FW70" s="400">
        <f>IF(FU70=0,0,(FV70-FU70)/FU70*100)</f>
        <v>0</v>
      </c>
      <c r="FZ70" s="1184" t="s">
        <v>2176</v>
      </c>
      <c r="GA70" s="1184"/>
      <c r="GB70" s="1184"/>
      <c r="GC70" s="1184"/>
      <c r="GD70" s="1184"/>
    </row>
    <row customHeight="1" ht="30.712500000000002" hidden="1">
      <c r="B71" s="964" cm="1" t="str">
        <f t="array" ref="B71:B71">B70</f>
        <v>false</v>
      </c>
      <c r="C71" s="1325" t="s">
        <v>1777</v>
      </c>
      <c r="D71" s="1294" t="s">
        <v>1778</v>
      </c>
      <c r="E71" s="797">
        <v>31.5</v>
      </c>
      <c r="F71" s="922" cm="1" t="str">
        <f t="array" ref="F71:F71">OFFSET(G71,-1,-1)</f>
        <v>0</v>
      </c>
      <c r="H71" s="213" t="s">
        <v>2151</v>
      </c>
      <c r="I71" s="213" t="s">
        <v>2117</v>
      </c>
      <c r="J71" s="1315"/>
      <c r="K71" s="1315" cm="1" t="str">
        <f t="array" ref="K71:K71">OFFSET(J71,-1,1)</f>
        <v>0</v>
      </c>
      <c r="L71" s="1315"/>
      <c r="M71" s="1315" t="s">
        <v>1735</v>
      </c>
      <c r="N71" s="1315" t="s">
        <v>2113</v>
      </c>
      <c r="O71" s="1316" t="s">
        <v>2114</v>
      </c>
      <c r="P71" s="1315" t="s">
        <v>2152</v>
      </c>
      <c r="Q71" s="1315"/>
      <c r="T71" s="808" cm="1" t="str">
        <f t="array" ref="T71:T71">T70</f>
        <v>false</v>
      </c>
      <c r="AB71" s="276" t="s">
        <v>2153</v>
      </c>
      <c r="AC71" s="520" t="s">
        <v>1781</v>
      </c>
      <c r="AD71" s="67"/>
      <c r="AE71" s="67"/>
      <c r="AF71" s="368">
        <f>IF(AD71=0,0,(AE71-AD71)/AD71*100)</f>
        <v>0</v>
      </c>
      <c r="AG71" s="67"/>
      <c r="AH71" s="67"/>
      <c r="AI71" s="368">
        <f>IF(AG71=0,0,(AH71-AG71)/AG71*100)</f>
        <v>0</v>
      </c>
      <c r="AJ71" s="67"/>
      <c r="AK71" s="67"/>
      <c r="AL71" s="368">
        <f>IF(AJ71=0,0,(AK71-AJ71)/AJ71*100)</f>
        <v>0</v>
      </c>
      <c r="AM71" s="67"/>
      <c r="AN71" s="67"/>
      <c r="AO71" s="368">
        <f>IF(AM71=0,0,(AN71-AM71)/AM71*100)</f>
        <v>0</v>
      </c>
      <c r="AP71" s="67"/>
      <c r="AQ71" s="67"/>
      <c r="AR71" s="368">
        <f>IF(AP71=0,0,(AQ71-AP71)/AP71*100)</f>
        <v>0</v>
      </c>
      <c r="AS71" s="67"/>
      <c r="AT71" s="67"/>
      <c r="AU71" s="368">
        <f>IF(AS71=0,0,(AT71-AS71)/AS71*100)</f>
        <v>0</v>
      </c>
      <c r="AV71" s="67"/>
      <c r="AW71" s="67"/>
      <c r="AX71" s="368">
        <f>IF(AV71=0,0,(AW71-AV71)/AV71*100)</f>
        <v>0</v>
      </c>
      <c r="AY71" s="67"/>
      <c r="AZ71" s="67"/>
      <c r="BA71" s="368">
        <f>IF(AY71=0,0,(AZ71-AY71)/AY71*100)</f>
        <v>0</v>
      </c>
      <c r="BB71" s="67"/>
      <c r="BC71" s="67"/>
      <c r="BD71" s="368">
        <f>IF(BB71=0,0,(BC71-BB71)/BB71*100)</f>
        <v>0</v>
      </c>
      <c r="BE71" s="67"/>
      <c r="BF71" s="67"/>
      <c r="BG71" s="368">
        <f>IF(BE71=0,0,(BF71-BE71)/BE71*100)</f>
        <v>0</v>
      </c>
      <c r="BH71" s="67"/>
      <c r="BI71" s="67"/>
      <c r="BJ71" s="368">
        <f>IF(BH71=0,0,(BI71-BH71)/BH71*100)</f>
        <v>0</v>
      </c>
      <c r="BK71" s="67"/>
      <c r="BL71" s="67"/>
      <c r="BM71" s="368">
        <f>IF(BK71=0,0,(BL71-BK71)/BK71*100)</f>
        <v>0</v>
      </c>
      <c r="BN71" s="67"/>
      <c r="BO71" s="67"/>
      <c r="BP71" s="368">
        <f>IF(BN71=0,0,(BO71-BN71)/BN71*100)</f>
        <v>0</v>
      </c>
      <c r="BQ71" s="67"/>
      <c r="BR71" s="67"/>
      <c r="BS71" s="368">
        <f>IF(BQ71=0,0,(BR71-BQ71)/BQ71*100)</f>
        <v>0</v>
      </c>
      <c r="BT71" s="67"/>
      <c r="BU71" s="67"/>
      <c r="BV71" s="368">
        <f>IF(BT71=0,0,(BU71-BT71)/BT71*100)</f>
        <v>0</v>
      </c>
      <c r="BW71" s="67"/>
      <c r="BX71" s="67"/>
      <c r="BY71" s="368">
        <f>IF(BW71=0,0,(BX71-BW71)/BW71*100)</f>
        <v>0</v>
      </c>
      <c r="BZ71" s="67"/>
      <c r="CA71" s="67"/>
      <c r="CB71" s="368">
        <f>IF(BZ71=0,0,(CA71-BZ71)/BZ71*100)</f>
        <v>0</v>
      </c>
      <c r="CC71" s="67"/>
      <c r="CD71" s="67"/>
      <c r="CE71" s="368">
        <f>IF(CC71=0,0,(CD71-CC71)/CC71*100)</f>
        <v>0</v>
      </c>
      <c r="CF71" s="67"/>
      <c r="CG71" s="67"/>
      <c r="CH71" s="368">
        <f>IF(CF71=0,0,(CG71-CF71)/CF71*100)</f>
        <v>0</v>
      </c>
      <c r="CI71" s="67"/>
      <c r="CJ71" s="67"/>
      <c r="CK71" s="368">
        <f>IF(CI71=0,0,(CJ71-CI71)/CI71*100)</f>
        <v>0</v>
      </c>
      <c r="CL71" s="67"/>
      <c r="CM71" s="67"/>
      <c r="CN71" s="368">
        <f>IF(CL71=0,0,(CM71-CL71)/CL71*100)</f>
        <v>0</v>
      </c>
      <c r="CO71" s="67"/>
      <c r="CP71" s="67"/>
      <c r="CQ71" s="368">
        <f>IF(CO71=0,0,(CP71-CO71)/CO71*100)</f>
        <v>0</v>
      </c>
      <c r="CR71" s="67"/>
      <c r="CS71" s="67"/>
      <c r="CT71" s="368">
        <f>IF(CR71=0,0,(CS71-CR71)/CR71*100)</f>
        <v>0</v>
      </c>
      <c r="CU71" s="67"/>
      <c r="CV71" s="67"/>
      <c r="CW71" s="368">
        <f>IF(CU71=0,0,(CV71-CU71)/CU71*100)</f>
        <v>0</v>
      </c>
      <c r="CX71" s="67"/>
      <c r="CY71" s="67"/>
      <c r="CZ71" s="368">
        <f>IF(CX71=0,0,(CY71-CX71)/CX71*100)</f>
        <v>0</v>
      </c>
      <c r="DA71" s="67"/>
      <c r="DB71" s="67"/>
      <c r="DC71" s="368">
        <f>IF(DA71=0,0,(DB71-DA71)/DA71*100)</f>
        <v>0</v>
      </c>
      <c r="DD71" s="67"/>
      <c r="DE71" s="67"/>
      <c r="DF71" s="368">
        <f>IF(DD71=0,0,(DE71-DD71)/DD71*100)</f>
        <v>0</v>
      </c>
      <c r="DG71" s="67"/>
      <c r="DH71" s="67"/>
      <c r="DI71" s="368">
        <f>IF(DG71=0,0,(DH71-DG71)/DG71*100)</f>
        <v>0</v>
      </c>
      <c r="DJ71" s="67"/>
      <c r="DK71" s="67"/>
      <c r="DL71" s="368">
        <f>IF(DJ71=0,0,(DK71-DJ71)/DJ71*100)</f>
        <v>0</v>
      </c>
      <c r="DM71" s="67"/>
      <c r="DN71" s="67"/>
      <c r="DO71" s="368">
        <f>IF(DM71=0,0,(DN71-DM71)/DM71*100)</f>
        <v>0</v>
      </c>
      <c r="DP71" s="67"/>
      <c r="DQ71" s="67"/>
      <c r="DR71" s="368">
        <f>IF(DP71=0,0,(DQ71-DP71)/DP71*100)</f>
        <v>0</v>
      </c>
      <c r="DS71" s="67"/>
      <c r="DT71" s="67"/>
      <c r="DU71" s="368">
        <f>IF(DS71=0,0,(DT71-DS71)/DS71*100)</f>
        <v>0</v>
      </c>
      <c r="DV71" s="67"/>
      <c r="DW71" s="67"/>
      <c r="DX71" s="368">
        <f>IF(DV71=0,0,(DW71-DV71)/DV71*100)</f>
        <v>0</v>
      </c>
      <c r="DY71" s="67"/>
      <c r="DZ71" s="67"/>
      <c r="EA71" s="368">
        <f>IF(DY71=0,0,(DZ71-DY71)/DY71*100)</f>
        <v>0</v>
      </c>
      <c r="EB71" s="67"/>
      <c r="EC71" s="67"/>
      <c r="ED71" s="368">
        <f>IF(EB71=0,0,(EC71-EB71)/EB71*100)</f>
        <v>0</v>
      </c>
      <c r="EE71" s="67"/>
      <c r="EF71" s="67"/>
      <c r="EG71" s="368">
        <f>IF(EE71=0,0,(EF71-EE71)/EE71*100)</f>
        <v>0</v>
      </c>
      <c r="EH71" s="67"/>
      <c r="EI71" s="67"/>
      <c r="EJ71" s="368">
        <f>IF(EH71=0,0,(EI71-EH71)/EH71*100)</f>
        <v>0</v>
      </c>
      <c r="EK71" s="67"/>
      <c r="EL71" s="67"/>
      <c r="EM71" s="368">
        <f>IF(EK71=0,0,(EL71-EK71)/EK71*100)</f>
        <v>0</v>
      </c>
      <c r="EN71" s="67"/>
      <c r="EO71" s="67"/>
      <c r="EP71" s="368">
        <f>IF(EN71=0,0,(EO71-EN71)/EN71*100)</f>
        <v>0</v>
      </c>
      <c r="EQ71" s="67"/>
      <c r="ER71" s="67"/>
      <c r="ES71" s="368">
        <f>IF(EQ71=0,0,(ER71-EQ71)/EQ71*100)</f>
        <v>0</v>
      </c>
      <c r="ET71" s="67"/>
      <c r="EU71" s="67"/>
      <c r="EV71" s="368">
        <f>IF(ET71=0,0,(EU71-ET71)/ET71*100)</f>
        <v>0</v>
      </c>
      <c r="EW71" s="67"/>
      <c r="EX71" s="67"/>
      <c r="EY71" s="368">
        <f>IF(EW71=0,0,(EX71-EW71)/EW71*100)</f>
        <v>0</v>
      </c>
      <c r="EZ71" s="67"/>
      <c r="FA71" s="67"/>
      <c r="FB71" s="368">
        <f>IF(EZ71=0,0,(FA71-EZ71)/EZ71*100)</f>
        <v>0</v>
      </c>
      <c r="FC71" s="67"/>
      <c r="FD71" s="67"/>
      <c r="FE71" s="368">
        <f>IF(FC71=0,0,(FD71-FC71)/FC71*100)</f>
        <v>0</v>
      </c>
      <c r="FF71" s="67"/>
      <c r="FG71" s="67"/>
      <c r="FH71" s="368">
        <f>IF(FF71=0,0,(FG71-FF71)/FF71*100)</f>
        <v>0</v>
      </c>
      <c r="FI71" s="67"/>
      <c r="FJ71" s="67"/>
      <c r="FK71" s="368">
        <f>IF(FI71=0,0,(FJ71-FI71)/FI71*100)</f>
        <v>0</v>
      </c>
      <c r="FL71" s="67"/>
      <c r="FM71" s="67"/>
      <c r="FN71" s="368">
        <f>IF(FL71=0,0,(FM71-FL71)/FL71*100)</f>
        <v>0</v>
      </c>
      <c r="FO71" s="67"/>
      <c r="FP71" s="67"/>
      <c r="FQ71" s="368">
        <f>IF(FO71=0,0,(FP71-FO71)/FO71*100)</f>
        <v>0</v>
      </c>
      <c r="FR71" s="67"/>
      <c r="FS71" s="67"/>
      <c r="FT71" s="368">
        <f>IF(FR71=0,0,(FS71-FR71)/FR71*100)</f>
        <v>0</v>
      </c>
      <c r="FU71" s="67"/>
      <c r="FV71" s="67"/>
      <c r="FW71" s="368">
        <f>IF(FU71=0,0,(FV71-FU71)/FU71*100)</f>
        <v>0</v>
      </c>
      <c r="FZ71" s="1184" t="s">
        <v>2177</v>
      </c>
      <c r="GA71" s="1184"/>
      <c r="GB71" s="1184"/>
      <c r="GC71" s="1184"/>
      <c r="GD71" s="1184"/>
    </row>
    <row customHeight="1" ht="15.405000000000001" hidden="1">
      <c r="B72" s="964" cm="1" t="str">
        <f t="array" ref="B72:B72">B71</f>
        <v>false</v>
      </c>
      <c r="C72" s="1325" t="s">
        <v>1749</v>
      </c>
      <c r="D72" s="1294" t="s">
        <v>1750</v>
      </c>
      <c r="E72" s="797">
        <v>15.8</v>
      </c>
      <c r="F72" s="922" cm="1" t="str">
        <f t="array" ref="F72:F72">OFFSET(G72,-1,-1)</f>
        <v>0</v>
      </c>
      <c r="H72" s="213" t="s">
        <v>2155</v>
      </c>
      <c r="I72" s="213" t="s">
        <v>2117</v>
      </c>
      <c r="J72" s="1315"/>
      <c r="K72" s="1315" cm="1" t="str">
        <f t="array" ref="K72:K72">OFFSET(J72,-1,1)</f>
        <v>0</v>
      </c>
      <c r="L72" s="1315"/>
      <c r="M72" s="1315" t="s">
        <v>1735</v>
      </c>
      <c r="N72" s="1315" t="s">
        <v>2113</v>
      </c>
      <c r="O72" s="1316" t="s">
        <v>2114</v>
      </c>
      <c r="P72" s="1315" t="s">
        <v>2156</v>
      </c>
      <c r="Q72" s="1315"/>
      <c r="T72" s="808" cm="1" t="str">
        <f t="array" ref="T72:T72">T71</f>
        <v>false</v>
      </c>
      <c r="AB72" s="276" t="s">
        <v>2157</v>
      </c>
      <c r="AC72" s="667" t="s">
        <v>695</v>
      </c>
      <c r="AD72" s="67"/>
      <c r="AE72" s="67"/>
      <c r="AF72" s="368">
        <f>IF(AD72=0,0,(AE72-AD72)/AD72*100)</f>
        <v>0</v>
      </c>
      <c r="AG72" s="67"/>
      <c r="AH72" s="67"/>
      <c r="AI72" s="368">
        <f>IF(AG72=0,0,(AH72-AG72)/AG72*100)</f>
        <v>0</v>
      </c>
      <c r="AJ72" s="67"/>
      <c r="AK72" s="67"/>
      <c r="AL72" s="368">
        <f>IF(AJ72=0,0,(AK72-AJ72)/AJ72*100)</f>
        <v>0</v>
      </c>
      <c r="AM72" s="67"/>
      <c r="AN72" s="67"/>
      <c r="AO72" s="368">
        <f>IF(AM72=0,0,(AN72-AM72)/AM72*100)</f>
        <v>0</v>
      </c>
      <c r="AP72" s="67"/>
      <c r="AQ72" s="67"/>
      <c r="AR72" s="368">
        <f>IF(AP72=0,0,(AQ72-AP72)/AP72*100)</f>
        <v>0</v>
      </c>
      <c r="AS72" s="67"/>
      <c r="AT72" s="67"/>
      <c r="AU72" s="368">
        <f>IF(AS72=0,0,(AT72-AS72)/AS72*100)</f>
        <v>0</v>
      </c>
      <c r="AV72" s="67"/>
      <c r="AW72" s="67"/>
      <c r="AX72" s="368">
        <f>IF(AV72=0,0,(AW72-AV72)/AV72*100)</f>
        <v>0</v>
      </c>
      <c r="AY72" s="67"/>
      <c r="AZ72" s="67"/>
      <c r="BA72" s="368">
        <f>IF(AY72=0,0,(AZ72-AY72)/AY72*100)</f>
        <v>0</v>
      </c>
      <c r="BB72" s="67"/>
      <c r="BC72" s="67"/>
      <c r="BD72" s="368">
        <f>IF(BB72=0,0,(BC72-BB72)/BB72*100)</f>
        <v>0</v>
      </c>
      <c r="BE72" s="67"/>
      <c r="BF72" s="67"/>
      <c r="BG72" s="368">
        <f>IF(BE72=0,0,(BF72-BE72)/BE72*100)</f>
        <v>0</v>
      </c>
      <c r="BH72" s="67"/>
      <c r="BI72" s="67"/>
      <c r="BJ72" s="368">
        <f>IF(BH72=0,0,(BI72-BH72)/BH72*100)</f>
        <v>0</v>
      </c>
      <c r="BK72" s="67"/>
      <c r="BL72" s="67"/>
      <c r="BM72" s="368">
        <f>IF(BK72=0,0,(BL72-BK72)/BK72*100)</f>
        <v>0</v>
      </c>
      <c r="BN72" s="67"/>
      <c r="BO72" s="67"/>
      <c r="BP72" s="368">
        <f>IF(BN72=0,0,(BO72-BN72)/BN72*100)</f>
        <v>0</v>
      </c>
      <c r="BQ72" s="67"/>
      <c r="BR72" s="67"/>
      <c r="BS72" s="368">
        <f>IF(BQ72=0,0,(BR72-BQ72)/BQ72*100)</f>
        <v>0</v>
      </c>
      <c r="BT72" s="67"/>
      <c r="BU72" s="67"/>
      <c r="BV72" s="368">
        <f>IF(BT72=0,0,(BU72-BT72)/BT72*100)</f>
        <v>0</v>
      </c>
      <c r="BW72" s="67"/>
      <c r="BX72" s="67"/>
      <c r="BY72" s="368">
        <f>IF(BW72=0,0,(BX72-BW72)/BW72*100)</f>
        <v>0</v>
      </c>
      <c r="BZ72" s="67"/>
      <c r="CA72" s="67"/>
      <c r="CB72" s="368">
        <f>IF(BZ72=0,0,(CA72-BZ72)/BZ72*100)</f>
        <v>0</v>
      </c>
      <c r="CC72" s="67"/>
      <c r="CD72" s="67"/>
      <c r="CE72" s="368">
        <f>IF(CC72=0,0,(CD72-CC72)/CC72*100)</f>
        <v>0</v>
      </c>
      <c r="CF72" s="67"/>
      <c r="CG72" s="67"/>
      <c r="CH72" s="368">
        <f>IF(CF72=0,0,(CG72-CF72)/CF72*100)</f>
        <v>0</v>
      </c>
      <c r="CI72" s="67"/>
      <c r="CJ72" s="67"/>
      <c r="CK72" s="368">
        <f>IF(CI72=0,0,(CJ72-CI72)/CI72*100)</f>
        <v>0</v>
      </c>
      <c r="CL72" s="67"/>
      <c r="CM72" s="67"/>
      <c r="CN72" s="368">
        <f>IF(CL72=0,0,(CM72-CL72)/CL72*100)</f>
        <v>0</v>
      </c>
      <c r="CO72" s="67"/>
      <c r="CP72" s="67"/>
      <c r="CQ72" s="368">
        <f>IF(CO72=0,0,(CP72-CO72)/CO72*100)</f>
        <v>0</v>
      </c>
      <c r="CR72" s="67"/>
      <c r="CS72" s="67"/>
      <c r="CT72" s="368">
        <f>IF(CR72=0,0,(CS72-CR72)/CR72*100)</f>
        <v>0</v>
      </c>
      <c r="CU72" s="67"/>
      <c r="CV72" s="67"/>
      <c r="CW72" s="368">
        <f>IF(CU72=0,0,(CV72-CU72)/CU72*100)</f>
        <v>0</v>
      </c>
      <c r="CX72" s="67"/>
      <c r="CY72" s="67"/>
      <c r="CZ72" s="368">
        <f>IF(CX72=0,0,(CY72-CX72)/CX72*100)</f>
        <v>0</v>
      </c>
      <c r="DA72" s="67"/>
      <c r="DB72" s="67"/>
      <c r="DC72" s="368">
        <f>IF(DA72=0,0,(DB72-DA72)/DA72*100)</f>
        <v>0</v>
      </c>
      <c r="DD72" s="67"/>
      <c r="DE72" s="67"/>
      <c r="DF72" s="368">
        <f>IF(DD72=0,0,(DE72-DD72)/DD72*100)</f>
        <v>0</v>
      </c>
      <c r="DG72" s="67"/>
      <c r="DH72" s="67"/>
      <c r="DI72" s="368">
        <f>IF(DG72=0,0,(DH72-DG72)/DG72*100)</f>
        <v>0</v>
      </c>
      <c r="DJ72" s="67"/>
      <c r="DK72" s="67"/>
      <c r="DL72" s="368">
        <f>IF(DJ72=0,0,(DK72-DJ72)/DJ72*100)</f>
        <v>0</v>
      </c>
      <c r="DM72" s="67"/>
      <c r="DN72" s="67"/>
      <c r="DO72" s="368">
        <f>IF(DM72=0,0,(DN72-DM72)/DM72*100)</f>
        <v>0</v>
      </c>
      <c r="DP72" s="67"/>
      <c r="DQ72" s="67"/>
      <c r="DR72" s="368">
        <f>IF(DP72=0,0,(DQ72-DP72)/DP72*100)</f>
        <v>0</v>
      </c>
      <c r="DS72" s="67"/>
      <c r="DT72" s="67"/>
      <c r="DU72" s="368">
        <f>IF(DS72=0,0,(DT72-DS72)/DS72*100)</f>
        <v>0</v>
      </c>
      <c r="DV72" s="67"/>
      <c r="DW72" s="67"/>
      <c r="DX72" s="368">
        <f>IF(DV72=0,0,(DW72-DV72)/DV72*100)</f>
        <v>0</v>
      </c>
      <c r="DY72" s="67"/>
      <c r="DZ72" s="67"/>
      <c r="EA72" s="368">
        <f>IF(DY72=0,0,(DZ72-DY72)/DY72*100)</f>
        <v>0</v>
      </c>
      <c r="EB72" s="67"/>
      <c r="EC72" s="67"/>
      <c r="ED72" s="368">
        <f>IF(EB72=0,0,(EC72-EB72)/EB72*100)</f>
        <v>0</v>
      </c>
      <c r="EE72" s="67"/>
      <c r="EF72" s="67"/>
      <c r="EG72" s="368">
        <f>IF(EE72=0,0,(EF72-EE72)/EE72*100)</f>
        <v>0</v>
      </c>
      <c r="EH72" s="67"/>
      <c r="EI72" s="67"/>
      <c r="EJ72" s="368">
        <f>IF(EH72=0,0,(EI72-EH72)/EH72*100)</f>
        <v>0</v>
      </c>
      <c r="EK72" s="67"/>
      <c r="EL72" s="67"/>
      <c r="EM72" s="368">
        <f>IF(EK72=0,0,(EL72-EK72)/EK72*100)</f>
        <v>0</v>
      </c>
      <c r="EN72" s="67"/>
      <c r="EO72" s="67"/>
      <c r="EP72" s="368">
        <f>IF(EN72=0,0,(EO72-EN72)/EN72*100)</f>
        <v>0</v>
      </c>
      <c r="EQ72" s="67"/>
      <c r="ER72" s="67"/>
      <c r="ES72" s="368">
        <f>IF(EQ72=0,0,(ER72-EQ72)/EQ72*100)</f>
        <v>0</v>
      </c>
      <c r="ET72" s="67"/>
      <c r="EU72" s="67"/>
      <c r="EV72" s="368">
        <f>IF(ET72=0,0,(EU72-ET72)/ET72*100)</f>
        <v>0</v>
      </c>
      <c r="EW72" s="67"/>
      <c r="EX72" s="67"/>
      <c r="EY72" s="368">
        <f>IF(EW72=0,0,(EX72-EW72)/EW72*100)</f>
        <v>0</v>
      </c>
      <c r="EZ72" s="67"/>
      <c r="FA72" s="67"/>
      <c r="FB72" s="368">
        <f>IF(EZ72=0,0,(FA72-EZ72)/EZ72*100)</f>
        <v>0</v>
      </c>
      <c r="FC72" s="67"/>
      <c r="FD72" s="67"/>
      <c r="FE72" s="368">
        <f>IF(FC72=0,0,(FD72-FC72)/FC72*100)</f>
        <v>0</v>
      </c>
      <c r="FF72" s="67"/>
      <c r="FG72" s="67"/>
      <c r="FH72" s="368">
        <f>IF(FF72=0,0,(FG72-FF72)/FF72*100)</f>
        <v>0</v>
      </c>
      <c r="FI72" s="67"/>
      <c r="FJ72" s="67"/>
      <c r="FK72" s="368">
        <f>IF(FI72=0,0,(FJ72-FI72)/FI72*100)</f>
        <v>0</v>
      </c>
      <c r="FL72" s="67"/>
      <c r="FM72" s="67"/>
      <c r="FN72" s="368">
        <f>IF(FL72=0,0,(FM72-FL72)/FL72*100)</f>
        <v>0</v>
      </c>
      <c r="FO72" s="67"/>
      <c r="FP72" s="67"/>
      <c r="FQ72" s="368">
        <f>IF(FO72=0,0,(FP72-FO72)/FO72*100)</f>
        <v>0</v>
      </c>
      <c r="FR72" s="67"/>
      <c r="FS72" s="67"/>
      <c r="FT72" s="368">
        <f>IF(FR72=0,0,(FS72-FR72)/FR72*100)</f>
        <v>0</v>
      </c>
      <c r="FU72" s="67"/>
      <c r="FV72" s="67"/>
      <c r="FW72" s="368">
        <f>IF(FU72=0,0,(FV72-FU72)/FU72*100)</f>
        <v>0</v>
      </c>
      <c r="FZ72" s="1184" t="s">
        <v>2178</v>
      </c>
      <c r="GA72" s="1184"/>
      <c r="GB72" s="1184"/>
      <c r="GC72" s="1184"/>
      <c r="GD72" s="1184"/>
    </row>
    <row customHeight="1" ht="15.75" hidden="1">
      <c r="B73" s="964" t="b">
        <v>0</v>
      </c>
      <c r="E73" s="797">
        <v>0</v>
      </c>
      <c r="F73" s="922" cm="1" t="str">
        <f t="array" ref="F73:F73">OFFSET(G73,-1,-1)</f>
        <v>0</v>
      </c>
      <c r="H73" s="213" t="str">
        <f>F73&amp;"pIns2"</f>
        <v>0pIns2</v>
      </c>
      <c r="Q73" s="1299"/>
      <c r="T73" s="808" t="b">
        <v>0</v>
      </c>
      <c r="AB73" s="900" t="s">
        <v>236</v>
      </c>
      <c r="AC73" s="341"/>
      <c r="AD73" s="339"/>
      <c r="AE73" s="339"/>
      <c r="AF73" s="339"/>
      <c r="AG73" s="339"/>
      <c r="AH73" s="339"/>
      <c r="AI73" s="339"/>
      <c r="AJ73" s="339"/>
      <c r="AK73" s="339"/>
      <c r="AL73" s="339"/>
      <c r="AM73" s="339"/>
      <c r="AN73" s="339"/>
      <c r="AO73" s="339"/>
      <c r="AP73" s="339"/>
      <c r="AQ73" s="339"/>
      <c r="AR73" s="339"/>
      <c r="AS73" s="339"/>
      <c r="AT73" s="339"/>
      <c r="AU73" s="339"/>
      <c r="AV73" s="339"/>
      <c r="AW73" s="339"/>
      <c r="AX73" s="339"/>
      <c r="AY73" s="339"/>
      <c r="AZ73" s="339"/>
      <c r="BA73" s="339"/>
      <c r="BB73" s="339"/>
      <c r="BC73" s="339"/>
      <c r="BD73" s="339"/>
      <c r="BE73" s="339"/>
      <c r="BF73" s="339"/>
      <c r="BG73" s="339"/>
      <c r="BH73" s="339"/>
      <c r="BI73" s="339"/>
      <c r="BJ73" s="339"/>
      <c r="BK73" s="339"/>
      <c r="BL73" s="339"/>
      <c r="BM73" s="339"/>
      <c r="BN73" s="339"/>
      <c r="BO73" s="339"/>
      <c r="BP73" s="339"/>
      <c r="BQ73" s="339"/>
      <c r="BR73" s="339"/>
      <c r="BS73" s="339"/>
      <c r="BT73" s="339"/>
      <c r="BU73" s="339"/>
      <c r="BV73" s="339"/>
      <c r="BW73" s="339"/>
      <c r="BX73" s="339"/>
      <c r="BY73" s="339"/>
      <c r="BZ73" s="339"/>
      <c r="CA73" s="339"/>
      <c r="CB73" s="339"/>
      <c r="CC73" s="339"/>
      <c r="CD73" s="339"/>
      <c r="CE73" s="339"/>
      <c r="CF73" s="339"/>
      <c r="CG73" s="339"/>
      <c r="CH73" s="339"/>
      <c r="CI73" s="339"/>
      <c r="CJ73" s="339"/>
      <c r="CK73" s="339"/>
      <c r="CL73" s="339"/>
      <c r="CM73" s="339"/>
      <c r="CN73" s="339"/>
      <c r="CO73" s="339"/>
      <c r="CP73" s="339"/>
      <c r="CQ73" s="339"/>
      <c r="CR73" s="339"/>
      <c r="CS73" s="339"/>
      <c r="CT73" s="339"/>
      <c r="CU73" s="339"/>
      <c r="CV73" s="339"/>
      <c r="CW73" s="339"/>
      <c r="CX73" s="339"/>
      <c r="CY73" s="339"/>
      <c r="CZ73" s="339"/>
      <c r="DA73" s="339"/>
      <c r="DB73" s="339"/>
      <c r="DC73" s="339"/>
      <c r="DD73" s="339"/>
      <c r="DE73" s="339"/>
      <c r="DF73" s="339"/>
      <c r="DG73" s="339"/>
      <c r="DH73" s="339"/>
      <c r="DI73" s="339"/>
      <c r="DJ73" s="339"/>
      <c r="DK73" s="339"/>
      <c r="DL73" s="339"/>
      <c r="DM73" s="339"/>
      <c r="DN73" s="339"/>
      <c r="DO73" s="339"/>
      <c r="DP73" s="339"/>
      <c r="DQ73" s="339"/>
      <c r="DR73" s="339"/>
      <c r="DS73" s="339"/>
      <c r="DT73" s="339"/>
      <c r="DU73" s="339"/>
      <c r="DV73" s="339"/>
      <c r="DW73" s="339"/>
      <c r="DX73" s="339"/>
      <c r="DY73" s="339"/>
      <c r="DZ73" s="339"/>
      <c r="EA73" s="339"/>
      <c r="EB73" s="339"/>
      <c r="EC73" s="339"/>
      <c r="ED73" s="339"/>
      <c r="EE73" s="339"/>
      <c r="EF73" s="339"/>
      <c r="EG73" s="339"/>
      <c r="EH73" s="339"/>
      <c r="EI73" s="339"/>
      <c r="EJ73" s="339"/>
      <c r="EK73" s="339"/>
      <c r="EL73" s="339"/>
      <c r="EM73" s="339"/>
      <c r="EN73" s="339"/>
      <c r="EO73" s="339"/>
      <c r="EP73" s="339"/>
      <c r="EQ73" s="339"/>
      <c r="ER73" s="339"/>
      <c r="ES73" s="339"/>
      <c r="ET73" s="339"/>
      <c r="EU73" s="339"/>
      <c r="EV73" s="339"/>
      <c r="EW73" s="339"/>
      <c r="EX73" s="339"/>
      <c r="EY73" s="339"/>
      <c r="EZ73" s="339"/>
      <c r="FA73" s="339"/>
      <c r="FB73" s="339"/>
      <c r="FC73" s="339"/>
      <c r="FD73" s="339"/>
      <c r="FE73" s="339"/>
      <c r="FF73" s="339"/>
      <c r="FG73" s="339"/>
      <c r="FH73" s="339"/>
      <c r="FI73" s="339"/>
      <c r="FJ73" s="339"/>
      <c r="FK73" s="339"/>
      <c r="FL73" s="339"/>
      <c r="FM73" s="339"/>
      <c r="FN73" s="339"/>
      <c r="FO73" s="339"/>
      <c r="FP73" s="339"/>
      <c r="FQ73" s="339"/>
      <c r="FR73" s="339"/>
      <c r="FS73" s="339"/>
      <c r="FT73" s="339"/>
      <c r="FU73" s="339"/>
      <c r="FV73" s="339"/>
      <c r="FW73" s="340"/>
      <c r="GA73" s="1184"/>
      <c r="GB73" s="1184"/>
      <c r="GC73" s="1184"/>
      <c r="GD73" s="1184"/>
    </row>
    <row s="1632" customFormat="1" customHeight="1" ht="21.75">
      <c r="A74" s="1582"/>
      <c r="B74" s="927"/>
      <c r="C74" s="1325"/>
      <c r="D74" s="1294"/>
      <c r="E74" s="797">
        <v>22.5</v>
      </c>
      <c r="F74" s="922" cm="1" t="str">
        <f t="array" ref="F74:F74">X74</f>
        <v>1</v>
      </c>
      <c r="G74" s="739" cm="1" t="str">
        <f t="array" ref="G74:G74">INDEX('Общие сведения'!$AK$169:$AK$202,MATCH($F74,'Общие сведения'!$Z$169:$Z$202,0))</f>
        <v>одноставочный</v>
      </c>
      <c r="H74" s="500"/>
      <c r="I74" s="500"/>
      <c r="J74" s="1317"/>
      <c r="K74" s="1317"/>
      <c r="L74" s="1317"/>
      <c r="M74" s="1317"/>
      <c r="N74" s="1317"/>
      <c r="O74" s="1317"/>
      <c r="P74" s="1317"/>
      <c r="Q74" s="1299"/>
      <c r="R74" s="213" cm="1" t="str">
        <f t="array" ref="R74:R74">INDEX('Общие сведения'!$AK$169:$AK$202,MATCH($F74,'Общие сведения'!$Z$169:$Z$202,0))</f>
        <v>одноставочный</v>
      </c>
      <c r="S74" s="500"/>
      <c r="T74" s="808">
        <f>X74&gt;0</f>
        <v>1</v>
      </c>
      <c r="U74" s="1582"/>
      <c r="V74" s="175" cm="1" t="str">
        <f t="array" ref="V74:V74">'ИП источники'!$AB$49</f>
        <v>Тариф 1 (Теплоснабжение) - Тариф на тепловую энергию (мощность), поставляемую потребителям (Не определено)</v>
      </c>
      <c r="W74" s="1582"/>
      <c r="X74" s="175" t="s">
        <v>336</v>
      </c>
      <c r="Y74" s="1582"/>
      <c r="Z74" s="1582"/>
      <c r="AA74" s="500"/>
      <c r="AB74" s="1572"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3"/>
      <c r="AD74" s="354" t="str">
        <f>"Тариф "&amp;F74</f>
        <v>Тариф 1</v>
      </c>
      <c r="AE74" s="355"/>
      <c r="AF74" s="355"/>
      <c r="AG74" s="355"/>
      <c r="AH74" s="355"/>
      <c r="AI74" s="355"/>
      <c r="AJ74" s="355"/>
      <c r="AK74" s="355"/>
      <c r="AL74" s="355"/>
      <c r="AM74" s="355"/>
      <c r="AN74" s="355"/>
      <c r="AO74" s="355"/>
      <c r="AP74" s="355"/>
      <c r="AQ74" s="355"/>
      <c r="AR74" s="355"/>
      <c r="AS74" s="355"/>
      <c r="AT74" s="355"/>
      <c r="AU74" s="355"/>
      <c r="AV74" s="355"/>
      <c r="AW74" s="355"/>
      <c r="AX74" s="355"/>
      <c r="AY74" s="355"/>
      <c r="AZ74" s="355"/>
      <c r="BA74" s="355"/>
      <c r="BB74" s="355"/>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5"/>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5"/>
      <c r="DK74" s="355"/>
      <c r="DL74" s="355"/>
      <c r="DM74" s="355"/>
      <c r="DN74" s="355"/>
      <c r="DO74" s="355"/>
      <c r="DP74" s="355"/>
      <c r="DQ74" s="355"/>
      <c r="DR74" s="355"/>
      <c r="DS74" s="355"/>
      <c r="DT74" s="355"/>
      <c r="DU74" s="355"/>
      <c r="DV74" s="355"/>
      <c r="DW74" s="355"/>
      <c r="DX74" s="355"/>
      <c r="DY74" s="355"/>
      <c r="DZ74" s="355"/>
      <c r="EA74" s="355"/>
      <c r="EB74" s="355"/>
      <c r="EC74" s="355"/>
      <c r="ED74" s="355"/>
      <c r="EE74" s="355"/>
      <c r="EF74" s="355"/>
      <c r="EG74" s="355"/>
      <c r="EH74" s="355"/>
      <c r="EI74" s="355"/>
      <c r="EJ74" s="355"/>
      <c r="EK74" s="355"/>
      <c r="EL74" s="355"/>
      <c r="EM74" s="355"/>
      <c r="EN74" s="355"/>
      <c r="EO74" s="355"/>
      <c r="EP74" s="355"/>
      <c r="EQ74" s="355"/>
      <c r="ER74" s="355"/>
      <c r="ES74" s="355"/>
      <c r="ET74" s="355"/>
      <c r="EU74" s="355"/>
      <c r="EV74" s="355"/>
      <c r="EW74" s="355"/>
      <c r="EX74" s="355"/>
      <c r="EY74" s="355"/>
      <c r="EZ74" s="355"/>
      <c r="FA74" s="355"/>
      <c r="FB74" s="355"/>
      <c r="FC74" s="355"/>
      <c r="FD74" s="355"/>
      <c r="FE74" s="355"/>
      <c r="FF74" s="355"/>
      <c r="FG74" s="355"/>
      <c r="FH74" s="355"/>
      <c r="FI74" s="355"/>
      <c r="FJ74" s="355"/>
      <c r="FK74" s="355"/>
      <c r="FL74" s="355"/>
      <c r="FM74" s="355"/>
      <c r="FN74" s="355"/>
      <c r="FO74" s="355"/>
      <c r="FP74" s="355"/>
      <c r="FQ74" s="355"/>
      <c r="FR74" s="355"/>
      <c r="FS74" s="355"/>
      <c r="FT74" s="355"/>
      <c r="FU74" s="355"/>
      <c r="FV74" s="355"/>
      <c r="FW74" s="356"/>
      <c r="FX74" s="500"/>
      <c r="FY74" s="500"/>
      <c r="FZ74" s="1219"/>
      <c r="GA74" s="1184"/>
      <c r="GB74" s="1184"/>
      <c r="GC74" s="1184"/>
      <c r="GD74" s="1184"/>
    </row>
    <row s="1632" customFormat="1" customHeight="1" ht="15" hidden="1">
      <c r="A75" s="1582"/>
      <c r="B75" s="927"/>
      <c r="C75" s="1325"/>
      <c r="D75" s="1294"/>
      <c r="E75" s="797">
        <v>0</v>
      </c>
      <c r="F75" s="922" cm="1" t="str">
        <f t="array" ref="F75:F75">OFFSET(G75,-1,-1)</f>
        <v>1</v>
      </c>
      <c r="G75" s="500"/>
      <c r="H75" s="500"/>
      <c r="I75" s="500"/>
      <c r="J75" s="1317"/>
      <c r="K75" s="1317"/>
      <c r="L75" s="1317"/>
      <c r="M75" s="1317"/>
      <c r="N75" s="1317"/>
      <c r="O75" s="1317"/>
      <c r="P75" s="1317"/>
      <c r="Q75" s="1299"/>
      <c r="R75" s="928"/>
      <c r="S75" s="500"/>
      <c r="T75" s="808" t="b">
        <v>0</v>
      </c>
      <c r="U75" s="1582"/>
      <c r="V75" s="1582"/>
      <c r="W75" s="1582"/>
      <c r="X75" s="1582"/>
      <c r="Y75" s="1582"/>
      <c r="Z75" s="1582"/>
      <c r="AA75" s="500"/>
      <c r="AB75" s="1445"/>
      <c r="AC75" s="1447"/>
      <c r="AD75" s="354"/>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8"/>
      <c r="FX75" s="500"/>
      <c r="FY75" s="500"/>
      <c r="FZ75" s="1219"/>
      <c r="GA75" s="1184"/>
      <c r="GB75" s="1184"/>
      <c r="GC75" s="1184"/>
      <c r="GD75" s="1184"/>
    </row>
    <row s="1632" customFormat="1" customHeight="1" ht="16.5">
      <c r="A76" s="1582"/>
      <c r="B76" s="927"/>
      <c r="C76" s="1325"/>
      <c r="D76" s="1294"/>
      <c r="E76" s="797">
        <v>17.1</v>
      </c>
      <c r="F76" s="922" cm="1" t="str">
        <f t="array" ref="F76:F76">OFFSET(G76,-1,-1)</f>
        <v>1</v>
      </c>
      <c r="G76" s="500"/>
      <c r="H76" s="500"/>
      <c r="I76" s="500"/>
      <c r="J76" s="1317"/>
      <c r="K76" s="1317"/>
      <c r="L76" s="1317"/>
      <c r="M76" s="1317"/>
      <c r="N76" s="1317"/>
      <c r="O76" s="1317"/>
      <c r="P76" s="1317"/>
      <c r="Q76" s="1299"/>
      <c r="R76" s="928"/>
      <c r="S76" s="500"/>
      <c r="T76" s="808" cm="1" t="str">
        <f t="array" ref="T76:T76">T74</f>
        <v>true</v>
      </c>
      <c r="U76" s="1582"/>
      <c r="V76" s="1582"/>
      <c r="W76" s="1582"/>
      <c r="X76" s="1582"/>
      <c r="Y76" s="1582"/>
      <c r="Z76" s="1582"/>
      <c r="AA76" s="500"/>
      <c r="AB76" s="1445" t="s">
        <v>2085</v>
      </c>
      <c r="AC76" s="1447"/>
      <c r="AD76" s="354" cm="1" t="str">
        <f t="array" ref="AD76:AD76">INDEX('Общие сведения'!$AM$169:$AM$202,MATCH($F76,'Общие сведения'!$Z$169:$Z$202,0))</f>
        <v>Тариф на тепловую энергию (мощность), поставляемую потребителям</v>
      </c>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8"/>
      <c r="FX76" s="500"/>
      <c r="FY76" s="500"/>
      <c r="FZ76" s="1219"/>
      <c r="GA76" s="1184"/>
      <c r="GB76" s="1184"/>
      <c r="GC76" s="1184"/>
      <c r="GD76" s="1184"/>
    </row>
    <row s="1632" customFormat="1" customHeight="1" ht="16.5">
      <c r="A77" s="1582"/>
      <c r="B77" s="927"/>
      <c r="C77" s="1325"/>
      <c r="D77" s="1294"/>
      <c r="E77" s="797">
        <v>17.1</v>
      </c>
      <c r="F77" s="922" cm="1" t="str">
        <f t="array" ref="F77:F77">OFFSET(G77,-1,-1)</f>
        <v>1</v>
      </c>
      <c r="G77" s="500"/>
      <c r="H77" s="500"/>
      <c r="I77" s="500"/>
      <c r="J77" s="1317"/>
      <c r="K77" s="1317"/>
      <c r="L77" s="1317"/>
      <c r="M77" s="1317"/>
      <c r="N77" s="1317"/>
      <c r="O77" s="1317"/>
      <c r="P77" s="1317"/>
      <c r="Q77" s="1299"/>
      <c r="R77" s="928"/>
      <c r="S77" s="500"/>
      <c r="T77" s="808" cm="1" t="str">
        <f t="array" ref="T77:T77">T76</f>
        <v>true</v>
      </c>
      <c r="U77" s="1582"/>
      <c r="V77" s="1582"/>
      <c r="W77" s="1582"/>
      <c r="X77" s="1582"/>
      <c r="Y77" s="1582"/>
      <c r="Z77" s="1582"/>
      <c r="AA77" s="500"/>
      <c r="AB77" s="1445" t="s">
        <v>2086</v>
      </c>
      <c r="AC77" s="1447"/>
      <c r="AD77" s="354" cm="1" t="str">
        <f t="array" ref="AD77:AD77">INDEX('Общие сведения'!$AJ$169:$AJ$202,MATCH($F77,'Общие сведения'!$Z$169:$Z$202,0))</f>
        <v>Не определено</v>
      </c>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8"/>
      <c r="FX77" s="500"/>
      <c r="FY77" s="500"/>
      <c r="FZ77" s="1219"/>
      <c r="GA77" s="1184"/>
      <c r="GB77" s="1184"/>
      <c r="GC77" s="1184"/>
      <c r="GD77" s="1184"/>
    </row>
    <row s="1632" customFormat="1" customHeight="1" ht="16.5">
      <c r="A78" s="1582"/>
      <c r="B78" s="964">
        <f>R74="одноставочный"</f>
        <v>1</v>
      </c>
      <c r="C78" s="1325"/>
      <c r="D78" s="1294"/>
      <c r="E78" s="797">
        <v>17.1</v>
      </c>
      <c r="F78" s="922" cm="1" t="str">
        <f t="array" ref="F78:F78">OFFSET(G78,-1,-1)</f>
        <v>1</v>
      </c>
      <c r="G78" s="500"/>
      <c r="H78" s="500"/>
      <c r="I78" s="500"/>
      <c r="J78" s="1317"/>
      <c r="K78" s="1317"/>
      <c r="L78" s="1317"/>
      <c r="M78" s="1317"/>
      <c r="N78" s="1317"/>
      <c r="O78" s="1317"/>
      <c r="P78" s="1317"/>
      <c r="Q78" s="1299"/>
      <c r="R78" s="928"/>
      <c r="S78" s="500"/>
      <c r="T78" s="808">
        <f>AND(F78&gt;0,G74="одноставочный")</f>
        <v>1</v>
      </c>
      <c r="U78" s="1582"/>
      <c r="V78" s="1582"/>
      <c r="W78" s="1582"/>
      <c r="X78" s="1582"/>
      <c r="Y78" s="1582"/>
      <c r="Z78" s="1582"/>
      <c r="AA78" s="500"/>
      <c r="AB78" s="359" t="s">
        <v>2087</v>
      </c>
      <c r="AC78" s="360"/>
      <c r="AD78" s="361"/>
      <c r="AE78" s="361"/>
      <c r="AF78" s="361"/>
      <c r="AG78" s="361"/>
      <c r="AH78" s="361"/>
      <c r="AI78" s="361"/>
      <c r="AJ78" s="361"/>
      <c r="AK78" s="361"/>
      <c r="AL78" s="361"/>
      <c r="AM78" s="361"/>
      <c r="AN78" s="361"/>
      <c r="AO78" s="361"/>
      <c r="AP78" s="361"/>
      <c r="AQ78" s="361"/>
      <c r="AR78" s="361"/>
      <c r="AS78" s="361"/>
      <c r="AT78" s="361"/>
      <c r="AU78" s="361"/>
      <c r="AV78" s="361"/>
      <c r="AW78" s="361"/>
      <c r="AX78" s="361"/>
      <c r="AY78" s="361"/>
      <c r="AZ78" s="361"/>
      <c r="BA78" s="361"/>
      <c r="BB78" s="361"/>
      <c r="BC78" s="361"/>
      <c r="BD78" s="361"/>
      <c r="BE78" s="361"/>
      <c r="BF78" s="361"/>
      <c r="BG78" s="361"/>
      <c r="BH78" s="361"/>
      <c r="BI78" s="361"/>
      <c r="BJ78" s="362"/>
      <c r="BK78" s="361"/>
      <c r="BL78" s="361"/>
      <c r="BM78" s="362"/>
      <c r="BN78" s="361"/>
      <c r="BO78" s="361"/>
      <c r="BP78" s="362"/>
      <c r="BQ78" s="361"/>
      <c r="BR78" s="361"/>
      <c r="BS78" s="362"/>
      <c r="BT78" s="361"/>
      <c r="BU78" s="361"/>
      <c r="BV78" s="362"/>
      <c r="BW78" s="361"/>
      <c r="BX78" s="361"/>
      <c r="BY78" s="362"/>
      <c r="BZ78" s="361"/>
      <c r="CA78" s="361"/>
      <c r="CB78" s="362"/>
      <c r="CC78" s="361"/>
      <c r="CD78" s="361"/>
      <c r="CE78" s="362"/>
      <c r="CF78" s="361"/>
      <c r="CG78" s="361"/>
      <c r="CH78" s="362"/>
      <c r="CI78" s="361"/>
      <c r="CJ78" s="361"/>
      <c r="CK78" s="362"/>
      <c r="CL78" s="361"/>
      <c r="CM78" s="361"/>
      <c r="CN78" s="362"/>
      <c r="CO78" s="361"/>
      <c r="CP78" s="361"/>
      <c r="CQ78" s="362"/>
      <c r="CR78" s="361"/>
      <c r="CS78" s="361"/>
      <c r="CT78" s="362"/>
      <c r="CU78" s="361"/>
      <c r="CV78" s="361"/>
      <c r="CW78" s="362"/>
      <c r="CX78" s="361"/>
      <c r="CY78" s="361"/>
      <c r="CZ78" s="362"/>
      <c r="DA78" s="361"/>
      <c r="DB78" s="361"/>
      <c r="DC78" s="362"/>
      <c r="DD78" s="361"/>
      <c r="DE78" s="361"/>
      <c r="DF78" s="362"/>
      <c r="DG78" s="361"/>
      <c r="DH78" s="361"/>
      <c r="DI78" s="362"/>
      <c r="DJ78" s="361"/>
      <c r="DK78" s="361"/>
      <c r="DL78" s="362"/>
      <c r="DM78" s="361"/>
      <c r="DN78" s="361"/>
      <c r="DO78" s="362"/>
      <c r="DP78" s="361"/>
      <c r="DQ78" s="361"/>
      <c r="DR78" s="362"/>
      <c r="DS78" s="361"/>
      <c r="DT78" s="361"/>
      <c r="DU78" s="362"/>
      <c r="DV78" s="361"/>
      <c r="DW78" s="361"/>
      <c r="DX78" s="362"/>
      <c r="DY78" s="361"/>
      <c r="DZ78" s="361"/>
      <c r="EA78" s="362"/>
      <c r="EB78" s="361"/>
      <c r="EC78" s="361"/>
      <c r="ED78" s="362"/>
      <c r="EE78" s="361"/>
      <c r="EF78" s="361"/>
      <c r="EG78" s="362"/>
      <c r="EH78" s="361"/>
      <c r="EI78" s="361"/>
      <c r="EJ78" s="362"/>
      <c r="EK78" s="361"/>
      <c r="EL78" s="361"/>
      <c r="EM78" s="362"/>
      <c r="EN78" s="361"/>
      <c r="EO78" s="361"/>
      <c r="EP78" s="362"/>
      <c r="EQ78" s="361"/>
      <c r="ER78" s="361"/>
      <c r="ES78" s="362"/>
      <c r="ET78" s="361"/>
      <c r="EU78" s="361"/>
      <c r="EV78" s="362"/>
      <c r="EW78" s="361"/>
      <c r="EX78" s="361"/>
      <c r="EY78" s="362"/>
      <c r="EZ78" s="361"/>
      <c r="FA78" s="361"/>
      <c r="FB78" s="362"/>
      <c r="FC78" s="361"/>
      <c r="FD78" s="361"/>
      <c r="FE78" s="362"/>
      <c r="FF78" s="361"/>
      <c r="FG78" s="361"/>
      <c r="FH78" s="362"/>
      <c r="FI78" s="361"/>
      <c r="FJ78" s="361"/>
      <c r="FK78" s="362"/>
      <c r="FL78" s="361"/>
      <c r="FM78" s="361"/>
      <c r="FN78" s="362"/>
      <c r="FO78" s="361"/>
      <c r="FP78" s="361"/>
      <c r="FQ78" s="362"/>
      <c r="FR78" s="361"/>
      <c r="FS78" s="361"/>
      <c r="FT78" s="362"/>
      <c r="FU78" s="361"/>
      <c r="FV78" s="361"/>
      <c r="FW78" s="362"/>
      <c r="FX78" s="500"/>
      <c r="FY78" s="500"/>
      <c r="FZ78" s="1219"/>
      <c r="GA78" s="1184"/>
      <c r="GB78" s="1184"/>
      <c r="GC78" s="1184"/>
      <c r="GD78" s="1184"/>
    </row>
    <row s="2058" customFormat="1" customHeight="1" ht="16.5">
      <c r="A79" s="363"/>
      <c r="B79" s="964" cm="1" t="str">
        <f t="array" ref="B79:B79">B78</f>
        <v>true</v>
      </c>
      <c r="C79" s="1325" t="s">
        <v>2088</v>
      </c>
      <c r="D79" s="1294" t="s">
        <v>2089</v>
      </c>
      <c r="E79" s="797">
        <v>17.1</v>
      </c>
      <c r="F79" s="922" cm="1" t="str">
        <f t="array" ref="F79:F79">OFFSET(G79,-1,-1)</f>
        <v>1</v>
      </c>
      <c r="G79" s="739" t="s">
        <v>1731</v>
      </c>
      <c r="H79" s="213" t="s">
        <v>501</v>
      </c>
      <c r="I79" s="213" t="s">
        <v>2090</v>
      </c>
      <c r="J79" s="1315" t="s">
        <v>2091</v>
      </c>
      <c r="K79" s="1315" cm="1" t="str">
        <f t="array" ref="K79:K79">INDEX('Общие сведения'!$N$169:$N$202,MATCH($F79,'Общие сведения'!$Z$169:$Z$202,0)+1)</f>
        <v>ТЭ.42.28873685.0002</v>
      </c>
      <c r="L79" s="1315" t="s">
        <v>2092</v>
      </c>
      <c r="M79" s="1315" t="s">
        <v>1726</v>
      </c>
      <c r="N79" s="1315" t="s">
        <v>2093</v>
      </c>
      <c r="O79" s="1316" t="s">
        <v>2094</v>
      </c>
      <c r="P79" s="1315"/>
      <c r="Q79" s="1315"/>
      <c r="R79" s="363"/>
      <c r="S79" s="363"/>
      <c r="T79" s="808" cm="1" t="str">
        <f t="array" ref="T79:T79">T78</f>
        <v>true</v>
      </c>
      <c r="U79" s="363"/>
      <c r="V79" s="363"/>
      <c r="W79" s="363"/>
      <c r="X79" s="363"/>
      <c r="Y79" s="363"/>
      <c r="Z79" s="363"/>
      <c r="AA79" s="363"/>
      <c r="AB79" s="1354" t="s">
        <v>2095</v>
      </c>
      <c r="AC79" s="364" t="s">
        <v>900</v>
      </c>
      <c r="AD79" s="205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5021.63</v>
      </c>
      <c r="AE79" s="205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5021.63</v>
      </c>
      <c r="AF79" s="366">
        <f>IF(AD79=0,0,(AE79-AD79)/AD79*100)</f>
        <v>0</v>
      </c>
      <c r="AG79" s="2059">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4077.31783321006</v>
      </c>
      <c r="AH79" s="2059">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6">
        <f>IF(AG79=0,0,(AH79-AG79)/AG79*100)</f>
        <v>-100</v>
      </c>
      <c r="AJ79" s="2059">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59">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6">
        <f>IF(AJ79=0,0,(AK79-AJ79)/AJ79*100)</f>
        <v>0</v>
      </c>
      <c r="AM79" s="205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5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6">
        <f>IF(AM79=0,0,(AN79-AM79)/AM79*100)</f>
        <v>0</v>
      </c>
      <c r="AP79" s="205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5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6">
        <f>IF(AP79=0,0,(AQ79-AP79)/AP79*100)</f>
        <v>0</v>
      </c>
      <c r="AS79" s="205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5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6">
        <f>IF(AS79=0,0,(AT79-AS79)/AS79*100)</f>
        <v>0</v>
      </c>
      <c r="AV79" s="205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5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6">
        <f>IF(AV79=0,0,(AW79-AV79)/AV79*100)</f>
        <v>0</v>
      </c>
      <c r="AY79" s="205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5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6">
        <f>IF(AY79=0,0,(AZ79-AY79)/AY79*100)</f>
        <v>0</v>
      </c>
      <c r="BB79" s="205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5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6">
        <f>IF(BB79=0,0,(BC79-BB79)/BB79*100)</f>
        <v>0</v>
      </c>
      <c r="BE79" s="205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5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6">
        <f>IF(BE79=0,0,(BF79-BE79)/BE79*100)</f>
        <v>0</v>
      </c>
      <c r="BH79" s="2059"/>
      <c r="BI79" s="2059"/>
      <c r="BJ79" s="366">
        <f>IF(BH79=0,0,(BI79-BH79)/BH79*100)</f>
        <v>0</v>
      </c>
      <c r="BK79" s="2059"/>
      <c r="BL79" s="2059"/>
      <c r="BM79" s="366">
        <f>IF(BK79=0,0,(BL79-BK79)/BK79*100)</f>
        <v>0</v>
      </c>
      <c r="BN79" s="2059"/>
      <c r="BO79" s="2059"/>
      <c r="BP79" s="366">
        <f>IF(BN79=0,0,(BO79-BN79)/BN79*100)</f>
        <v>0</v>
      </c>
      <c r="BQ79" s="2059"/>
      <c r="BR79" s="2059"/>
      <c r="BS79" s="366">
        <f>IF(BQ79=0,0,(BR79-BQ79)/BQ79*100)</f>
        <v>0</v>
      </c>
      <c r="BT79" s="2059"/>
      <c r="BU79" s="2059"/>
      <c r="BV79" s="366">
        <f>IF(BT79=0,0,(BU79-BT79)/BT79*100)</f>
        <v>0</v>
      </c>
      <c r="BW79" s="2059"/>
      <c r="BX79" s="2059"/>
      <c r="BY79" s="366">
        <f>IF(BW79=0,0,(BX79-BW79)/BW79*100)</f>
        <v>0</v>
      </c>
      <c r="BZ79" s="2059"/>
      <c r="CA79" s="2059"/>
      <c r="CB79" s="366">
        <f>IF(BZ79=0,0,(CA79-BZ79)/BZ79*100)</f>
        <v>0</v>
      </c>
      <c r="CC79" s="2059"/>
      <c r="CD79" s="2059"/>
      <c r="CE79" s="366">
        <f>IF(CC79=0,0,(CD79-CC79)/CC79*100)</f>
        <v>0</v>
      </c>
      <c r="CF79" s="2059"/>
      <c r="CG79" s="2059"/>
      <c r="CH79" s="366">
        <f>IF(CF79=0,0,(CG79-CF79)/CF79*100)</f>
        <v>0</v>
      </c>
      <c r="CI79" s="2059"/>
      <c r="CJ79" s="2059"/>
      <c r="CK79" s="366">
        <f>IF(CI79=0,0,(CJ79-CI79)/CI79*100)</f>
        <v>0</v>
      </c>
      <c r="CL79" s="2059"/>
      <c r="CM79" s="2059"/>
      <c r="CN79" s="366">
        <f>IF(CL79=0,0,(CM79-CL79)/CL79*100)</f>
        <v>0</v>
      </c>
      <c r="CO79" s="2059"/>
      <c r="CP79" s="2059"/>
      <c r="CQ79" s="366">
        <f>IF(CO79=0,0,(CP79-CO79)/CO79*100)</f>
        <v>0</v>
      </c>
      <c r="CR79" s="2059"/>
      <c r="CS79" s="2059"/>
      <c r="CT79" s="366">
        <f>IF(CR79=0,0,(CS79-CR79)/CR79*100)</f>
        <v>0</v>
      </c>
      <c r="CU79" s="2059"/>
      <c r="CV79" s="2059"/>
      <c r="CW79" s="366">
        <f>IF(CU79=0,0,(CV79-CU79)/CU79*100)</f>
        <v>0</v>
      </c>
      <c r="CX79" s="2059"/>
      <c r="CY79" s="2059"/>
      <c r="CZ79" s="366">
        <f>IF(CX79=0,0,(CY79-CX79)/CX79*100)</f>
        <v>0</v>
      </c>
      <c r="DA79" s="2059"/>
      <c r="DB79" s="2059"/>
      <c r="DC79" s="366">
        <f>IF(DA79=0,0,(DB79-DA79)/DA79*100)</f>
        <v>0</v>
      </c>
      <c r="DD79" s="2059"/>
      <c r="DE79" s="2059"/>
      <c r="DF79" s="366">
        <f>IF(DD79=0,0,(DE79-DD79)/DD79*100)</f>
        <v>0</v>
      </c>
      <c r="DG79" s="2059"/>
      <c r="DH79" s="2059"/>
      <c r="DI79" s="366">
        <f>IF(DG79=0,0,(DH79-DG79)/DG79*100)</f>
        <v>0</v>
      </c>
      <c r="DJ79" s="2059"/>
      <c r="DK79" s="2059"/>
      <c r="DL79" s="366">
        <f>IF(DJ79=0,0,(DK79-DJ79)/DJ79*100)</f>
        <v>0</v>
      </c>
      <c r="DM79" s="2059"/>
      <c r="DN79" s="2059"/>
      <c r="DO79" s="366">
        <f>IF(DM79=0,0,(DN79-DM79)/DM79*100)</f>
        <v>0</v>
      </c>
      <c r="DP79" s="2059"/>
      <c r="DQ79" s="2059"/>
      <c r="DR79" s="366">
        <f>IF(DP79=0,0,(DQ79-DP79)/DP79*100)</f>
        <v>0</v>
      </c>
      <c r="DS79" s="2059"/>
      <c r="DT79" s="2059"/>
      <c r="DU79" s="366">
        <f>IF(DS79=0,0,(DT79-DS79)/DS79*100)</f>
        <v>0</v>
      </c>
      <c r="DV79" s="2059"/>
      <c r="DW79" s="2059"/>
      <c r="DX79" s="366">
        <f>IF(DV79=0,0,(DW79-DV79)/DV79*100)</f>
        <v>0</v>
      </c>
      <c r="DY79" s="2059"/>
      <c r="DZ79" s="2059"/>
      <c r="EA79" s="366">
        <f>IF(DY79=0,0,(DZ79-DY79)/DY79*100)</f>
        <v>0</v>
      </c>
      <c r="EB79" s="2059"/>
      <c r="EC79" s="2059"/>
      <c r="ED79" s="366">
        <f>IF(EB79=0,0,(EC79-EB79)/EB79*100)</f>
        <v>0</v>
      </c>
      <c r="EE79" s="2059"/>
      <c r="EF79" s="2059"/>
      <c r="EG79" s="366">
        <f>IF(EE79=0,0,(EF79-EE79)/EE79*100)</f>
        <v>0</v>
      </c>
      <c r="EH79" s="2059"/>
      <c r="EI79" s="2059"/>
      <c r="EJ79" s="366">
        <f>IF(EH79=0,0,(EI79-EH79)/EH79*100)</f>
        <v>0</v>
      </c>
      <c r="EK79" s="2059"/>
      <c r="EL79" s="2059"/>
      <c r="EM79" s="366">
        <f>IF(EK79=0,0,(EL79-EK79)/EK79*100)</f>
        <v>0</v>
      </c>
      <c r="EN79" s="2059"/>
      <c r="EO79" s="2059"/>
      <c r="EP79" s="366">
        <f>IF(EN79=0,0,(EO79-EN79)/EN79*100)</f>
        <v>0</v>
      </c>
      <c r="EQ79" s="2059"/>
      <c r="ER79" s="2059"/>
      <c r="ES79" s="366">
        <f>IF(EQ79=0,0,(ER79-EQ79)/EQ79*100)</f>
        <v>0</v>
      </c>
      <c r="ET79" s="2059"/>
      <c r="EU79" s="2059"/>
      <c r="EV79" s="366">
        <f>IF(ET79=0,0,(EU79-ET79)/ET79*100)</f>
        <v>0</v>
      </c>
      <c r="EW79" s="2059"/>
      <c r="EX79" s="2059"/>
      <c r="EY79" s="366">
        <f>IF(EW79=0,0,(EX79-EW79)/EW79*100)</f>
        <v>0</v>
      </c>
      <c r="EZ79" s="2059"/>
      <c r="FA79" s="2059"/>
      <c r="FB79" s="366">
        <f>IF(EZ79=0,0,(FA79-EZ79)/EZ79*100)</f>
        <v>0</v>
      </c>
      <c r="FC79" s="2059"/>
      <c r="FD79" s="2059"/>
      <c r="FE79" s="366">
        <f>IF(FC79=0,0,(FD79-FC79)/FC79*100)</f>
        <v>0</v>
      </c>
      <c r="FF79" s="2059"/>
      <c r="FG79" s="2059"/>
      <c r="FH79" s="366">
        <f>IF(FF79=0,0,(FG79-FF79)/FF79*100)</f>
        <v>0</v>
      </c>
      <c r="FI79" s="2059"/>
      <c r="FJ79" s="2059"/>
      <c r="FK79" s="366">
        <f>IF(FI79=0,0,(FJ79-FI79)/FI79*100)</f>
        <v>0</v>
      </c>
      <c r="FL79" s="2059"/>
      <c r="FM79" s="2059"/>
      <c r="FN79" s="366">
        <f>IF(FL79=0,0,(FM79-FL79)/FL79*100)</f>
        <v>0</v>
      </c>
      <c r="FO79" s="2059"/>
      <c r="FP79" s="2059"/>
      <c r="FQ79" s="366">
        <f>IF(FO79=0,0,(FP79-FO79)/FO79*100)</f>
        <v>0</v>
      </c>
      <c r="FR79" s="2059"/>
      <c r="FS79" s="2059"/>
      <c r="FT79" s="366">
        <f>IF(FR79=0,0,(FS79-FR79)/FR79*100)</f>
        <v>0</v>
      </c>
      <c r="FU79" s="2059"/>
      <c r="FV79" s="2059"/>
      <c r="FW79" s="366">
        <f>IF(FU79=0,0,(FV79-FU79)/FU79*100)</f>
        <v>0</v>
      </c>
      <c r="FX79" s="363"/>
      <c r="FY79" s="363"/>
      <c r="FZ79" s="1184" t="s">
        <v>2096</v>
      </c>
      <c r="GA79" s="1184"/>
      <c r="GB79" s="1184"/>
      <c r="GC79" s="1184"/>
      <c r="GD79" s="1184"/>
    </row>
    <row s="2060" customFormat="1" customHeight="1" ht="16.5">
      <c r="A80" s="363"/>
      <c r="B80" s="964" cm="1" t="str">
        <f t="array" ref="B80:B80">B79</f>
        <v>true</v>
      </c>
      <c r="C80" s="1325" t="s">
        <v>2088</v>
      </c>
      <c r="D80" s="1294" t="s">
        <v>2089</v>
      </c>
      <c r="E80" s="797">
        <v>17.1</v>
      </c>
      <c r="F80" s="922" cm="1" t="str">
        <f t="array" ref="F80:F80">OFFSET(G80,-1,-1)</f>
        <v>1</v>
      </c>
      <c r="G80" s="739" t="s">
        <v>1738</v>
      </c>
      <c r="H80" s="213" t="s">
        <v>501</v>
      </c>
      <c r="I80" s="213" t="s">
        <v>2097</v>
      </c>
      <c r="J80" s="1315" t="s">
        <v>2091</v>
      </c>
      <c r="K80" s="1315" cm="1" t="str">
        <f t="array" ref="K80:K80">OFFSET(J80,-1,1)</f>
        <v>ТЭ.42.28873685.0002</v>
      </c>
      <c r="L80" s="1315" t="s">
        <v>2092</v>
      </c>
      <c r="M80" s="1315" t="s">
        <v>1735</v>
      </c>
      <c r="N80" s="1315" t="s">
        <v>2093</v>
      </c>
      <c r="O80" s="1316" t="s">
        <v>2094</v>
      </c>
      <c r="P80" s="1315"/>
      <c r="Q80" s="1315"/>
      <c r="R80" s="363"/>
      <c r="S80" s="363"/>
      <c r="T80" s="808" cm="1" t="str">
        <f t="array" ref="T80:T80">T79</f>
        <v>true</v>
      </c>
      <c r="U80" s="363"/>
      <c r="V80" s="363"/>
      <c r="W80" s="363"/>
      <c r="X80" s="363"/>
      <c r="Y80" s="363"/>
      <c r="Z80" s="363"/>
      <c r="AA80" s="363"/>
      <c r="AB80" s="1354" t="s">
        <v>2098</v>
      </c>
      <c r="AC80" s="364" t="s">
        <v>900</v>
      </c>
      <c r="AD80" s="205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11902.8343126318</v>
      </c>
      <c r="AE80" s="205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5523.78727023901</v>
      </c>
      <c r="AF80" s="366">
        <f>IF(AD80=0,0,(AE80-AD80)/AD80*100)</f>
        <v>-53.592672760496</v>
      </c>
      <c r="AG80" s="2059">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4077.31783321006</v>
      </c>
      <c r="AH80" s="2059">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6">
        <f>IF(AG80=0,0,(AH80-AG80)/AG80*100)</f>
        <v>-100</v>
      </c>
      <c r="AJ80" s="2059">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59">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6">
        <f>IF(AJ80=0,0,(AK80-AJ80)/AJ80*100)</f>
        <v>0</v>
      </c>
      <c r="AM80" s="205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5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6">
        <f>IF(AM80=0,0,(AN80-AM80)/AM80*100)</f>
        <v>0</v>
      </c>
      <c r="AP80" s="205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5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6">
        <f>IF(AP80=0,0,(AQ80-AP80)/AP80*100)</f>
        <v>0</v>
      </c>
      <c r="AS80" s="205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5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6">
        <f>IF(AS80=0,0,(AT80-AS80)/AS80*100)</f>
        <v>0</v>
      </c>
      <c r="AV80" s="205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5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6">
        <f>IF(AV80=0,0,(AW80-AV80)/AV80*100)</f>
        <v>0</v>
      </c>
      <c r="AY80" s="205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5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6">
        <f>IF(AY80=0,0,(AZ80-AY80)/AY80*100)</f>
        <v>0</v>
      </c>
      <c r="BB80" s="205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5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6">
        <f>IF(BB80=0,0,(BC80-BB80)/BB80*100)</f>
        <v>0</v>
      </c>
      <c r="BE80" s="205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5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6">
        <f>IF(BE80=0,0,(BF80-BE80)/BE80*100)</f>
        <v>0</v>
      </c>
      <c r="BH80" s="2059"/>
      <c r="BI80" s="2059"/>
      <c r="BJ80" s="366">
        <f>IF(BH80=0,0,(BI80-BH80)/BH80*100)</f>
        <v>0</v>
      </c>
      <c r="BK80" s="2059"/>
      <c r="BL80" s="2059"/>
      <c r="BM80" s="366">
        <f>IF(BK80=0,0,(BL80-BK80)/BK80*100)</f>
        <v>0</v>
      </c>
      <c r="BN80" s="2059"/>
      <c r="BO80" s="2059"/>
      <c r="BP80" s="366">
        <f>IF(BN80=0,0,(BO80-BN80)/BN80*100)</f>
        <v>0</v>
      </c>
      <c r="BQ80" s="2059"/>
      <c r="BR80" s="2059"/>
      <c r="BS80" s="366">
        <f>IF(BQ80=0,0,(BR80-BQ80)/BQ80*100)</f>
        <v>0</v>
      </c>
      <c r="BT80" s="2059"/>
      <c r="BU80" s="2059"/>
      <c r="BV80" s="366">
        <f>IF(BT80=0,0,(BU80-BT80)/BT80*100)</f>
        <v>0</v>
      </c>
      <c r="BW80" s="2059"/>
      <c r="BX80" s="2059"/>
      <c r="BY80" s="366">
        <f>IF(BW80=0,0,(BX80-BW80)/BW80*100)</f>
        <v>0</v>
      </c>
      <c r="BZ80" s="2059"/>
      <c r="CA80" s="2059"/>
      <c r="CB80" s="366">
        <f>IF(BZ80=0,0,(CA80-BZ80)/BZ80*100)</f>
        <v>0</v>
      </c>
      <c r="CC80" s="2059"/>
      <c r="CD80" s="2059"/>
      <c r="CE80" s="366">
        <f>IF(CC80=0,0,(CD80-CC80)/CC80*100)</f>
        <v>0</v>
      </c>
      <c r="CF80" s="2059"/>
      <c r="CG80" s="2059"/>
      <c r="CH80" s="366">
        <f>IF(CF80=0,0,(CG80-CF80)/CF80*100)</f>
        <v>0</v>
      </c>
      <c r="CI80" s="2059"/>
      <c r="CJ80" s="2059"/>
      <c r="CK80" s="366">
        <f>IF(CI80=0,0,(CJ80-CI80)/CI80*100)</f>
        <v>0</v>
      </c>
      <c r="CL80" s="2059"/>
      <c r="CM80" s="2059"/>
      <c r="CN80" s="366">
        <f>IF(CL80=0,0,(CM80-CL80)/CL80*100)</f>
        <v>0</v>
      </c>
      <c r="CO80" s="2059"/>
      <c r="CP80" s="2059"/>
      <c r="CQ80" s="366">
        <f>IF(CO80=0,0,(CP80-CO80)/CO80*100)</f>
        <v>0</v>
      </c>
      <c r="CR80" s="2059"/>
      <c r="CS80" s="2059"/>
      <c r="CT80" s="366">
        <f>IF(CR80=0,0,(CS80-CR80)/CR80*100)</f>
        <v>0</v>
      </c>
      <c r="CU80" s="2059"/>
      <c r="CV80" s="2059"/>
      <c r="CW80" s="366">
        <f>IF(CU80=0,0,(CV80-CU80)/CU80*100)</f>
        <v>0</v>
      </c>
      <c r="CX80" s="2059"/>
      <c r="CY80" s="2059"/>
      <c r="CZ80" s="366">
        <f>IF(CX80=0,0,(CY80-CX80)/CX80*100)</f>
        <v>0</v>
      </c>
      <c r="DA80" s="2059"/>
      <c r="DB80" s="2059"/>
      <c r="DC80" s="366">
        <f>IF(DA80=0,0,(DB80-DA80)/DA80*100)</f>
        <v>0</v>
      </c>
      <c r="DD80" s="2059"/>
      <c r="DE80" s="2059"/>
      <c r="DF80" s="366">
        <f>IF(DD80=0,0,(DE80-DD80)/DD80*100)</f>
        <v>0</v>
      </c>
      <c r="DG80" s="2059"/>
      <c r="DH80" s="2059"/>
      <c r="DI80" s="366">
        <f>IF(DG80=0,0,(DH80-DG80)/DG80*100)</f>
        <v>0</v>
      </c>
      <c r="DJ80" s="2059"/>
      <c r="DK80" s="2059"/>
      <c r="DL80" s="366">
        <f>IF(DJ80=0,0,(DK80-DJ80)/DJ80*100)</f>
        <v>0</v>
      </c>
      <c r="DM80" s="2059"/>
      <c r="DN80" s="2059"/>
      <c r="DO80" s="366">
        <f>IF(DM80=0,0,(DN80-DM80)/DM80*100)</f>
        <v>0</v>
      </c>
      <c r="DP80" s="2059"/>
      <c r="DQ80" s="2059"/>
      <c r="DR80" s="366">
        <f>IF(DP80=0,0,(DQ80-DP80)/DP80*100)</f>
        <v>0</v>
      </c>
      <c r="DS80" s="2059"/>
      <c r="DT80" s="2059"/>
      <c r="DU80" s="366">
        <f>IF(DS80=0,0,(DT80-DS80)/DS80*100)</f>
        <v>0</v>
      </c>
      <c r="DV80" s="2059"/>
      <c r="DW80" s="2059"/>
      <c r="DX80" s="366">
        <f>IF(DV80=0,0,(DW80-DV80)/DV80*100)</f>
        <v>0</v>
      </c>
      <c r="DY80" s="2059"/>
      <c r="DZ80" s="2059"/>
      <c r="EA80" s="366">
        <f>IF(DY80=0,0,(DZ80-DY80)/DY80*100)</f>
        <v>0</v>
      </c>
      <c r="EB80" s="2059"/>
      <c r="EC80" s="2059"/>
      <c r="ED80" s="366">
        <f>IF(EB80=0,0,(EC80-EB80)/EB80*100)</f>
        <v>0</v>
      </c>
      <c r="EE80" s="2059"/>
      <c r="EF80" s="2059"/>
      <c r="EG80" s="366">
        <f>IF(EE80=0,0,(EF80-EE80)/EE80*100)</f>
        <v>0</v>
      </c>
      <c r="EH80" s="2059"/>
      <c r="EI80" s="2059"/>
      <c r="EJ80" s="366">
        <f>IF(EH80=0,0,(EI80-EH80)/EH80*100)</f>
        <v>0</v>
      </c>
      <c r="EK80" s="2059"/>
      <c r="EL80" s="2059"/>
      <c r="EM80" s="366">
        <f>IF(EK80=0,0,(EL80-EK80)/EK80*100)</f>
        <v>0</v>
      </c>
      <c r="EN80" s="2059"/>
      <c r="EO80" s="2059"/>
      <c r="EP80" s="366">
        <f>IF(EN80=0,0,(EO80-EN80)/EN80*100)</f>
        <v>0</v>
      </c>
      <c r="EQ80" s="2059"/>
      <c r="ER80" s="2059"/>
      <c r="ES80" s="366">
        <f>IF(EQ80=0,0,(ER80-EQ80)/EQ80*100)</f>
        <v>0</v>
      </c>
      <c r="ET80" s="2059"/>
      <c r="EU80" s="2059"/>
      <c r="EV80" s="366">
        <f>IF(ET80=0,0,(EU80-ET80)/ET80*100)</f>
        <v>0</v>
      </c>
      <c r="EW80" s="2059"/>
      <c r="EX80" s="2059"/>
      <c r="EY80" s="366">
        <f>IF(EW80=0,0,(EX80-EW80)/EW80*100)</f>
        <v>0</v>
      </c>
      <c r="EZ80" s="2059"/>
      <c r="FA80" s="2059"/>
      <c r="FB80" s="366">
        <f>IF(EZ80=0,0,(FA80-EZ80)/EZ80*100)</f>
        <v>0</v>
      </c>
      <c r="FC80" s="2059"/>
      <c r="FD80" s="2059"/>
      <c r="FE80" s="366">
        <f>IF(FC80=0,0,(FD80-FC80)/FC80*100)</f>
        <v>0</v>
      </c>
      <c r="FF80" s="2059"/>
      <c r="FG80" s="2059"/>
      <c r="FH80" s="366">
        <f>IF(FF80=0,0,(FG80-FF80)/FF80*100)</f>
        <v>0</v>
      </c>
      <c r="FI80" s="2059"/>
      <c r="FJ80" s="2059"/>
      <c r="FK80" s="366">
        <f>IF(FI80=0,0,(FJ80-FI80)/FI80*100)</f>
        <v>0</v>
      </c>
      <c r="FL80" s="2059"/>
      <c r="FM80" s="2059"/>
      <c r="FN80" s="366">
        <f>IF(FL80=0,0,(FM80-FL80)/FL80*100)</f>
        <v>0</v>
      </c>
      <c r="FO80" s="2059"/>
      <c r="FP80" s="2059"/>
      <c r="FQ80" s="366">
        <f>IF(FO80=0,0,(FP80-FO80)/FO80*100)</f>
        <v>0</v>
      </c>
      <c r="FR80" s="2059"/>
      <c r="FS80" s="2059"/>
      <c r="FT80" s="366">
        <f>IF(FR80=0,0,(FS80-FR80)/FR80*100)</f>
        <v>0</v>
      </c>
      <c r="FU80" s="2059"/>
      <c r="FV80" s="2059"/>
      <c r="FW80" s="366">
        <f>IF(FU80=0,0,(FV80-FU80)/FU80*100)</f>
        <v>0</v>
      </c>
      <c r="FX80" s="363"/>
      <c r="FY80" s="363"/>
      <c r="FZ80" s="1184" t="s">
        <v>2099</v>
      </c>
      <c r="GA80" s="1184"/>
      <c r="GB80" s="1184"/>
      <c r="GC80" s="1184"/>
      <c r="GD80" s="1184"/>
    </row>
    <row s="1632" customFormat="1" customHeight="1" ht="16.5">
      <c r="A81" s="1582"/>
      <c r="B81" s="964" cm="1" t="str">
        <f t="array" ref="B81:B81">B80</f>
        <v>true</v>
      </c>
      <c r="C81" s="1325" t="s">
        <v>1741</v>
      </c>
      <c r="D81" s="1294" t="s">
        <v>1742</v>
      </c>
      <c r="E81" s="797">
        <v>17.1</v>
      </c>
      <c r="F81" s="922" cm="1" t="str">
        <f t="array" ref="F81:F81">OFFSET(G81,-1,-1)</f>
        <v>1</v>
      </c>
      <c r="G81" s="500"/>
      <c r="H81" s="213" t="s">
        <v>504</v>
      </c>
      <c r="I81" s="213" t="s">
        <v>2100</v>
      </c>
      <c r="J81" s="1315" t="s">
        <v>2091</v>
      </c>
      <c r="K81" s="1315" cm="1" t="str">
        <f t="array" ref="K81:K81">OFFSET(J81,-1,1)</f>
        <v>ТЭ.42.28873685.0002</v>
      </c>
      <c r="L81" s="1315" t="s">
        <v>2101</v>
      </c>
      <c r="M81" s="1315"/>
      <c r="N81" s="1315" t="s">
        <v>2093</v>
      </c>
      <c r="O81" s="1316" t="s">
        <v>2094</v>
      </c>
      <c r="P81" s="1315"/>
      <c r="Q81" s="1315"/>
      <c r="R81" s="928"/>
      <c r="S81" s="500"/>
      <c r="T81" s="808" cm="1" t="str">
        <f t="array" ref="T81:T81">T80</f>
        <v>true</v>
      </c>
      <c r="U81" s="1582"/>
      <c r="V81" s="1582"/>
      <c r="W81" s="1582"/>
      <c r="X81" s="1582"/>
      <c r="Y81" s="1582"/>
      <c r="Z81" s="1582"/>
      <c r="AA81" s="500"/>
      <c r="AB81" s="1060" t="s">
        <v>2102</v>
      </c>
      <c r="AC81" s="172" t="s">
        <v>498</v>
      </c>
      <c r="AD81" s="1044">
        <f>IF(AD79=0,0,AD80/AD79)</f>
        <v>2.37031288896868</v>
      </c>
      <c r="AE81" s="1044">
        <f>IF(AE79=0,0,AE80/AE79)</f>
        <v>1.09999885898384</v>
      </c>
      <c r="AF81" s="1069"/>
      <c r="AG81" s="1044">
        <f>IF(AG79=0,0,AG80/AG79)</f>
        <v>1</v>
      </c>
      <c r="AH81" s="1044">
        <f>IF(AH79=0,0,AH80/AH79)</f>
        <v>0</v>
      </c>
      <c r="AI81" s="1069"/>
      <c r="AJ81" s="1044">
        <f>IF(AJ79=0,0,AJ80/AJ79)</f>
        <v>0</v>
      </c>
      <c r="AK81" s="1044">
        <f>IF(AK79=0,0,AK80/AK79)</f>
        <v>0</v>
      </c>
      <c r="AL81" s="1069"/>
      <c r="AM81" s="1044">
        <f>IF(AM79=0,0,AM80/AM79)</f>
        <v>0</v>
      </c>
      <c r="AN81" s="1044">
        <f>IF(AN79=0,0,AN80/AN79)</f>
        <v>0</v>
      </c>
      <c r="AO81" s="1069"/>
      <c r="AP81" s="1044">
        <f>IF(AP79=0,0,AP80/AP79)</f>
        <v>0</v>
      </c>
      <c r="AQ81" s="1044">
        <f>IF(AQ79=0,0,AQ80/AQ79)</f>
        <v>0</v>
      </c>
      <c r="AR81" s="1069"/>
      <c r="AS81" s="1044">
        <f>IF(AS79=0,0,AS80/AS79)</f>
        <v>0</v>
      </c>
      <c r="AT81" s="1044">
        <f>IF(AT79=0,0,AT80/AT79)</f>
        <v>0</v>
      </c>
      <c r="AU81" s="1069"/>
      <c r="AV81" s="1044">
        <f>IF(AV79=0,0,AV80/AV79)</f>
        <v>0</v>
      </c>
      <c r="AW81" s="1044">
        <f>IF(AW79=0,0,AW80/AW79)</f>
        <v>0</v>
      </c>
      <c r="AX81" s="1069"/>
      <c r="AY81" s="1044">
        <f>IF(AY79=0,0,AY80/AY79)</f>
        <v>0</v>
      </c>
      <c r="AZ81" s="1044">
        <f>IF(AZ79=0,0,AZ80/AZ79)</f>
        <v>0</v>
      </c>
      <c r="BA81" s="1069"/>
      <c r="BB81" s="1044">
        <f>IF(BB79=0,0,BB80/BB79)</f>
        <v>0</v>
      </c>
      <c r="BC81" s="1044">
        <f>IF(BC79=0,0,BC80/BC79)</f>
        <v>0</v>
      </c>
      <c r="BD81" s="1069"/>
      <c r="BE81" s="1044">
        <f>IF(BE79=0,0,BE80/BE79)</f>
        <v>0</v>
      </c>
      <c r="BF81" s="1044">
        <f>IF(BF79=0,0,BF80/BF79)</f>
        <v>0</v>
      </c>
      <c r="BG81" s="1069"/>
      <c r="BH81" s="1044">
        <f>IF(BH79=0,0,BH80/BH79)</f>
        <v>0</v>
      </c>
      <c r="BI81" s="1044">
        <f>IF(BI79=0,0,BI80/BI79)</f>
        <v>0</v>
      </c>
      <c r="BJ81" s="368"/>
      <c r="BK81" s="1044">
        <f>IF(BK79=0,0,BK80/BK79)</f>
        <v>0</v>
      </c>
      <c r="BL81" s="1044">
        <f>IF(BL79=0,0,BL80/BL79)</f>
        <v>0</v>
      </c>
      <c r="BM81" s="368"/>
      <c r="BN81" s="1044">
        <f>IF(BN79=0,0,BN80/BN79)</f>
        <v>0</v>
      </c>
      <c r="BO81" s="1044">
        <f>IF(BO79=0,0,BO80/BO79)</f>
        <v>0</v>
      </c>
      <c r="BP81" s="368"/>
      <c r="BQ81" s="1044">
        <f>IF(BQ79=0,0,BQ80/BQ79)</f>
        <v>0</v>
      </c>
      <c r="BR81" s="1044">
        <f>IF(BR79=0,0,BR80/BR79)</f>
        <v>0</v>
      </c>
      <c r="BS81" s="368"/>
      <c r="BT81" s="1044">
        <f>IF(BT79=0,0,BT80/BT79)</f>
        <v>0</v>
      </c>
      <c r="BU81" s="1044">
        <f>IF(BU79=0,0,BU80/BU79)</f>
        <v>0</v>
      </c>
      <c r="BV81" s="368"/>
      <c r="BW81" s="1044">
        <f>IF(BW79=0,0,BW80/BW79)</f>
        <v>0</v>
      </c>
      <c r="BX81" s="1044">
        <f>IF(BX79=0,0,BX80/BX79)</f>
        <v>0</v>
      </c>
      <c r="BY81" s="368"/>
      <c r="BZ81" s="1044">
        <f>IF(BZ79=0,0,BZ80/BZ79)</f>
        <v>0</v>
      </c>
      <c r="CA81" s="1044">
        <f>IF(CA79=0,0,CA80/CA79)</f>
        <v>0</v>
      </c>
      <c r="CB81" s="368"/>
      <c r="CC81" s="1044">
        <f>IF(CC79=0,0,CC80/CC79)</f>
        <v>0</v>
      </c>
      <c r="CD81" s="1044">
        <f>IF(CD79=0,0,CD80/CD79)</f>
        <v>0</v>
      </c>
      <c r="CE81" s="368"/>
      <c r="CF81" s="1044">
        <f>IF(CF79=0,0,CF80/CF79)</f>
        <v>0</v>
      </c>
      <c r="CG81" s="1044">
        <f>IF(CG79=0,0,CG80/CG79)</f>
        <v>0</v>
      </c>
      <c r="CH81" s="368"/>
      <c r="CI81" s="1044">
        <f>IF(CI79=0,0,CI80/CI79)</f>
        <v>0</v>
      </c>
      <c r="CJ81" s="1044">
        <f>IF(CJ79=0,0,CJ80/CJ79)</f>
        <v>0</v>
      </c>
      <c r="CK81" s="368"/>
      <c r="CL81" s="1044">
        <f>IF(CL79=0,0,CL80/CL79)</f>
        <v>0</v>
      </c>
      <c r="CM81" s="1044">
        <f>IF(CM79=0,0,CM80/CM79)</f>
        <v>0</v>
      </c>
      <c r="CN81" s="368"/>
      <c r="CO81" s="1044">
        <f>IF(CO79=0,0,CO80/CO79)</f>
        <v>0</v>
      </c>
      <c r="CP81" s="1044">
        <f>IF(CP79=0,0,CP80/CP79)</f>
        <v>0</v>
      </c>
      <c r="CQ81" s="368"/>
      <c r="CR81" s="1044">
        <f>IF(CR79=0,0,CR80/CR79)</f>
        <v>0</v>
      </c>
      <c r="CS81" s="1044">
        <f>IF(CS79=0,0,CS80/CS79)</f>
        <v>0</v>
      </c>
      <c r="CT81" s="368"/>
      <c r="CU81" s="1044">
        <f>IF(CU79=0,0,CU80/CU79)</f>
        <v>0</v>
      </c>
      <c r="CV81" s="1044">
        <f>IF(CV79=0,0,CV80/CV79)</f>
        <v>0</v>
      </c>
      <c r="CW81" s="368"/>
      <c r="CX81" s="1044">
        <f>IF(CX79=0,0,CX80/CX79)</f>
        <v>0</v>
      </c>
      <c r="CY81" s="1044">
        <f>IF(CY79=0,0,CY80/CY79)</f>
        <v>0</v>
      </c>
      <c r="CZ81" s="368"/>
      <c r="DA81" s="1044">
        <f>IF(DA79=0,0,DA80/DA79)</f>
        <v>0</v>
      </c>
      <c r="DB81" s="1044">
        <f>IF(DB79=0,0,DB80/DB79)</f>
        <v>0</v>
      </c>
      <c r="DC81" s="368"/>
      <c r="DD81" s="1044">
        <f>IF(DD79=0,0,DD80/DD79)</f>
        <v>0</v>
      </c>
      <c r="DE81" s="1044">
        <f>IF(DE79=0,0,DE80/DE79)</f>
        <v>0</v>
      </c>
      <c r="DF81" s="368"/>
      <c r="DG81" s="1044">
        <f>IF(DG79=0,0,DG80/DG79)</f>
        <v>0</v>
      </c>
      <c r="DH81" s="1044">
        <f>IF(DH79=0,0,DH80/DH79)</f>
        <v>0</v>
      </c>
      <c r="DI81" s="368"/>
      <c r="DJ81" s="1044">
        <f>IF(DJ79=0,0,DJ80/DJ79)</f>
        <v>0</v>
      </c>
      <c r="DK81" s="1044">
        <f>IF(DK79=0,0,DK80/DK79)</f>
        <v>0</v>
      </c>
      <c r="DL81" s="368"/>
      <c r="DM81" s="1044">
        <f>IF(DM79=0,0,DM80/DM79)</f>
        <v>0</v>
      </c>
      <c r="DN81" s="1044">
        <f>IF(DN79=0,0,DN80/DN79)</f>
        <v>0</v>
      </c>
      <c r="DO81" s="368"/>
      <c r="DP81" s="1044">
        <f>IF(DP79=0,0,DP80/DP79)</f>
        <v>0</v>
      </c>
      <c r="DQ81" s="1044">
        <f>IF(DQ79=0,0,DQ80/DQ79)</f>
        <v>0</v>
      </c>
      <c r="DR81" s="368"/>
      <c r="DS81" s="1044">
        <f>IF(DS79=0,0,DS80/DS79)</f>
        <v>0</v>
      </c>
      <c r="DT81" s="1044">
        <f>IF(DT79=0,0,DT80/DT79)</f>
        <v>0</v>
      </c>
      <c r="DU81" s="368"/>
      <c r="DV81" s="1044">
        <f>IF(DV79=0,0,DV80/DV79)</f>
        <v>0</v>
      </c>
      <c r="DW81" s="1044">
        <f>IF(DW79=0,0,DW80/DW79)</f>
        <v>0</v>
      </c>
      <c r="DX81" s="368"/>
      <c r="DY81" s="1044">
        <f>IF(DY79=0,0,DY80/DY79)</f>
        <v>0</v>
      </c>
      <c r="DZ81" s="1044">
        <f>IF(DZ79=0,0,DZ80/DZ79)</f>
        <v>0</v>
      </c>
      <c r="EA81" s="368"/>
      <c r="EB81" s="1044">
        <f>IF(EB79=0,0,EB80/EB79)</f>
        <v>0</v>
      </c>
      <c r="EC81" s="1044">
        <f>IF(EC79=0,0,EC80/EC79)</f>
        <v>0</v>
      </c>
      <c r="ED81" s="368"/>
      <c r="EE81" s="1044">
        <f>IF(EE79=0,0,EE80/EE79)</f>
        <v>0</v>
      </c>
      <c r="EF81" s="1044">
        <f>IF(EF79=0,0,EF80/EF79)</f>
        <v>0</v>
      </c>
      <c r="EG81" s="368"/>
      <c r="EH81" s="1044">
        <f>IF(EH79=0,0,EH80/EH79)</f>
        <v>0</v>
      </c>
      <c r="EI81" s="1044">
        <f>IF(EI79=0,0,EI80/EI79)</f>
        <v>0</v>
      </c>
      <c r="EJ81" s="368"/>
      <c r="EK81" s="1044">
        <f>IF(EK79=0,0,EK80/EK79)</f>
        <v>0</v>
      </c>
      <c r="EL81" s="1044">
        <f>IF(EL79=0,0,EL80/EL79)</f>
        <v>0</v>
      </c>
      <c r="EM81" s="368"/>
      <c r="EN81" s="1044">
        <f>IF(EN79=0,0,EN80/EN79)</f>
        <v>0</v>
      </c>
      <c r="EO81" s="1044">
        <f>IF(EO79=0,0,EO80/EO79)</f>
        <v>0</v>
      </c>
      <c r="EP81" s="368"/>
      <c r="EQ81" s="1044">
        <f>IF(EQ79=0,0,EQ80/EQ79)</f>
        <v>0</v>
      </c>
      <c r="ER81" s="1044">
        <f>IF(ER79=0,0,ER80/ER79)</f>
        <v>0</v>
      </c>
      <c r="ES81" s="368"/>
      <c r="ET81" s="1044">
        <f>IF(ET79=0,0,ET80/ET79)</f>
        <v>0</v>
      </c>
      <c r="EU81" s="1044">
        <f>IF(EU79=0,0,EU80/EU79)</f>
        <v>0</v>
      </c>
      <c r="EV81" s="368"/>
      <c r="EW81" s="1044">
        <f>IF(EW79=0,0,EW80/EW79)</f>
        <v>0</v>
      </c>
      <c r="EX81" s="1044">
        <f>IF(EX79=0,0,EX80/EX79)</f>
        <v>0</v>
      </c>
      <c r="EY81" s="368"/>
      <c r="EZ81" s="1044">
        <f>IF(EZ79=0,0,EZ80/EZ79)</f>
        <v>0</v>
      </c>
      <c r="FA81" s="1044">
        <f>IF(FA79=0,0,FA80/FA79)</f>
        <v>0</v>
      </c>
      <c r="FB81" s="368"/>
      <c r="FC81" s="1044">
        <f>IF(FC79=0,0,FC80/FC79)</f>
        <v>0</v>
      </c>
      <c r="FD81" s="1044">
        <f>IF(FD79=0,0,FD80/FD79)</f>
        <v>0</v>
      </c>
      <c r="FE81" s="368"/>
      <c r="FF81" s="1044">
        <f>IF(FF79=0,0,FF80/FF79)</f>
        <v>0</v>
      </c>
      <c r="FG81" s="1044">
        <f>IF(FG79=0,0,FG80/FG79)</f>
        <v>0</v>
      </c>
      <c r="FH81" s="368"/>
      <c r="FI81" s="1044">
        <f>IF(FI79=0,0,FI80/FI79)</f>
        <v>0</v>
      </c>
      <c r="FJ81" s="1044">
        <f>IF(FJ79=0,0,FJ80/FJ79)</f>
        <v>0</v>
      </c>
      <c r="FK81" s="368"/>
      <c r="FL81" s="1044">
        <f>IF(FL79=0,0,FL80/FL79)</f>
        <v>0</v>
      </c>
      <c r="FM81" s="1044">
        <f>IF(FM79=0,0,FM80/FM79)</f>
        <v>0</v>
      </c>
      <c r="FN81" s="368"/>
      <c r="FO81" s="1044">
        <f>IF(FO79=0,0,FO80/FO79)</f>
        <v>0</v>
      </c>
      <c r="FP81" s="1044">
        <f>IF(FP79=0,0,FP80/FP79)</f>
        <v>0</v>
      </c>
      <c r="FQ81" s="368"/>
      <c r="FR81" s="1044">
        <f>IF(FR79=0,0,FR80/FR79)</f>
        <v>0</v>
      </c>
      <c r="FS81" s="1044">
        <f>IF(FS79=0,0,FS80/FS79)</f>
        <v>0</v>
      </c>
      <c r="FT81" s="368"/>
      <c r="FU81" s="1044">
        <f>IF(FU79=0,0,FU80/FU79)</f>
        <v>0</v>
      </c>
      <c r="FV81" s="1044">
        <f>IF(FV79=0,0,FV80/FV79)</f>
        <v>0</v>
      </c>
      <c r="FW81" s="368"/>
      <c r="FX81" s="500"/>
      <c r="FY81" s="500"/>
      <c r="FZ81" s="1184" t="s">
        <v>2103</v>
      </c>
      <c r="GA81" s="1184"/>
      <c r="GB81" s="1184"/>
      <c r="GC81" s="1184"/>
      <c r="GD81" s="1184"/>
    </row>
    <row s="1632" customFormat="1" customHeight="1" ht="16.5">
      <c r="A82" s="1582"/>
      <c r="B82" s="964" cm="1" t="str">
        <f t="array" ref="B82:B82">B81</f>
        <v>true</v>
      </c>
      <c r="C82" s="1325" t="s">
        <v>1723</v>
      </c>
      <c r="D82" s="1294" t="s">
        <v>1724</v>
      </c>
      <c r="E82" s="797">
        <v>17.1</v>
      </c>
      <c r="F82" s="922" cm="1" t="str">
        <f t="array" ref="F82:F82">OFFSET(G82,-1,-1)</f>
        <v>1</v>
      </c>
      <c r="G82" s="193" t="s">
        <v>2104</v>
      </c>
      <c r="H82" s="213" t="s">
        <v>511</v>
      </c>
      <c r="I82" s="213" t="s">
        <v>2100</v>
      </c>
      <c r="J82" s="1315" t="s">
        <v>2091</v>
      </c>
      <c r="K82" s="1315" cm="1" t="str">
        <f t="array" ref="K82:K82">OFFSET(J82,-1,1)</f>
        <v>ТЭ.42.28873685.0002</v>
      </c>
      <c r="L82" s="1315" t="s">
        <v>2105</v>
      </c>
      <c r="M82" s="1315"/>
      <c r="N82" s="1315" t="s">
        <v>2093</v>
      </c>
      <c r="O82" s="1316" t="s">
        <v>2094</v>
      </c>
      <c r="P82" s="1315"/>
      <c r="Q82" s="1315"/>
      <c r="R82" s="928"/>
      <c r="S82" s="500"/>
      <c r="T82" s="808" cm="1" t="str">
        <f t="array" ref="T82:T82">T81</f>
        <v>true</v>
      </c>
      <c r="U82" s="1582"/>
      <c r="V82" s="1582"/>
      <c r="W82" s="1582"/>
      <c r="X82" s="1582"/>
      <c r="Y82" s="1582"/>
      <c r="Z82" s="1582"/>
      <c r="AA82" s="500"/>
      <c r="AB82" s="1060" t="s">
        <v>2106</v>
      </c>
      <c r="AC82" s="172" t="s">
        <v>599</v>
      </c>
      <c r="AD82" s="2061">
        <f>SUM(AD83:AD84)</f>
        <v>5626.1</v>
      </c>
      <c r="AE82" s="2061">
        <f>SUM(AE83:AE84)</f>
        <v>5626</v>
      </c>
      <c r="AF82" s="400">
        <f>IF(AD82=0,0,(AE82-AD82)/AD82*100)</f>
        <v>-0.0017774301914357</v>
      </c>
      <c r="AG82" s="2061">
        <f>SUM(AG83:AG84)</f>
        <v>7003.54</v>
      </c>
      <c r="AH82" s="2061">
        <f>SUM(AH83:AH84)</f>
        <v>0</v>
      </c>
      <c r="AI82" s="400">
        <f>IF(AG82=0,0,(AH82-AG82)/AG82*100)</f>
        <v>-100</v>
      </c>
      <c r="AJ82" s="2061">
        <f>SUM(AJ83:AJ84)</f>
        <v>0</v>
      </c>
      <c r="AK82" s="2061">
        <f>SUM(AK83:AK84)</f>
        <v>0</v>
      </c>
      <c r="AL82" s="400">
        <f>IF(AJ82=0,0,(AK82-AJ82)/AJ82*100)</f>
        <v>0</v>
      </c>
      <c r="AM82" s="2061">
        <f>SUM(AM83:AM84)</f>
        <v>0</v>
      </c>
      <c r="AN82" s="2061">
        <f>SUM(AN83:AN84)</f>
        <v>0</v>
      </c>
      <c r="AO82" s="400">
        <f>IF(AM82=0,0,(AN82-AM82)/AM82*100)</f>
        <v>0</v>
      </c>
      <c r="AP82" s="2061">
        <f>SUM(AP83:AP84)</f>
        <v>0</v>
      </c>
      <c r="AQ82" s="2061">
        <f>SUM(AQ83:AQ84)</f>
        <v>0</v>
      </c>
      <c r="AR82" s="400">
        <f>IF(AP82=0,0,(AQ82-AP82)/AP82*100)</f>
        <v>0</v>
      </c>
      <c r="AS82" s="2061">
        <f>SUM(AS83:AS84)</f>
        <v>0</v>
      </c>
      <c r="AT82" s="2061">
        <f>SUM(AT83:AT84)</f>
        <v>0</v>
      </c>
      <c r="AU82" s="400">
        <f>IF(AS82=0,0,(AT82-AS82)/AS82*100)</f>
        <v>0</v>
      </c>
      <c r="AV82" s="2061">
        <f>SUM(AV83:AV84)</f>
        <v>0</v>
      </c>
      <c r="AW82" s="2061">
        <f>SUM(AW83:AW84)</f>
        <v>0</v>
      </c>
      <c r="AX82" s="400">
        <f>IF(AV82=0,0,(AW82-AV82)/AV82*100)</f>
        <v>0</v>
      </c>
      <c r="AY82" s="2061">
        <f>SUM(AY83:AY84)</f>
        <v>0</v>
      </c>
      <c r="AZ82" s="2061">
        <f>SUM(AZ83:AZ84)</f>
        <v>0</v>
      </c>
      <c r="BA82" s="400">
        <f>IF(AY82=0,0,(AZ82-AY82)/AY82*100)</f>
        <v>0</v>
      </c>
      <c r="BB82" s="2061">
        <f>SUM(BB83:BB84)</f>
        <v>0</v>
      </c>
      <c r="BC82" s="2061">
        <f>SUM(BC83:BC84)</f>
        <v>0</v>
      </c>
      <c r="BD82" s="400">
        <f>IF(BB82=0,0,(BC82-BB82)/BB82*100)</f>
        <v>0</v>
      </c>
      <c r="BE82" s="2061">
        <f>SUM(BE83:BE84)</f>
        <v>0</v>
      </c>
      <c r="BF82" s="2061">
        <f>SUM(BF83:BF84)</f>
        <v>0</v>
      </c>
      <c r="BG82" s="400">
        <f>IF(BE82=0,0,(BF82-BE82)/BE82*100)</f>
        <v>0</v>
      </c>
      <c r="BH82" s="2061">
        <f>SUM(BH83:BH84)</f>
        <v>0</v>
      </c>
      <c r="BI82" s="2061">
        <f>SUM(BI83:BI84)</f>
        <v>0</v>
      </c>
      <c r="BJ82" s="400">
        <f>IF(BH82=0,0,(BI82-BH82)/BH82*100)</f>
        <v>0</v>
      </c>
      <c r="BK82" s="2061">
        <f>SUM(BK83:BK84)</f>
        <v>0</v>
      </c>
      <c r="BL82" s="2061">
        <f>SUM(BL83:BL84)</f>
        <v>0</v>
      </c>
      <c r="BM82" s="400">
        <f>IF(BK82=0,0,(BL82-BK82)/BK82*100)</f>
        <v>0</v>
      </c>
      <c r="BN82" s="2061">
        <f>SUM(BN83:BN84)</f>
        <v>0</v>
      </c>
      <c r="BO82" s="2061">
        <f>SUM(BO83:BO84)</f>
        <v>0</v>
      </c>
      <c r="BP82" s="400">
        <f>IF(BN82=0,0,(BO82-BN82)/BN82*100)</f>
        <v>0</v>
      </c>
      <c r="BQ82" s="2061">
        <f>SUM(BQ83:BQ84)</f>
        <v>0</v>
      </c>
      <c r="BR82" s="2061">
        <f>SUM(BR83:BR84)</f>
        <v>0</v>
      </c>
      <c r="BS82" s="400">
        <f>IF(BQ82=0,0,(BR82-BQ82)/BQ82*100)</f>
        <v>0</v>
      </c>
      <c r="BT82" s="2061">
        <f>SUM(BT83:BT84)</f>
        <v>0</v>
      </c>
      <c r="BU82" s="2061">
        <f>SUM(BU83:BU84)</f>
        <v>0</v>
      </c>
      <c r="BV82" s="400">
        <f>IF(BT82=0,0,(BU82-BT82)/BT82*100)</f>
        <v>0</v>
      </c>
      <c r="BW82" s="2061">
        <f>SUM(BW83:BW84)</f>
        <v>0</v>
      </c>
      <c r="BX82" s="2061">
        <f>SUM(BX83:BX84)</f>
        <v>0</v>
      </c>
      <c r="BY82" s="400">
        <f>IF(BW82=0,0,(BX82-BW82)/BW82*100)</f>
        <v>0</v>
      </c>
      <c r="BZ82" s="2061">
        <f>SUM(BZ83:BZ84)</f>
        <v>0</v>
      </c>
      <c r="CA82" s="2061">
        <f>SUM(CA83:CA84)</f>
        <v>0</v>
      </c>
      <c r="CB82" s="400">
        <f>IF(BZ82=0,0,(CA82-BZ82)/BZ82*100)</f>
        <v>0</v>
      </c>
      <c r="CC82" s="2061">
        <f>SUM(CC83:CC84)</f>
        <v>0</v>
      </c>
      <c r="CD82" s="2061">
        <f>SUM(CD83:CD84)</f>
        <v>0</v>
      </c>
      <c r="CE82" s="400">
        <f>IF(CC82=0,0,(CD82-CC82)/CC82*100)</f>
        <v>0</v>
      </c>
      <c r="CF82" s="2061">
        <f>SUM(CF83:CF84)</f>
        <v>0</v>
      </c>
      <c r="CG82" s="2061">
        <f>SUM(CG83:CG84)</f>
        <v>0</v>
      </c>
      <c r="CH82" s="400">
        <f>IF(CF82=0,0,(CG82-CF82)/CF82*100)</f>
        <v>0</v>
      </c>
      <c r="CI82" s="2061">
        <f>SUM(CI83:CI84)</f>
        <v>0</v>
      </c>
      <c r="CJ82" s="2061">
        <f>SUM(CJ83:CJ84)</f>
        <v>0</v>
      </c>
      <c r="CK82" s="400">
        <f>IF(CI82=0,0,(CJ82-CI82)/CI82*100)</f>
        <v>0</v>
      </c>
      <c r="CL82" s="2061">
        <f>SUM(CL83:CL84)</f>
        <v>0</v>
      </c>
      <c r="CM82" s="2061">
        <f>SUM(CM83:CM84)</f>
        <v>0</v>
      </c>
      <c r="CN82" s="400">
        <f>IF(CL82=0,0,(CM82-CL82)/CL82*100)</f>
        <v>0</v>
      </c>
      <c r="CO82" s="2061">
        <f>SUM(CO83:CO84)</f>
        <v>0</v>
      </c>
      <c r="CP82" s="2061">
        <f>SUM(CP83:CP84)</f>
        <v>0</v>
      </c>
      <c r="CQ82" s="400">
        <f>IF(CO82=0,0,(CP82-CO82)/CO82*100)</f>
        <v>0</v>
      </c>
      <c r="CR82" s="2061">
        <f>SUM(CR83:CR84)</f>
        <v>0</v>
      </c>
      <c r="CS82" s="2061">
        <f>SUM(CS83:CS84)</f>
        <v>0</v>
      </c>
      <c r="CT82" s="400">
        <f>IF(CR82=0,0,(CS82-CR82)/CR82*100)</f>
        <v>0</v>
      </c>
      <c r="CU82" s="2061">
        <f>SUM(CU83:CU84)</f>
        <v>0</v>
      </c>
      <c r="CV82" s="2061">
        <f>SUM(CV83:CV84)</f>
        <v>0</v>
      </c>
      <c r="CW82" s="400">
        <f>IF(CU82=0,0,(CV82-CU82)/CU82*100)</f>
        <v>0</v>
      </c>
      <c r="CX82" s="2061">
        <f>SUM(CX83:CX84)</f>
        <v>0</v>
      </c>
      <c r="CY82" s="2061">
        <f>SUM(CY83:CY84)</f>
        <v>0</v>
      </c>
      <c r="CZ82" s="400">
        <f>IF(CX82=0,0,(CY82-CX82)/CX82*100)</f>
        <v>0</v>
      </c>
      <c r="DA82" s="2061">
        <f>SUM(DA83:DA84)</f>
        <v>0</v>
      </c>
      <c r="DB82" s="2061">
        <f>SUM(DB83:DB84)</f>
        <v>0</v>
      </c>
      <c r="DC82" s="400">
        <f>IF(DA82=0,0,(DB82-DA82)/DA82*100)</f>
        <v>0</v>
      </c>
      <c r="DD82" s="2061">
        <f>SUM(DD83:DD84)</f>
        <v>0</v>
      </c>
      <c r="DE82" s="2061">
        <f>SUM(DE83:DE84)</f>
        <v>0</v>
      </c>
      <c r="DF82" s="400">
        <f>IF(DD82=0,0,(DE82-DD82)/DD82*100)</f>
        <v>0</v>
      </c>
      <c r="DG82" s="2061">
        <f>SUM(DG83:DG84)</f>
        <v>0</v>
      </c>
      <c r="DH82" s="2061">
        <f>SUM(DH83:DH84)</f>
        <v>0</v>
      </c>
      <c r="DI82" s="400">
        <f>IF(DG82=0,0,(DH82-DG82)/DG82*100)</f>
        <v>0</v>
      </c>
      <c r="DJ82" s="2061">
        <f>SUM(DJ83:DJ84)</f>
        <v>0</v>
      </c>
      <c r="DK82" s="2061">
        <f>SUM(DK83:DK84)</f>
        <v>0</v>
      </c>
      <c r="DL82" s="400">
        <f>IF(DJ82=0,0,(DK82-DJ82)/DJ82*100)</f>
        <v>0</v>
      </c>
      <c r="DM82" s="2061">
        <f>SUM(DM83:DM84)</f>
        <v>0</v>
      </c>
      <c r="DN82" s="2061">
        <f>SUM(DN83:DN84)</f>
        <v>0</v>
      </c>
      <c r="DO82" s="400">
        <f>IF(DM82=0,0,(DN82-DM82)/DM82*100)</f>
        <v>0</v>
      </c>
      <c r="DP82" s="2061">
        <f>SUM(DP83:DP84)</f>
        <v>0</v>
      </c>
      <c r="DQ82" s="2061">
        <f>SUM(DQ83:DQ84)</f>
        <v>0</v>
      </c>
      <c r="DR82" s="400">
        <f>IF(DP82=0,0,(DQ82-DP82)/DP82*100)</f>
        <v>0</v>
      </c>
      <c r="DS82" s="2061">
        <f>SUM(DS83:DS84)</f>
        <v>0</v>
      </c>
      <c r="DT82" s="2061">
        <f>SUM(DT83:DT84)</f>
        <v>0</v>
      </c>
      <c r="DU82" s="400">
        <f>IF(DS82=0,0,(DT82-DS82)/DS82*100)</f>
        <v>0</v>
      </c>
      <c r="DV82" s="2061">
        <f>SUM(DV83:DV84)</f>
        <v>0</v>
      </c>
      <c r="DW82" s="2061">
        <f>SUM(DW83:DW84)</f>
        <v>0</v>
      </c>
      <c r="DX82" s="400">
        <f>IF(DV82=0,0,(DW82-DV82)/DV82*100)</f>
        <v>0</v>
      </c>
      <c r="DY82" s="2061">
        <f>SUM(DY83:DY84)</f>
        <v>0</v>
      </c>
      <c r="DZ82" s="2061">
        <f>SUM(DZ83:DZ84)</f>
        <v>0</v>
      </c>
      <c r="EA82" s="400">
        <f>IF(DY82=0,0,(DZ82-DY82)/DY82*100)</f>
        <v>0</v>
      </c>
      <c r="EB82" s="2061">
        <f>SUM(EB83:EB84)</f>
        <v>0</v>
      </c>
      <c r="EC82" s="2061">
        <f>SUM(EC83:EC84)</f>
        <v>0</v>
      </c>
      <c r="ED82" s="400">
        <f>IF(EB82=0,0,(EC82-EB82)/EB82*100)</f>
        <v>0</v>
      </c>
      <c r="EE82" s="2061">
        <f>SUM(EE83:EE84)</f>
        <v>0</v>
      </c>
      <c r="EF82" s="2061">
        <f>SUM(EF83:EF84)</f>
        <v>0</v>
      </c>
      <c r="EG82" s="400">
        <f>IF(EE82=0,0,(EF82-EE82)/EE82*100)</f>
        <v>0</v>
      </c>
      <c r="EH82" s="2061">
        <f>SUM(EH83:EH84)</f>
        <v>0</v>
      </c>
      <c r="EI82" s="2061">
        <f>SUM(EI83:EI84)</f>
        <v>0</v>
      </c>
      <c r="EJ82" s="400">
        <f>IF(EH82=0,0,(EI82-EH82)/EH82*100)</f>
        <v>0</v>
      </c>
      <c r="EK82" s="2061">
        <f>SUM(EK83:EK84)</f>
        <v>0</v>
      </c>
      <c r="EL82" s="2061">
        <f>SUM(EL83:EL84)</f>
        <v>0</v>
      </c>
      <c r="EM82" s="400">
        <f>IF(EK82=0,0,(EL82-EK82)/EK82*100)</f>
        <v>0</v>
      </c>
      <c r="EN82" s="2061">
        <f>SUM(EN83:EN84)</f>
        <v>0</v>
      </c>
      <c r="EO82" s="2061">
        <f>SUM(EO83:EO84)</f>
        <v>0</v>
      </c>
      <c r="EP82" s="400">
        <f>IF(EN82=0,0,(EO82-EN82)/EN82*100)</f>
        <v>0</v>
      </c>
      <c r="EQ82" s="2061">
        <f>SUM(EQ83:EQ84)</f>
        <v>0</v>
      </c>
      <c r="ER82" s="2061">
        <f>SUM(ER83:ER84)</f>
        <v>0</v>
      </c>
      <c r="ES82" s="400">
        <f>IF(EQ82=0,0,(ER82-EQ82)/EQ82*100)</f>
        <v>0</v>
      </c>
      <c r="ET82" s="2061">
        <f>SUM(ET83:ET84)</f>
        <v>0</v>
      </c>
      <c r="EU82" s="2061">
        <f>SUM(EU83:EU84)</f>
        <v>0</v>
      </c>
      <c r="EV82" s="400">
        <f>IF(ET82=0,0,(EU82-ET82)/ET82*100)</f>
        <v>0</v>
      </c>
      <c r="EW82" s="2061">
        <f>SUM(EW83:EW84)</f>
        <v>0</v>
      </c>
      <c r="EX82" s="2061">
        <f>SUM(EX83:EX84)</f>
        <v>0</v>
      </c>
      <c r="EY82" s="400">
        <f>IF(EW82=0,0,(EX82-EW82)/EW82*100)</f>
        <v>0</v>
      </c>
      <c r="EZ82" s="2061">
        <f>SUM(EZ83:EZ84)</f>
        <v>0</v>
      </c>
      <c r="FA82" s="2061">
        <f>SUM(FA83:FA84)</f>
        <v>0</v>
      </c>
      <c r="FB82" s="400">
        <f>IF(EZ82=0,0,(FA82-EZ82)/EZ82*100)</f>
        <v>0</v>
      </c>
      <c r="FC82" s="2061">
        <f>SUM(FC83:FC84)</f>
        <v>0</v>
      </c>
      <c r="FD82" s="2061">
        <f>SUM(FD83:FD84)</f>
        <v>0</v>
      </c>
      <c r="FE82" s="400">
        <f>IF(FC82=0,0,(FD82-FC82)/FC82*100)</f>
        <v>0</v>
      </c>
      <c r="FF82" s="2061">
        <f>SUM(FF83:FF84)</f>
        <v>0</v>
      </c>
      <c r="FG82" s="2061">
        <f>SUM(FG83:FG84)</f>
        <v>0</v>
      </c>
      <c r="FH82" s="400">
        <f>IF(FF82=0,0,(FG82-FF82)/FF82*100)</f>
        <v>0</v>
      </c>
      <c r="FI82" s="2061">
        <f>SUM(FI83:FI84)</f>
        <v>0</v>
      </c>
      <c r="FJ82" s="2061">
        <f>SUM(FJ83:FJ84)</f>
        <v>0</v>
      </c>
      <c r="FK82" s="400">
        <f>IF(FI82=0,0,(FJ82-FI82)/FI82*100)</f>
        <v>0</v>
      </c>
      <c r="FL82" s="2061">
        <f>SUM(FL83:FL84)</f>
        <v>0</v>
      </c>
      <c r="FM82" s="2061">
        <f>SUM(FM83:FM84)</f>
        <v>0</v>
      </c>
      <c r="FN82" s="400">
        <f>IF(FL82=0,0,(FM82-FL82)/FL82*100)</f>
        <v>0</v>
      </c>
      <c r="FO82" s="2061">
        <f>SUM(FO83:FO84)</f>
        <v>0</v>
      </c>
      <c r="FP82" s="2061">
        <f>SUM(FP83:FP84)</f>
        <v>0</v>
      </c>
      <c r="FQ82" s="400">
        <f>IF(FO82=0,0,(FP82-FO82)/FO82*100)</f>
        <v>0</v>
      </c>
      <c r="FR82" s="2061">
        <f>SUM(FR83:FR84)</f>
        <v>0</v>
      </c>
      <c r="FS82" s="2061">
        <f>SUM(FS83:FS84)</f>
        <v>0</v>
      </c>
      <c r="FT82" s="400">
        <f>IF(FR82=0,0,(FS82-FR82)/FR82*100)</f>
        <v>0</v>
      </c>
      <c r="FU82" s="2061">
        <f>SUM(FU83:FU84)</f>
        <v>0</v>
      </c>
      <c r="FV82" s="2061">
        <f>SUM(FV83:FV84)</f>
        <v>0</v>
      </c>
      <c r="FW82" s="400">
        <f>IF(FU82=0,0,(FV82-FU82)/FU82*100)</f>
        <v>0</v>
      </c>
      <c r="FX82" s="500"/>
      <c r="FY82" s="500"/>
      <c r="FZ82" s="1184" t="s">
        <v>2107</v>
      </c>
      <c r="GA82" s="1184"/>
      <c r="GB82" s="1184"/>
      <c r="GC82" s="1184"/>
      <c r="GD82" s="1184"/>
    </row>
    <row s="1632" customFormat="1" customHeight="1" ht="16.5">
      <c r="A83" s="1582"/>
      <c r="B83" s="964" cm="1" t="str">
        <f t="array" ref="B83:B83">B82</f>
        <v>true</v>
      </c>
      <c r="C83" s="1325" t="s">
        <v>1723</v>
      </c>
      <c r="D83" s="1294" t="s">
        <v>1724</v>
      </c>
      <c r="E83" s="797">
        <v>17.1</v>
      </c>
      <c r="F83" s="922" cm="1" t="str">
        <f t="array" ref="F83:F83">OFFSET(G83,-1,-1)</f>
        <v>1</v>
      </c>
      <c r="G83" s="193" t="s">
        <v>1725</v>
      </c>
      <c r="H83" s="500"/>
      <c r="I83" s="500"/>
      <c r="J83" s="1315" t="s">
        <v>2091</v>
      </c>
      <c r="K83" s="1315" cm="1" t="str">
        <f t="array" ref="K83:K83">OFFSET(J83,-1,1)</f>
        <v>ТЭ.42.28873685.0002</v>
      </c>
      <c r="L83" s="1315" t="s">
        <v>2105</v>
      </c>
      <c r="M83" s="1315" t="s">
        <v>1726</v>
      </c>
      <c r="N83" s="1315" t="s">
        <v>2093</v>
      </c>
      <c r="O83" s="1316" t="s">
        <v>2094</v>
      </c>
      <c r="P83" s="1315"/>
      <c r="Q83" s="1315"/>
      <c r="R83" s="928"/>
      <c r="S83" s="500"/>
      <c r="T83" s="808" cm="1" t="str">
        <f t="array" ref="T83:T83">T82</f>
        <v>true</v>
      </c>
      <c r="U83" s="1582"/>
      <c r="V83" s="1582"/>
      <c r="W83" s="1582"/>
      <c r="X83" s="1582"/>
      <c r="Y83" s="1582"/>
      <c r="Z83" s="1582"/>
      <c r="AA83" s="500"/>
      <c r="AB83" s="289" t="s">
        <v>1727</v>
      </c>
      <c r="AC83" s="172" t="s">
        <v>599</v>
      </c>
      <c r="AD83" s="2061">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3126.93</v>
      </c>
      <c r="AE83" s="2061">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3126.93</v>
      </c>
      <c r="AF83" s="400">
        <f>IF(AD83=0,0,(AE83-AD83)/AD83*100)</f>
        <v>0</v>
      </c>
      <c r="AG83" s="2061">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61">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0">
        <f>IF(AG83=0,0,(AH83-AG83)/AG83*100)</f>
        <v>0</v>
      </c>
      <c r="AJ83" s="2061">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61">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0">
        <f>IF(AJ83=0,0,(AK83-AJ83)/AJ83*100)</f>
        <v>0</v>
      </c>
      <c r="AM83" s="206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6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0">
        <f>IF(AM83=0,0,(AN83-AM83)/AM83*100)</f>
        <v>0</v>
      </c>
      <c r="AP83" s="206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6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0">
        <f>IF(AP83=0,0,(AQ83-AP83)/AP83*100)</f>
        <v>0</v>
      </c>
      <c r="AS83" s="206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6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0">
        <f>IF(AS83=0,0,(AT83-AS83)/AS83*100)</f>
        <v>0</v>
      </c>
      <c r="AV83" s="206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6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0">
        <f>IF(AV83=0,0,(AW83-AV83)/AV83*100)</f>
        <v>0</v>
      </c>
      <c r="AY83" s="206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6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0">
        <f>IF(AY83=0,0,(AZ83-AY83)/AY83*100)</f>
        <v>0</v>
      </c>
      <c r="BB83" s="206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6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0">
        <f>IF(BB83=0,0,(BC83-BB83)/BB83*100)</f>
        <v>0</v>
      </c>
      <c r="BE83" s="206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6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0">
        <f>IF(BE83=0,0,(BF83-BE83)/BE83*100)</f>
        <v>0</v>
      </c>
      <c r="BH83" s="2061"/>
      <c r="BI83" s="2061"/>
      <c r="BJ83" s="400">
        <f>IF(BH83=0,0,(BI83-BH83)/BH83*100)</f>
        <v>0</v>
      </c>
      <c r="BK83" s="2061"/>
      <c r="BL83" s="2061"/>
      <c r="BM83" s="400">
        <f>IF(BK83=0,0,(BL83-BK83)/BK83*100)</f>
        <v>0</v>
      </c>
      <c r="BN83" s="2061"/>
      <c r="BO83" s="2061"/>
      <c r="BP83" s="400">
        <f>IF(BN83=0,0,(BO83-BN83)/BN83*100)</f>
        <v>0</v>
      </c>
      <c r="BQ83" s="2061"/>
      <c r="BR83" s="2061"/>
      <c r="BS83" s="400">
        <f>IF(BQ83=0,0,(BR83-BQ83)/BQ83*100)</f>
        <v>0</v>
      </c>
      <c r="BT83" s="2061"/>
      <c r="BU83" s="2061"/>
      <c r="BV83" s="400">
        <f>IF(BT83=0,0,(BU83-BT83)/BT83*100)</f>
        <v>0</v>
      </c>
      <c r="BW83" s="2061"/>
      <c r="BX83" s="2061"/>
      <c r="BY83" s="400">
        <f>IF(BW83=0,0,(BX83-BW83)/BW83*100)</f>
        <v>0</v>
      </c>
      <c r="BZ83" s="2061"/>
      <c r="CA83" s="2061"/>
      <c r="CB83" s="400">
        <f>IF(BZ83=0,0,(CA83-BZ83)/BZ83*100)</f>
        <v>0</v>
      </c>
      <c r="CC83" s="2061"/>
      <c r="CD83" s="2061"/>
      <c r="CE83" s="400">
        <f>IF(CC83=0,0,(CD83-CC83)/CC83*100)</f>
        <v>0</v>
      </c>
      <c r="CF83" s="2061"/>
      <c r="CG83" s="2061"/>
      <c r="CH83" s="400">
        <f>IF(CF83=0,0,(CG83-CF83)/CF83*100)</f>
        <v>0</v>
      </c>
      <c r="CI83" s="2061"/>
      <c r="CJ83" s="2061"/>
      <c r="CK83" s="400">
        <f>IF(CI83=0,0,(CJ83-CI83)/CI83*100)</f>
        <v>0</v>
      </c>
      <c r="CL83" s="2061"/>
      <c r="CM83" s="2061"/>
      <c r="CN83" s="400">
        <f>IF(CL83=0,0,(CM83-CL83)/CL83*100)</f>
        <v>0</v>
      </c>
      <c r="CO83" s="2061"/>
      <c r="CP83" s="2061"/>
      <c r="CQ83" s="400">
        <f>IF(CO83=0,0,(CP83-CO83)/CO83*100)</f>
        <v>0</v>
      </c>
      <c r="CR83" s="2061"/>
      <c r="CS83" s="2061"/>
      <c r="CT83" s="400">
        <f>IF(CR83=0,0,(CS83-CR83)/CR83*100)</f>
        <v>0</v>
      </c>
      <c r="CU83" s="2061"/>
      <c r="CV83" s="2061"/>
      <c r="CW83" s="400">
        <f>IF(CU83=0,0,(CV83-CU83)/CU83*100)</f>
        <v>0</v>
      </c>
      <c r="CX83" s="2061"/>
      <c r="CY83" s="2061"/>
      <c r="CZ83" s="400">
        <f>IF(CX83=0,0,(CY83-CX83)/CX83*100)</f>
        <v>0</v>
      </c>
      <c r="DA83" s="2061"/>
      <c r="DB83" s="2061"/>
      <c r="DC83" s="400">
        <f>IF(DA83=0,0,(DB83-DA83)/DA83*100)</f>
        <v>0</v>
      </c>
      <c r="DD83" s="2061"/>
      <c r="DE83" s="2061"/>
      <c r="DF83" s="400">
        <f>IF(DD83=0,0,(DE83-DD83)/DD83*100)</f>
        <v>0</v>
      </c>
      <c r="DG83" s="2061"/>
      <c r="DH83" s="2061"/>
      <c r="DI83" s="400">
        <f>IF(DG83=0,0,(DH83-DG83)/DG83*100)</f>
        <v>0</v>
      </c>
      <c r="DJ83" s="2061"/>
      <c r="DK83" s="2061"/>
      <c r="DL83" s="400">
        <f>IF(DJ83=0,0,(DK83-DJ83)/DJ83*100)</f>
        <v>0</v>
      </c>
      <c r="DM83" s="2061"/>
      <c r="DN83" s="2061"/>
      <c r="DO83" s="400">
        <f>IF(DM83=0,0,(DN83-DM83)/DM83*100)</f>
        <v>0</v>
      </c>
      <c r="DP83" s="2061"/>
      <c r="DQ83" s="2061"/>
      <c r="DR83" s="400">
        <f>IF(DP83=0,0,(DQ83-DP83)/DP83*100)</f>
        <v>0</v>
      </c>
      <c r="DS83" s="2061"/>
      <c r="DT83" s="2061"/>
      <c r="DU83" s="400">
        <f>IF(DS83=0,0,(DT83-DS83)/DS83*100)</f>
        <v>0</v>
      </c>
      <c r="DV83" s="2061"/>
      <c r="DW83" s="2061"/>
      <c r="DX83" s="400">
        <f>IF(DV83=0,0,(DW83-DV83)/DV83*100)</f>
        <v>0</v>
      </c>
      <c r="DY83" s="2061"/>
      <c r="DZ83" s="2061"/>
      <c r="EA83" s="400">
        <f>IF(DY83=0,0,(DZ83-DY83)/DY83*100)</f>
        <v>0</v>
      </c>
      <c r="EB83" s="2061"/>
      <c r="EC83" s="2061"/>
      <c r="ED83" s="400">
        <f>IF(EB83=0,0,(EC83-EB83)/EB83*100)</f>
        <v>0</v>
      </c>
      <c r="EE83" s="2061"/>
      <c r="EF83" s="2061"/>
      <c r="EG83" s="400">
        <f>IF(EE83=0,0,(EF83-EE83)/EE83*100)</f>
        <v>0</v>
      </c>
      <c r="EH83" s="2061"/>
      <c r="EI83" s="2061"/>
      <c r="EJ83" s="400">
        <f>IF(EH83=0,0,(EI83-EH83)/EH83*100)</f>
        <v>0</v>
      </c>
      <c r="EK83" s="2061"/>
      <c r="EL83" s="2061"/>
      <c r="EM83" s="400">
        <f>IF(EK83=0,0,(EL83-EK83)/EK83*100)</f>
        <v>0</v>
      </c>
      <c r="EN83" s="2061"/>
      <c r="EO83" s="2061"/>
      <c r="EP83" s="400">
        <f>IF(EN83=0,0,(EO83-EN83)/EN83*100)</f>
        <v>0</v>
      </c>
      <c r="EQ83" s="2061"/>
      <c r="ER83" s="2061"/>
      <c r="ES83" s="400">
        <f>IF(EQ83=0,0,(ER83-EQ83)/EQ83*100)</f>
        <v>0</v>
      </c>
      <c r="ET83" s="2061"/>
      <c r="EU83" s="2061"/>
      <c r="EV83" s="400">
        <f>IF(ET83=0,0,(EU83-ET83)/ET83*100)</f>
        <v>0</v>
      </c>
      <c r="EW83" s="2061"/>
      <c r="EX83" s="2061"/>
      <c r="EY83" s="400">
        <f>IF(EW83=0,0,(EX83-EW83)/EW83*100)</f>
        <v>0</v>
      </c>
      <c r="EZ83" s="2061"/>
      <c r="FA83" s="2061"/>
      <c r="FB83" s="400">
        <f>IF(EZ83=0,0,(FA83-EZ83)/EZ83*100)</f>
        <v>0</v>
      </c>
      <c r="FC83" s="2061"/>
      <c r="FD83" s="2061"/>
      <c r="FE83" s="400">
        <f>IF(FC83=0,0,(FD83-FC83)/FC83*100)</f>
        <v>0</v>
      </c>
      <c r="FF83" s="2061"/>
      <c r="FG83" s="2061"/>
      <c r="FH83" s="400">
        <f>IF(FF83=0,0,(FG83-FF83)/FF83*100)</f>
        <v>0</v>
      </c>
      <c r="FI83" s="2061"/>
      <c r="FJ83" s="2061"/>
      <c r="FK83" s="400">
        <f>IF(FI83=0,0,(FJ83-FI83)/FI83*100)</f>
        <v>0</v>
      </c>
      <c r="FL83" s="2061"/>
      <c r="FM83" s="2061"/>
      <c r="FN83" s="400">
        <f>IF(FL83=0,0,(FM83-FL83)/FL83*100)</f>
        <v>0</v>
      </c>
      <c r="FO83" s="2061"/>
      <c r="FP83" s="2061"/>
      <c r="FQ83" s="400">
        <f>IF(FO83=0,0,(FP83-FO83)/FO83*100)</f>
        <v>0</v>
      </c>
      <c r="FR83" s="2061"/>
      <c r="FS83" s="2061"/>
      <c r="FT83" s="400">
        <f>IF(FR83=0,0,(FS83-FR83)/FR83*100)</f>
        <v>0</v>
      </c>
      <c r="FU83" s="2061"/>
      <c r="FV83" s="2061"/>
      <c r="FW83" s="400">
        <f>IF(FU83=0,0,(FV83-FU83)/FU83*100)</f>
        <v>0</v>
      </c>
      <c r="FX83" s="500"/>
      <c r="FY83" s="500"/>
      <c r="FZ83" s="1184" t="s">
        <v>2108</v>
      </c>
      <c r="GA83" s="1184"/>
      <c r="GB83" s="1184"/>
      <c r="GC83" s="1184"/>
      <c r="GD83" s="1184"/>
    </row>
    <row s="1632" customFormat="1" customHeight="1" ht="16.5">
      <c r="A84" s="1582"/>
      <c r="B84" s="964" cm="1" t="str">
        <f t="array" ref="B84:B84">B83</f>
        <v>true</v>
      </c>
      <c r="C84" s="1325" t="s">
        <v>1723</v>
      </c>
      <c r="D84" s="1294" t="s">
        <v>1724</v>
      </c>
      <c r="E84" s="797">
        <v>17.1</v>
      </c>
      <c r="F84" s="922" cm="1" t="str">
        <f t="array" ref="F84:F84">OFFSET(G84,-1,-1)</f>
        <v>1</v>
      </c>
      <c r="G84" s="193" t="s">
        <v>1734</v>
      </c>
      <c r="H84" s="500"/>
      <c r="I84" s="500"/>
      <c r="J84" s="1315" t="s">
        <v>2091</v>
      </c>
      <c r="K84" s="1315" cm="1" t="str">
        <f t="array" ref="K84:K84">OFFSET(J84,-1,1)</f>
        <v>ТЭ.42.28873685.0002</v>
      </c>
      <c r="L84" s="1315" t="s">
        <v>2105</v>
      </c>
      <c r="M84" s="1315" t="s">
        <v>1735</v>
      </c>
      <c r="N84" s="1315" t="s">
        <v>2093</v>
      </c>
      <c r="O84" s="1316" t="s">
        <v>2094</v>
      </c>
      <c r="P84" s="1315"/>
      <c r="Q84" s="1315"/>
      <c r="R84" s="928"/>
      <c r="S84" s="500"/>
      <c r="T84" s="808" cm="1" t="str">
        <f t="array" ref="T84:T84">T83</f>
        <v>true</v>
      </c>
      <c r="U84" s="1582"/>
      <c r="V84" s="1582"/>
      <c r="W84" s="1582"/>
      <c r="X84" s="1582"/>
      <c r="Y84" s="1582"/>
      <c r="Z84" s="1582"/>
      <c r="AA84" s="500"/>
      <c r="AB84" s="289" t="s">
        <v>1736</v>
      </c>
      <c r="AC84" s="172" t="s">
        <v>599</v>
      </c>
      <c r="AD84" s="2061">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2499.17</v>
      </c>
      <c r="AE84" s="2061">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2499.07</v>
      </c>
      <c r="AF84" s="400">
        <f>IF(AD84=0,0,(AE84-AD84)/AD84*100)</f>
        <v>-0.00400132844103879</v>
      </c>
      <c r="AG84" s="2061">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7003.54</v>
      </c>
      <c r="AH84" s="2061">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0">
        <f>IF(AG84=0,0,(AH84-AG84)/AG84*100)</f>
        <v>-100</v>
      </c>
      <c r="AJ84" s="2061">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61">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0">
        <f>IF(AJ84=0,0,(AK84-AJ84)/AJ84*100)</f>
        <v>0</v>
      </c>
      <c r="AM84" s="206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6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0">
        <f>IF(AM84=0,0,(AN84-AM84)/AM84*100)</f>
        <v>0</v>
      </c>
      <c r="AP84" s="206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6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0">
        <f>IF(AP84=0,0,(AQ84-AP84)/AP84*100)</f>
        <v>0</v>
      </c>
      <c r="AS84" s="206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6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0">
        <f>IF(AS84=0,0,(AT84-AS84)/AS84*100)</f>
        <v>0</v>
      </c>
      <c r="AV84" s="206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6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0">
        <f>IF(AV84=0,0,(AW84-AV84)/AV84*100)</f>
        <v>0</v>
      </c>
      <c r="AY84" s="206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6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0">
        <f>IF(AY84=0,0,(AZ84-AY84)/AY84*100)</f>
        <v>0</v>
      </c>
      <c r="BB84" s="206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6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0">
        <f>IF(BB84=0,0,(BC84-BB84)/BB84*100)</f>
        <v>0</v>
      </c>
      <c r="BE84" s="206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6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0">
        <f>IF(BE84=0,0,(BF84-BE84)/BE84*100)</f>
        <v>0</v>
      </c>
      <c r="BH84" s="2061"/>
      <c r="BI84" s="2061"/>
      <c r="BJ84" s="400">
        <f>IF(BH84=0,0,(BI84-BH84)/BH84*100)</f>
        <v>0</v>
      </c>
      <c r="BK84" s="2061"/>
      <c r="BL84" s="2061"/>
      <c r="BM84" s="400">
        <f>IF(BK84=0,0,(BL84-BK84)/BK84*100)</f>
        <v>0</v>
      </c>
      <c r="BN84" s="2061"/>
      <c r="BO84" s="2061"/>
      <c r="BP84" s="400">
        <f>IF(BN84=0,0,(BO84-BN84)/BN84*100)</f>
        <v>0</v>
      </c>
      <c r="BQ84" s="2061"/>
      <c r="BR84" s="2061"/>
      <c r="BS84" s="400">
        <f>IF(BQ84=0,0,(BR84-BQ84)/BQ84*100)</f>
        <v>0</v>
      </c>
      <c r="BT84" s="2061"/>
      <c r="BU84" s="2061"/>
      <c r="BV84" s="400">
        <f>IF(BT84=0,0,(BU84-BT84)/BT84*100)</f>
        <v>0</v>
      </c>
      <c r="BW84" s="2061"/>
      <c r="BX84" s="2061"/>
      <c r="BY84" s="400">
        <f>IF(BW84=0,0,(BX84-BW84)/BW84*100)</f>
        <v>0</v>
      </c>
      <c r="BZ84" s="2061"/>
      <c r="CA84" s="2061"/>
      <c r="CB84" s="400">
        <f>IF(BZ84=0,0,(CA84-BZ84)/BZ84*100)</f>
        <v>0</v>
      </c>
      <c r="CC84" s="2061"/>
      <c r="CD84" s="2061"/>
      <c r="CE84" s="400">
        <f>IF(CC84=0,0,(CD84-CC84)/CC84*100)</f>
        <v>0</v>
      </c>
      <c r="CF84" s="2061"/>
      <c r="CG84" s="2061"/>
      <c r="CH84" s="400">
        <f>IF(CF84=0,0,(CG84-CF84)/CF84*100)</f>
        <v>0</v>
      </c>
      <c r="CI84" s="2061"/>
      <c r="CJ84" s="2061"/>
      <c r="CK84" s="400">
        <f>IF(CI84=0,0,(CJ84-CI84)/CI84*100)</f>
        <v>0</v>
      </c>
      <c r="CL84" s="2061"/>
      <c r="CM84" s="2061"/>
      <c r="CN84" s="400">
        <f>IF(CL84=0,0,(CM84-CL84)/CL84*100)</f>
        <v>0</v>
      </c>
      <c r="CO84" s="2061"/>
      <c r="CP84" s="2061"/>
      <c r="CQ84" s="400">
        <f>IF(CO84=0,0,(CP84-CO84)/CO84*100)</f>
        <v>0</v>
      </c>
      <c r="CR84" s="2061"/>
      <c r="CS84" s="2061"/>
      <c r="CT84" s="400">
        <f>IF(CR84=0,0,(CS84-CR84)/CR84*100)</f>
        <v>0</v>
      </c>
      <c r="CU84" s="2061"/>
      <c r="CV84" s="2061"/>
      <c r="CW84" s="400">
        <f>IF(CU84=0,0,(CV84-CU84)/CU84*100)</f>
        <v>0</v>
      </c>
      <c r="CX84" s="2061"/>
      <c r="CY84" s="2061"/>
      <c r="CZ84" s="400">
        <f>IF(CX84=0,0,(CY84-CX84)/CX84*100)</f>
        <v>0</v>
      </c>
      <c r="DA84" s="2061"/>
      <c r="DB84" s="2061"/>
      <c r="DC84" s="400">
        <f>IF(DA84=0,0,(DB84-DA84)/DA84*100)</f>
        <v>0</v>
      </c>
      <c r="DD84" s="2061"/>
      <c r="DE84" s="2061"/>
      <c r="DF84" s="400">
        <f>IF(DD84=0,0,(DE84-DD84)/DD84*100)</f>
        <v>0</v>
      </c>
      <c r="DG84" s="2061"/>
      <c r="DH84" s="2061"/>
      <c r="DI84" s="400">
        <f>IF(DG84=0,0,(DH84-DG84)/DG84*100)</f>
        <v>0</v>
      </c>
      <c r="DJ84" s="2061"/>
      <c r="DK84" s="2061"/>
      <c r="DL84" s="400">
        <f>IF(DJ84=0,0,(DK84-DJ84)/DJ84*100)</f>
        <v>0</v>
      </c>
      <c r="DM84" s="2061"/>
      <c r="DN84" s="2061"/>
      <c r="DO84" s="400">
        <f>IF(DM84=0,0,(DN84-DM84)/DM84*100)</f>
        <v>0</v>
      </c>
      <c r="DP84" s="2061"/>
      <c r="DQ84" s="2061"/>
      <c r="DR84" s="400">
        <f>IF(DP84=0,0,(DQ84-DP84)/DP84*100)</f>
        <v>0</v>
      </c>
      <c r="DS84" s="2061"/>
      <c r="DT84" s="2061"/>
      <c r="DU84" s="400">
        <f>IF(DS84=0,0,(DT84-DS84)/DS84*100)</f>
        <v>0</v>
      </c>
      <c r="DV84" s="2061"/>
      <c r="DW84" s="2061"/>
      <c r="DX84" s="400">
        <f>IF(DV84=0,0,(DW84-DV84)/DV84*100)</f>
        <v>0</v>
      </c>
      <c r="DY84" s="2061"/>
      <c r="DZ84" s="2061"/>
      <c r="EA84" s="400">
        <f>IF(DY84=0,0,(DZ84-DY84)/DY84*100)</f>
        <v>0</v>
      </c>
      <c r="EB84" s="2061"/>
      <c r="EC84" s="2061"/>
      <c r="ED84" s="400">
        <f>IF(EB84=0,0,(EC84-EB84)/EB84*100)</f>
        <v>0</v>
      </c>
      <c r="EE84" s="2061"/>
      <c r="EF84" s="2061"/>
      <c r="EG84" s="400">
        <f>IF(EE84=0,0,(EF84-EE84)/EE84*100)</f>
        <v>0</v>
      </c>
      <c r="EH84" s="2061"/>
      <c r="EI84" s="2061"/>
      <c r="EJ84" s="400">
        <f>IF(EH84=0,0,(EI84-EH84)/EH84*100)</f>
        <v>0</v>
      </c>
      <c r="EK84" s="2061"/>
      <c r="EL84" s="2061"/>
      <c r="EM84" s="400">
        <f>IF(EK84=0,0,(EL84-EK84)/EK84*100)</f>
        <v>0</v>
      </c>
      <c r="EN84" s="2061"/>
      <c r="EO84" s="2061"/>
      <c r="EP84" s="400">
        <f>IF(EN84=0,0,(EO84-EN84)/EN84*100)</f>
        <v>0</v>
      </c>
      <c r="EQ84" s="2061"/>
      <c r="ER84" s="2061"/>
      <c r="ES84" s="400">
        <f>IF(EQ84=0,0,(ER84-EQ84)/EQ84*100)</f>
        <v>0</v>
      </c>
      <c r="ET84" s="2061"/>
      <c r="EU84" s="2061"/>
      <c r="EV84" s="400">
        <f>IF(ET84=0,0,(EU84-ET84)/ET84*100)</f>
        <v>0</v>
      </c>
      <c r="EW84" s="2061"/>
      <c r="EX84" s="2061"/>
      <c r="EY84" s="400">
        <f>IF(EW84=0,0,(EX84-EW84)/EW84*100)</f>
        <v>0</v>
      </c>
      <c r="EZ84" s="2061"/>
      <c r="FA84" s="2061"/>
      <c r="FB84" s="400">
        <f>IF(EZ84=0,0,(FA84-EZ84)/EZ84*100)</f>
        <v>0</v>
      </c>
      <c r="FC84" s="2061"/>
      <c r="FD84" s="2061"/>
      <c r="FE84" s="400">
        <f>IF(FC84=0,0,(FD84-FC84)/FC84*100)</f>
        <v>0</v>
      </c>
      <c r="FF84" s="2061"/>
      <c r="FG84" s="2061"/>
      <c r="FH84" s="400">
        <f>IF(FF84=0,0,(FG84-FF84)/FF84*100)</f>
        <v>0</v>
      </c>
      <c r="FI84" s="2061"/>
      <c r="FJ84" s="2061"/>
      <c r="FK84" s="400">
        <f>IF(FI84=0,0,(FJ84-FI84)/FI84*100)</f>
        <v>0</v>
      </c>
      <c r="FL84" s="2061"/>
      <c r="FM84" s="2061"/>
      <c r="FN84" s="400">
        <f>IF(FL84=0,0,(FM84-FL84)/FL84*100)</f>
        <v>0</v>
      </c>
      <c r="FO84" s="2061"/>
      <c r="FP84" s="2061"/>
      <c r="FQ84" s="400">
        <f>IF(FO84=0,0,(FP84-FO84)/FO84*100)</f>
        <v>0</v>
      </c>
      <c r="FR84" s="2061"/>
      <c r="FS84" s="2061"/>
      <c r="FT84" s="400">
        <f>IF(FR84=0,0,(FS84-FR84)/FR84*100)</f>
        <v>0</v>
      </c>
      <c r="FU84" s="2061"/>
      <c r="FV84" s="2061"/>
      <c r="FW84" s="400">
        <f>IF(FU84=0,0,(FV84-FU84)/FU84*100)</f>
        <v>0</v>
      </c>
      <c r="FX84" s="500"/>
      <c r="FY84" s="500"/>
      <c r="FZ84" s="1184" t="s">
        <v>2109</v>
      </c>
      <c r="GA84" s="1184"/>
      <c r="GB84" s="1184"/>
      <c r="GC84" s="1184"/>
      <c r="GD84" s="1184"/>
    </row>
    <row s="2062" customFormat="1" customHeight="1" ht="16.5">
      <c r="A85" s="363"/>
      <c r="B85" s="964" cm="1" t="str">
        <f t="array" ref="B85:B85">B84</f>
        <v>true</v>
      </c>
      <c r="C85" s="1325" t="s">
        <v>2110</v>
      </c>
      <c r="D85" s="1294" t="s">
        <v>2111</v>
      </c>
      <c r="E85" s="797">
        <v>17.1</v>
      </c>
      <c r="F85" s="922" cm="1" t="str">
        <f t="array" ref="F85:F85">OFFSET(G85,-1,-1)</f>
        <v>1</v>
      </c>
      <c r="G85" s="363"/>
      <c r="H85" s="213" t="s">
        <v>501</v>
      </c>
      <c r="I85" s="213" t="s">
        <v>2112</v>
      </c>
      <c r="J85" s="1315" t="s">
        <v>2091</v>
      </c>
      <c r="K85" s="1315" cm="1" t="str">
        <f t="array" ref="K85:K85">OFFSET(J85,-1,1)</f>
        <v>ТЭ.42.28873685.0002</v>
      </c>
      <c r="L85" s="1315"/>
      <c r="M85" s="1315" t="s">
        <v>1726</v>
      </c>
      <c r="N85" s="1315" t="s">
        <v>2113</v>
      </c>
      <c r="O85" s="1316" t="s">
        <v>2114</v>
      </c>
      <c r="P85" s="1315"/>
      <c r="Q85" s="1315"/>
      <c r="R85" s="363"/>
      <c r="S85" s="363"/>
      <c r="T85" s="808" cm="1" t="str">
        <f t="array" ref="T85:T85">T84</f>
        <v>true</v>
      </c>
      <c r="U85" s="363"/>
      <c r="V85" s="363"/>
      <c r="W85" s="363"/>
      <c r="X85" s="363"/>
      <c r="Y85" s="363"/>
      <c r="Z85" s="363"/>
      <c r="AA85" s="363"/>
      <c r="AB85" s="1354" t="s">
        <v>2115</v>
      </c>
      <c r="AC85" s="364" t="s">
        <v>900</v>
      </c>
      <c r="AD85" s="2059" cm="1" t="str">
        <f t="array" ref="AD85:AD85">IF(tax_system="ОСНО",AD79*(1+Сценарии!AE$26%),AD79)</f>
        <v>5021.63</v>
      </c>
      <c r="AE85" s="2059" cm="1" t="str">
        <f t="array" ref="AE85:AE85">IF(tax_system="ОСНО",AE79*(1+Сценарии!AO$26%),AE79)</f>
        <v>5021.63</v>
      </c>
      <c r="AF85" s="366">
        <f>IF(AD85=0,0,(AE85-AD85)/AD85*100)</f>
        <v>0</v>
      </c>
      <c r="AG85" s="2059" cm="1" t="str">
        <f t="array" ref="AG85:AG85">IF(tax_system="ОСНО",AG79*(1+Сценарии!AF$26%),AG79)</f>
        <v>4077.31783321006</v>
      </c>
      <c r="AH85" s="2059" cm="1" t="str">
        <f t="array" ref="AH85:AH85">IF(tax_system="ОСНО",AH79*(1+Сценарии!AP$26%),AH79)</f>
        <v>0</v>
      </c>
      <c r="AI85" s="366">
        <f>IF(AG85=0,0,(AH85-AG85)/AG85*100)</f>
        <v>-100</v>
      </c>
      <c r="AJ85" s="2059" cm="1" t="str">
        <f t="array" ref="AJ85:AJ85">IF(tax_system="ОСНО",AJ79*(1+Сценарии!AG$26%),AJ79)</f>
        <v>0</v>
      </c>
      <c r="AK85" s="2059" cm="1" t="str">
        <f t="array" ref="AK85:AK85">IF(tax_system="ОСНО",AK79*(1+Сценарии!AQ$26%),AK79)</f>
        <v>0</v>
      </c>
      <c r="AL85" s="366">
        <f>IF(AJ85=0,0,(AK85-AJ85)/AJ85*100)</f>
        <v>0</v>
      </c>
      <c r="AM85" s="2059" cm="1" t="str">
        <f t="array" ref="AM85:AM85">IF(tax_system="ОСНО",AM79*(1+Сценарии!AH$26%),AM79)</f>
        <v>0</v>
      </c>
      <c r="AN85" s="2059" cm="1" t="str">
        <f t="array" ref="AN85:AN85">IF(tax_system="ОСНО",AN79*(1+Сценарии!AR$26%),AN79)</f>
        <v>0</v>
      </c>
      <c r="AO85" s="366">
        <f>IF(AM85=0,0,(AN85-AM85)/AM85*100)</f>
        <v>0</v>
      </c>
      <c r="AP85" s="2059" cm="1" t="str">
        <f t="array" ref="AP85:AP85">IF(tax_system="ОСНО",AP79*(1+Сценарии!AI$26%),AP79)</f>
        <v>0</v>
      </c>
      <c r="AQ85" s="2059" cm="1" t="str">
        <f t="array" ref="AQ85:AQ85">IF(tax_system="ОСНО",AQ79*(1+Сценарии!AS$26%),AQ79)</f>
        <v>0</v>
      </c>
      <c r="AR85" s="366">
        <f>IF(AP85=0,0,(AQ85-AP85)/AP85*100)</f>
        <v>0</v>
      </c>
      <c r="AS85" s="2059" cm="1" t="str">
        <f t="array" ref="AS85:AS85">IF(tax_system="ОСНО",AS79*(1+Сценарии!AJ$26%),AS79)</f>
        <v>0</v>
      </c>
      <c r="AT85" s="2059" cm="1" t="str">
        <f t="array" ref="AT85:AT85">IF(tax_system="ОСНО",AT79*(1+Сценарии!AT$26%),AT79)</f>
        <v>0</v>
      </c>
      <c r="AU85" s="366">
        <f>IF(AS85=0,0,(AT85-AS85)/AS85*100)</f>
        <v>0</v>
      </c>
      <c r="AV85" s="2059" cm="1" t="str">
        <f t="array" ref="AV85:AV85">IF(tax_system="ОСНО",AV79*(1+Сценарии!AK$26%),AV79)</f>
        <v>0</v>
      </c>
      <c r="AW85" s="2059" cm="1" t="str">
        <f t="array" ref="AW85:AW85">IF(tax_system="ОСНО",AW79*(1+Сценарии!AU$26%),AW79)</f>
        <v>0</v>
      </c>
      <c r="AX85" s="366">
        <f>IF(AV85=0,0,(AW85-AV85)/AV85*100)</f>
        <v>0</v>
      </c>
      <c r="AY85" s="2059" cm="1" t="str">
        <f t="array" ref="AY85:AY85">IF(tax_system="ОСНО",AY79*(1+Сценарии!AL$26%),AY79)</f>
        <v>0</v>
      </c>
      <c r="AZ85" s="2059" cm="1" t="str">
        <f t="array" ref="AZ85:AZ85">IF(tax_system="ОСНО",AZ79*(1+Сценарии!AV$26%),AZ79)</f>
        <v>0</v>
      </c>
      <c r="BA85" s="366">
        <f>IF(AY85=0,0,(AZ85-AY85)/AY85*100)</f>
        <v>0</v>
      </c>
      <c r="BB85" s="2059" cm="1" t="str">
        <f t="array" ref="BB85:BB85">IF(tax_system="ОСНО",BB79*(1+Сценарии!AM$26%),BB79)</f>
        <v>0</v>
      </c>
      <c r="BC85" s="2059" cm="1" t="str">
        <f t="array" ref="BC85:BC85">IF(tax_system="ОСНО",BC79*(1+Сценарии!AW$26%),BC79)</f>
        <v>0</v>
      </c>
      <c r="BD85" s="366">
        <f>IF(BB85=0,0,(BC85-BB85)/BB85*100)</f>
        <v>0</v>
      </c>
      <c r="BE85" s="2059" cm="1" t="str">
        <f t="array" ref="BE85:BE85">IF(tax_system="ОСНО",BE79*(1+Сценарии!AN$26%),BE79)</f>
        <v>0</v>
      </c>
      <c r="BF85" s="2059" cm="1" t="str">
        <f t="array" ref="BF85:BF85">IF(tax_system="ОСНО",BF79*(1+Сценарии!AX$26%),BF79)</f>
        <v>0</v>
      </c>
      <c r="BG85" s="366">
        <f>IF(BE85=0,0,(BF85-BE85)/BE85*100)</f>
        <v>0</v>
      </c>
      <c r="BH85" s="2059"/>
      <c r="BI85" s="2059"/>
      <c r="BJ85" s="366">
        <f>IF(BH85=0,0,(BI85-BH85)/BH85*100)</f>
        <v>0</v>
      </c>
      <c r="BK85" s="2059"/>
      <c r="BL85" s="2059"/>
      <c r="BM85" s="366">
        <f>IF(BK85=0,0,(BL85-BK85)/BK85*100)</f>
        <v>0</v>
      </c>
      <c r="BN85" s="2059"/>
      <c r="BO85" s="2059"/>
      <c r="BP85" s="366">
        <f>IF(BN85=0,0,(BO85-BN85)/BN85*100)</f>
        <v>0</v>
      </c>
      <c r="BQ85" s="2059"/>
      <c r="BR85" s="2059"/>
      <c r="BS85" s="366">
        <f>IF(BQ85=0,0,(BR85-BQ85)/BQ85*100)</f>
        <v>0</v>
      </c>
      <c r="BT85" s="2059"/>
      <c r="BU85" s="2059"/>
      <c r="BV85" s="366">
        <f>IF(BT85=0,0,(BU85-BT85)/BT85*100)</f>
        <v>0</v>
      </c>
      <c r="BW85" s="2059"/>
      <c r="BX85" s="2059"/>
      <c r="BY85" s="366">
        <f>IF(BW85=0,0,(BX85-BW85)/BW85*100)</f>
        <v>0</v>
      </c>
      <c r="BZ85" s="2059"/>
      <c r="CA85" s="2059"/>
      <c r="CB85" s="366">
        <f>IF(BZ85=0,0,(CA85-BZ85)/BZ85*100)</f>
        <v>0</v>
      </c>
      <c r="CC85" s="2059"/>
      <c r="CD85" s="2059"/>
      <c r="CE85" s="366">
        <f>IF(CC85=0,0,(CD85-CC85)/CC85*100)</f>
        <v>0</v>
      </c>
      <c r="CF85" s="2059"/>
      <c r="CG85" s="2059"/>
      <c r="CH85" s="366">
        <f>IF(CF85=0,0,(CG85-CF85)/CF85*100)</f>
        <v>0</v>
      </c>
      <c r="CI85" s="2059"/>
      <c r="CJ85" s="2059"/>
      <c r="CK85" s="366">
        <f>IF(CI85=0,0,(CJ85-CI85)/CI85*100)</f>
        <v>0</v>
      </c>
      <c r="CL85" s="2059"/>
      <c r="CM85" s="2059"/>
      <c r="CN85" s="366">
        <f>IF(CL85=0,0,(CM85-CL85)/CL85*100)</f>
        <v>0</v>
      </c>
      <c r="CO85" s="2059"/>
      <c r="CP85" s="2059"/>
      <c r="CQ85" s="366">
        <f>IF(CO85=0,0,(CP85-CO85)/CO85*100)</f>
        <v>0</v>
      </c>
      <c r="CR85" s="2059"/>
      <c r="CS85" s="2059"/>
      <c r="CT85" s="366">
        <f>IF(CR85=0,0,(CS85-CR85)/CR85*100)</f>
        <v>0</v>
      </c>
      <c r="CU85" s="2059"/>
      <c r="CV85" s="2059"/>
      <c r="CW85" s="366">
        <f>IF(CU85=0,0,(CV85-CU85)/CU85*100)</f>
        <v>0</v>
      </c>
      <c r="CX85" s="2059"/>
      <c r="CY85" s="2059"/>
      <c r="CZ85" s="366">
        <f>IF(CX85=0,0,(CY85-CX85)/CX85*100)</f>
        <v>0</v>
      </c>
      <c r="DA85" s="2059"/>
      <c r="DB85" s="2059"/>
      <c r="DC85" s="366">
        <f>IF(DA85=0,0,(DB85-DA85)/DA85*100)</f>
        <v>0</v>
      </c>
      <c r="DD85" s="2059"/>
      <c r="DE85" s="2059"/>
      <c r="DF85" s="366">
        <f>IF(DD85=0,0,(DE85-DD85)/DD85*100)</f>
        <v>0</v>
      </c>
      <c r="DG85" s="2059"/>
      <c r="DH85" s="2059"/>
      <c r="DI85" s="366">
        <f>IF(DG85=0,0,(DH85-DG85)/DG85*100)</f>
        <v>0</v>
      </c>
      <c r="DJ85" s="2059"/>
      <c r="DK85" s="2059"/>
      <c r="DL85" s="366">
        <f>IF(DJ85=0,0,(DK85-DJ85)/DJ85*100)</f>
        <v>0</v>
      </c>
      <c r="DM85" s="2059"/>
      <c r="DN85" s="2059"/>
      <c r="DO85" s="366">
        <f>IF(DM85=0,0,(DN85-DM85)/DM85*100)</f>
        <v>0</v>
      </c>
      <c r="DP85" s="2059"/>
      <c r="DQ85" s="2059"/>
      <c r="DR85" s="366">
        <f>IF(DP85=0,0,(DQ85-DP85)/DP85*100)</f>
        <v>0</v>
      </c>
      <c r="DS85" s="2059"/>
      <c r="DT85" s="2059"/>
      <c r="DU85" s="366">
        <f>IF(DS85=0,0,(DT85-DS85)/DS85*100)</f>
        <v>0</v>
      </c>
      <c r="DV85" s="2059"/>
      <c r="DW85" s="2059"/>
      <c r="DX85" s="366">
        <f>IF(DV85=0,0,(DW85-DV85)/DV85*100)</f>
        <v>0</v>
      </c>
      <c r="DY85" s="2059"/>
      <c r="DZ85" s="2059"/>
      <c r="EA85" s="366">
        <f>IF(DY85=0,0,(DZ85-DY85)/DY85*100)</f>
        <v>0</v>
      </c>
      <c r="EB85" s="2059"/>
      <c r="EC85" s="2059"/>
      <c r="ED85" s="366">
        <f>IF(EB85=0,0,(EC85-EB85)/EB85*100)</f>
        <v>0</v>
      </c>
      <c r="EE85" s="2059"/>
      <c r="EF85" s="2059"/>
      <c r="EG85" s="366">
        <f>IF(EE85=0,0,(EF85-EE85)/EE85*100)</f>
        <v>0</v>
      </c>
      <c r="EH85" s="2059"/>
      <c r="EI85" s="2059"/>
      <c r="EJ85" s="366">
        <f>IF(EH85=0,0,(EI85-EH85)/EH85*100)</f>
        <v>0</v>
      </c>
      <c r="EK85" s="2059"/>
      <c r="EL85" s="2059"/>
      <c r="EM85" s="366">
        <f>IF(EK85=0,0,(EL85-EK85)/EK85*100)</f>
        <v>0</v>
      </c>
      <c r="EN85" s="2059"/>
      <c r="EO85" s="2059"/>
      <c r="EP85" s="366">
        <f>IF(EN85=0,0,(EO85-EN85)/EN85*100)</f>
        <v>0</v>
      </c>
      <c r="EQ85" s="2059"/>
      <c r="ER85" s="2059"/>
      <c r="ES85" s="366">
        <f>IF(EQ85=0,0,(ER85-EQ85)/EQ85*100)</f>
        <v>0</v>
      </c>
      <c r="ET85" s="2059"/>
      <c r="EU85" s="2059"/>
      <c r="EV85" s="366">
        <f>IF(ET85=0,0,(EU85-ET85)/ET85*100)</f>
        <v>0</v>
      </c>
      <c r="EW85" s="2059"/>
      <c r="EX85" s="2059"/>
      <c r="EY85" s="366">
        <f>IF(EW85=0,0,(EX85-EW85)/EW85*100)</f>
        <v>0</v>
      </c>
      <c r="EZ85" s="2059"/>
      <c r="FA85" s="2059"/>
      <c r="FB85" s="366">
        <f>IF(EZ85=0,0,(FA85-EZ85)/EZ85*100)</f>
        <v>0</v>
      </c>
      <c r="FC85" s="2059"/>
      <c r="FD85" s="2059"/>
      <c r="FE85" s="366">
        <f>IF(FC85=0,0,(FD85-FC85)/FC85*100)</f>
        <v>0</v>
      </c>
      <c r="FF85" s="2059"/>
      <c r="FG85" s="2059"/>
      <c r="FH85" s="366">
        <f>IF(FF85=0,0,(FG85-FF85)/FF85*100)</f>
        <v>0</v>
      </c>
      <c r="FI85" s="2059"/>
      <c r="FJ85" s="2059"/>
      <c r="FK85" s="366">
        <f>IF(FI85=0,0,(FJ85-FI85)/FI85*100)</f>
        <v>0</v>
      </c>
      <c r="FL85" s="2059"/>
      <c r="FM85" s="2059"/>
      <c r="FN85" s="366">
        <f>IF(FL85=0,0,(FM85-FL85)/FL85*100)</f>
        <v>0</v>
      </c>
      <c r="FO85" s="2059"/>
      <c r="FP85" s="2059"/>
      <c r="FQ85" s="366">
        <f>IF(FO85=0,0,(FP85-FO85)/FO85*100)</f>
        <v>0</v>
      </c>
      <c r="FR85" s="2059"/>
      <c r="FS85" s="2059"/>
      <c r="FT85" s="366">
        <f>IF(FR85=0,0,(FS85-FR85)/FR85*100)</f>
        <v>0</v>
      </c>
      <c r="FU85" s="2059"/>
      <c r="FV85" s="2059"/>
      <c r="FW85" s="366">
        <f>IF(FU85=0,0,(FV85-FU85)/FU85*100)</f>
        <v>0</v>
      </c>
      <c r="FX85" s="363"/>
      <c r="FY85" s="363"/>
      <c r="FZ85" s="1184" t="s">
        <v>2116</v>
      </c>
      <c r="GA85" s="1184"/>
      <c r="GB85" s="1184"/>
      <c r="GC85" s="1184"/>
      <c r="GD85" s="1184"/>
    </row>
    <row s="2063" customFormat="1" customHeight="1" ht="16.5">
      <c r="A86" s="363"/>
      <c r="B86" s="964" cm="1" t="str">
        <f t="array" ref="B86:B86">B85</f>
        <v>true</v>
      </c>
      <c r="C86" s="1325" t="s">
        <v>2110</v>
      </c>
      <c r="D86" s="1294" t="s">
        <v>2111</v>
      </c>
      <c r="E86" s="797">
        <v>17.1</v>
      </c>
      <c r="F86" s="922" cm="1" t="str">
        <f t="array" ref="F86:F86">OFFSET(G86,-1,-1)</f>
        <v>1</v>
      </c>
      <c r="G86" s="363"/>
      <c r="H86" s="213" t="s">
        <v>501</v>
      </c>
      <c r="I86" s="213" t="s">
        <v>2117</v>
      </c>
      <c r="J86" s="1315" t="s">
        <v>2091</v>
      </c>
      <c r="K86" s="1315" cm="1" t="str">
        <f t="array" ref="K86:K86">OFFSET(J86,-1,1)</f>
        <v>ТЭ.42.28873685.0002</v>
      </c>
      <c r="L86" s="1315"/>
      <c r="M86" s="1315" t="s">
        <v>1735</v>
      </c>
      <c r="N86" s="1315" t="s">
        <v>2113</v>
      </c>
      <c r="O86" s="1316" t="s">
        <v>2114</v>
      </c>
      <c r="P86" s="1315"/>
      <c r="Q86" s="1315"/>
      <c r="R86" s="363"/>
      <c r="S86" s="363"/>
      <c r="T86" s="808" cm="1" t="str">
        <f t="array" ref="T86:T86">T85</f>
        <v>true</v>
      </c>
      <c r="U86" s="363"/>
      <c r="V86" s="363"/>
      <c r="W86" s="363"/>
      <c r="X86" s="363"/>
      <c r="Y86" s="363"/>
      <c r="Z86" s="363"/>
      <c r="AA86" s="363"/>
      <c r="AB86" s="1354" t="s">
        <v>2118</v>
      </c>
      <c r="AC86" s="364" t="s">
        <v>900</v>
      </c>
      <c r="AD86" s="2059" cm="1" t="str">
        <f t="array" ref="AD86:AD86">IF(tax_system="ОСНО",AD80*(1+Сценарии!AE$26%),AD80)</f>
        <v>11902.8343126318</v>
      </c>
      <c r="AE86" s="2059" cm="1" t="str">
        <f t="array" ref="AE86:AE86">IF(tax_system="ОСНО",AE80*(1+Сценарии!AO$26%),AE80)</f>
        <v>5523.78727023901</v>
      </c>
      <c r="AF86" s="366">
        <f>IF(AD86=0,0,(AE86-AD86)/AD86*100)</f>
        <v>-53.592672760496</v>
      </c>
      <c r="AG86" s="2059" cm="1" t="str">
        <f t="array" ref="AG86:AG86">IF(tax_system="ОСНО",AG80*(1+Сценарии!AF$26%),AG80)</f>
        <v>4077.31783321006</v>
      </c>
      <c r="AH86" s="2059" cm="1" t="str">
        <f t="array" ref="AH86:AH86">IF(tax_system="ОСНО",AH80*(1+Сценарии!AP$26%),AH80)</f>
        <v>0</v>
      </c>
      <c r="AI86" s="366">
        <f>IF(AG86=0,0,(AH86-AG86)/AG86*100)</f>
        <v>-100</v>
      </c>
      <c r="AJ86" s="2059" cm="1" t="str">
        <f t="array" ref="AJ86:AJ86">IF(tax_system="ОСНО",AJ80*(1+Сценарии!AG$26%),AJ80)</f>
        <v>0</v>
      </c>
      <c r="AK86" s="2059" cm="1" t="str">
        <f t="array" ref="AK86:AK86">IF(tax_system="ОСНО",AK80*(1+Сценарии!AQ$26%),AK80)</f>
        <v>0</v>
      </c>
      <c r="AL86" s="366">
        <f>IF(AJ86=0,0,(AK86-AJ86)/AJ86*100)</f>
        <v>0</v>
      </c>
      <c r="AM86" s="2059" cm="1" t="str">
        <f t="array" ref="AM86:AM86">IF(tax_system="ОСНО",AM80*(1+Сценарии!AH$26%),AM80)</f>
        <v>0</v>
      </c>
      <c r="AN86" s="2059" cm="1" t="str">
        <f t="array" ref="AN86:AN86">IF(tax_system="ОСНО",AN80*(1+Сценарии!AR$26%),AN80)</f>
        <v>0</v>
      </c>
      <c r="AO86" s="366">
        <f>IF(AM86=0,0,(AN86-AM86)/AM86*100)</f>
        <v>0</v>
      </c>
      <c r="AP86" s="2059" cm="1" t="str">
        <f t="array" ref="AP86:AP86">IF(tax_system="ОСНО",AP80*(1+Сценарии!AI$26%),AP80)</f>
        <v>0</v>
      </c>
      <c r="AQ86" s="2059" cm="1" t="str">
        <f t="array" ref="AQ86:AQ86">IF(tax_system="ОСНО",AQ80*(1+Сценарии!AS$26%),AQ80)</f>
        <v>0</v>
      </c>
      <c r="AR86" s="366">
        <f>IF(AP86=0,0,(AQ86-AP86)/AP86*100)</f>
        <v>0</v>
      </c>
      <c r="AS86" s="2059" cm="1" t="str">
        <f t="array" ref="AS86:AS86">IF(tax_system="ОСНО",AS80*(1+Сценарии!AJ$26%),AS80)</f>
        <v>0</v>
      </c>
      <c r="AT86" s="2059" cm="1" t="str">
        <f t="array" ref="AT86:AT86">IF(tax_system="ОСНО",AT80*(1+Сценарии!AT$26%),AT80)</f>
        <v>0</v>
      </c>
      <c r="AU86" s="366">
        <f>IF(AS86=0,0,(AT86-AS86)/AS86*100)</f>
        <v>0</v>
      </c>
      <c r="AV86" s="2059" cm="1" t="str">
        <f t="array" ref="AV86:AV86">IF(tax_system="ОСНО",AV80*(1+Сценарии!AK$26%),AV80)</f>
        <v>0</v>
      </c>
      <c r="AW86" s="2059" cm="1" t="str">
        <f t="array" ref="AW86:AW86">IF(tax_system="ОСНО",AW80*(1+Сценарии!AU$26%),AW80)</f>
        <v>0</v>
      </c>
      <c r="AX86" s="366">
        <f>IF(AV86=0,0,(AW86-AV86)/AV86*100)</f>
        <v>0</v>
      </c>
      <c r="AY86" s="2059" cm="1" t="str">
        <f t="array" ref="AY86:AY86">IF(tax_system="ОСНО",AY80*(1+Сценарии!AL$26%),AY80)</f>
        <v>0</v>
      </c>
      <c r="AZ86" s="2059" cm="1" t="str">
        <f t="array" ref="AZ86:AZ86">IF(tax_system="ОСНО",AZ80*(1+Сценарии!AV$26%),AZ80)</f>
        <v>0</v>
      </c>
      <c r="BA86" s="366">
        <f>IF(AY86=0,0,(AZ86-AY86)/AY86*100)</f>
        <v>0</v>
      </c>
      <c r="BB86" s="2059" cm="1" t="str">
        <f t="array" ref="BB86:BB86">IF(tax_system="ОСНО",BB80*(1+Сценарии!AM$26%),BB80)</f>
        <v>0</v>
      </c>
      <c r="BC86" s="2059" cm="1" t="str">
        <f t="array" ref="BC86:BC86">IF(tax_system="ОСНО",BC80*(1+Сценарии!AW$26%),BC80)</f>
        <v>0</v>
      </c>
      <c r="BD86" s="366">
        <f>IF(BB86=0,0,(BC86-BB86)/BB86*100)</f>
        <v>0</v>
      </c>
      <c r="BE86" s="2059" cm="1" t="str">
        <f t="array" ref="BE86:BE86">IF(tax_system="ОСНО",BE80*(1+Сценарии!AN$26%),BE80)</f>
        <v>0</v>
      </c>
      <c r="BF86" s="2059" cm="1" t="str">
        <f t="array" ref="BF86:BF86">IF(tax_system="ОСНО",BF80*(1+Сценарии!AX$26%),BF80)</f>
        <v>0</v>
      </c>
      <c r="BG86" s="366">
        <f>IF(BE86=0,0,(BF86-BE86)/BE86*100)</f>
        <v>0</v>
      </c>
      <c r="BH86" s="2059"/>
      <c r="BI86" s="2059"/>
      <c r="BJ86" s="366">
        <f>IF(BH86=0,0,(BI86-BH86)/BH86*100)</f>
        <v>0</v>
      </c>
      <c r="BK86" s="2059"/>
      <c r="BL86" s="2059"/>
      <c r="BM86" s="366">
        <f>IF(BK86=0,0,(BL86-BK86)/BK86*100)</f>
        <v>0</v>
      </c>
      <c r="BN86" s="2059"/>
      <c r="BO86" s="2059"/>
      <c r="BP86" s="366">
        <f>IF(BN86=0,0,(BO86-BN86)/BN86*100)</f>
        <v>0</v>
      </c>
      <c r="BQ86" s="2059"/>
      <c r="BR86" s="2059"/>
      <c r="BS86" s="366">
        <f>IF(BQ86=0,0,(BR86-BQ86)/BQ86*100)</f>
        <v>0</v>
      </c>
      <c r="BT86" s="2059"/>
      <c r="BU86" s="2059"/>
      <c r="BV86" s="366">
        <f>IF(BT86=0,0,(BU86-BT86)/BT86*100)</f>
        <v>0</v>
      </c>
      <c r="BW86" s="2059"/>
      <c r="BX86" s="2059"/>
      <c r="BY86" s="366">
        <f>IF(BW86=0,0,(BX86-BW86)/BW86*100)</f>
        <v>0</v>
      </c>
      <c r="BZ86" s="2059"/>
      <c r="CA86" s="2059"/>
      <c r="CB86" s="366">
        <f>IF(BZ86=0,0,(CA86-BZ86)/BZ86*100)</f>
        <v>0</v>
      </c>
      <c r="CC86" s="2059"/>
      <c r="CD86" s="2059"/>
      <c r="CE86" s="366">
        <f>IF(CC86=0,0,(CD86-CC86)/CC86*100)</f>
        <v>0</v>
      </c>
      <c r="CF86" s="2059"/>
      <c r="CG86" s="2059"/>
      <c r="CH86" s="366">
        <f>IF(CF86=0,0,(CG86-CF86)/CF86*100)</f>
        <v>0</v>
      </c>
      <c r="CI86" s="2059"/>
      <c r="CJ86" s="2059"/>
      <c r="CK86" s="366">
        <f>IF(CI86=0,0,(CJ86-CI86)/CI86*100)</f>
        <v>0</v>
      </c>
      <c r="CL86" s="2059"/>
      <c r="CM86" s="2059"/>
      <c r="CN86" s="366">
        <f>IF(CL86=0,0,(CM86-CL86)/CL86*100)</f>
        <v>0</v>
      </c>
      <c r="CO86" s="2059"/>
      <c r="CP86" s="2059"/>
      <c r="CQ86" s="366">
        <f>IF(CO86=0,0,(CP86-CO86)/CO86*100)</f>
        <v>0</v>
      </c>
      <c r="CR86" s="2059"/>
      <c r="CS86" s="2059"/>
      <c r="CT86" s="366">
        <f>IF(CR86=0,0,(CS86-CR86)/CR86*100)</f>
        <v>0</v>
      </c>
      <c r="CU86" s="2059"/>
      <c r="CV86" s="2059"/>
      <c r="CW86" s="366">
        <f>IF(CU86=0,0,(CV86-CU86)/CU86*100)</f>
        <v>0</v>
      </c>
      <c r="CX86" s="2059"/>
      <c r="CY86" s="2059"/>
      <c r="CZ86" s="366">
        <f>IF(CX86=0,0,(CY86-CX86)/CX86*100)</f>
        <v>0</v>
      </c>
      <c r="DA86" s="2059"/>
      <c r="DB86" s="2059"/>
      <c r="DC86" s="366">
        <f>IF(DA86=0,0,(DB86-DA86)/DA86*100)</f>
        <v>0</v>
      </c>
      <c r="DD86" s="2059"/>
      <c r="DE86" s="2059"/>
      <c r="DF86" s="366">
        <f>IF(DD86=0,0,(DE86-DD86)/DD86*100)</f>
        <v>0</v>
      </c>
      <c r="DG86" s="2059"/>
      <c r="DH86" s="2059"/>
      <c r="DI86" s="366">
        <f>IF(DG86=0,0,(DH86-DG86)/DG86*100)</f>
        <v>0</v>
      </c>
      <c r="DJ86" s="2059"/>
      <c r="DK86" s="2059"/>
      <c r="DL86" s="366">
        <f>IF(DJ86=0,0,(DK86-DJ86)/DJ86*100)</f>
        <v>0</v>
      </c>
      <c r="DM86" s="2059"/>
      <c r="DN86" s="2059"/>
      <c r="DO86" s="366">
        <f>IF(DM86=0,0,(DN86-DM86)/DM86*100)</f>
        <v>0</v>
      </c>
      <c r="DP86" s="2059"/>
      <c r="DQ86" s="2059"/>
      <c r="DR86" s="366">
        <f>IF(DP86=0,0,(DQ86-DP86)/DP86*100)</f>
        <v>0</v>
      </c>
      <c r="DS86" s="2059"/>
      <c r="DT86" s="2059"/>
      <c r="DU86" s="366">
        <f>IF(DS86=0,0,(DT86-DS86)/DS86*100)</f>
        <v>0</v>
      </c>
      <c r="DV86" s="2059"/>
      <c r="DW86" s="2059"/>
      <c r="DX86" s="366">
        <f>IF(DV86=0,0,(DW86-DV86)/DV86*100)</f>
        <v>0</v>
      </c>
      <c r="DY86" s="2059"/>
      <c r="DZ86" s="2059"/>
      <c r="EA86" s="366">
        <f>IF(DY86=0,0,(DZ86-DY86)/DY86*100)</f>
        <v>0</v>
      </c>
      <c r="EB86" s="2059"/>
      <c r="EC86" s="2059"/>
      <c r="ED86" s="366">
        <f>IF(EB86=0,0,(EC86-EB86)/EB86*100)</f>
        <v>0</v>
      </c>
      <c r="EE86" s="2059"/>
      <c r="EF86" s="2059"/>
      <c r="EG86" s="366">
        <f>IF(EE86=0,0,(EF86-EE86)/EE86*100)</f>
        <v>0</v>
      </c>
      <c r="EH86" s="2059"/>
      <c r="EI86" s="2059"/>
      <c r="EJ86" s="366">
        <f>IF(EH86=0,0,(EI86-EH86)/EH86*100)</f>
        <v>0</v>
      </c>
      <c r="EK86" s="2059"/>
      <c r="EL86" s="2059"/>
      <c r="EM86" s="366">
        <f>IF(EK86=0,0,(EL86-EK86)/EK86*100)</f>
        <v>0</v>
      </c>
      <c r="EN86" s="2059"/>
      <c r="EO86" s="2059"/>
      <c r="EP86" s="366">
        <f>IF(EN86=0,0,(EO86-EN86)/EN86*100)</f>
        <v>0</v>
      </c>
      <c r="EQ86" s="2059"/>
      <c r="ER86" s="2059"/>
      <c r="ES86" s="366">
        <f>IF(EQ86=0,0,(ER86-EQ86)/EQ86*100)</f>
        <v>0</v>
      </c>
      <c r="ET86" s="2059"/>
      <c r="EU86" s="2059"/>
      <c r="EV86" s="366">
        <f>IF(ET86=0,0,(EU86-ET86)/ET86*100)</f>
        <v>0</v>
      </c>
      <c r="EW86" s="2059"/>
      <c r="EX86" s="2059"/>
      <c r="EY86" s="366">
        <f>IF(EW86=0,0,(EX86-EW86)/EW86*100)</f>
        <v>0</v>
      </c>
      <c r="EZ86" s="2059"/>
      <c r="FA86" s="2059"/>
      <c r="FB86" s="366">
        <f>IF(EZ86=0,0,(FA86-EZ86)/EZ86*100)</f>
        <v>0</v>
      </c>
      <c r="FC86" s="2059"/>
      <c r="FD86" s="2059"/>
      <c r="FE86" s="366">
        <f>IF(FC86=0,0,(FD86-FC86)/FC86*100)</f>
        <v>0</v>
      </c>
      <c r="FF86" s="2059"/>
      <c r="FG86" s="2059"/>
      <c r="FH86" s="366">
        <f>IF(FF86=0,0,(FG86-FF86)/FF86*100)</f>
        <v>0</v>
      </c>
      <c r="FI86" s="2059"/>
      <c r="FJ86" s="2059"/>
      <c r="FK86" s="366">
        <f>IF(FI86=0,0,(FJ86-FI86)/FI86*100)</f>
        <v>0</v>
      </c>
      <c r="FL86" s="2059"/>
      <c r="FM86" s="2059"/>
      <c r="FN86" s="366">
        <f>IF(FL86=0,0,(FM86-FL86)/FL86*100)</f>
        <v>0</v>
      </c>
      <c r="FO86" s="2059"/>
      <c r="FP86" s="2059"/>
      <c r="FQ86" s="366">
        <f>IF(FO86=0,0,(FP86-FO86)/FO86*100)</f>
        <v>0</v>
      </c>
      <c r="FR86" s="2059"/>
      <c r="FS86" s="2059"/>
      <c r="FT86" s="366">
        <f>IF(FR86=0,0,(FS86-FR86)/FR86*100)</f>
        <v>0</v>
      </c>
      <c r="FU86" s="2059"/>
      <c r="FV86" s="2059"/>
      <c r="FW86" s="366">
        <f>IF(FU86=0,0,(FV86-FU86)/FU86*100)</f>
        <v>0</v>
      </c>
      <c r="FX86" s="363"/>
      <c r="FY86" s="363"/>
      <c r="FZ86" s="1184" t="s">
        <v>2119</v>
      </c>
      <c r="GA86" s="1184"/>
      <c r="GB86" s="1184"/>
      <c r="GC86" s="1184"/>
      <c r="GD86" s="1184"/>
    </row>
    <row s="1632" customFormat="1" customHeight="1" ht="16.5">
      <c r="A87" s="1582"/>
      <c r="B87" s="964" cm="1" t="str">
        <f t="array" ref="B87:B87">B86</f>
        <v>true</v>
      </c>
      <c r="C87" s="1325" t="s">
        <v>1741</v>
      </c>
      <c r="D87" s="1294" t="s">
        <v>1742</v>
      </c>
      <c r="E87" s="797">
        <v>17.1</v>
      </c>
      <c r="F87" s="922" cm="1" t="str">
        <f t="array" ref="F87:F87">OFFSET(G87,-1,-1)</f>
        <v>1</v>
      </c>
      <c r="G87" s="500"/>
      <c r="H87" s="213" t="s">
        <v>504</v>
      </c>
      <c r="I87" s="213" t="s">
        <v>2120</v>
      </c>
      <c r="J87" s="1315" t="s">
        <v>2091</v>
      </c>
      <c r="K87" s="1315" cm="1" t="str">
        <f t="array" ref="K87:K87">OFFSET(J87,-1,1)</f>
        <v>ТЭ.42.28873685.0002</v>
      </c>
      <c r="L87" s="1315" t="s">
        <v>2101</v>
      </c>
      <c r="M87" s="1315"/>
      <c r="N87" s="1315" t="s">
        <v>2113</v>
      </c>
      <c r="O87" s="1316" t="s">
        <v>2114</v>
      </c>
      <c r="P87" s="1315"/>
      <c r="Q87" s="1315"/>
      <c r="R87" s="928"/>
      <c r="S87" s="500"/>
      <c r="T87" s="808" cm="1" t="str">
        <f t="array" ref="T87:T87">T86</f>
        <v>true</v>
      </c>
      <c r="U87" s="1582"/>
      <c r="V87" s="1582"/>
      <c r="W87" s="1582"/>
      <c r="X87" s="1582"/>
      <c r="Y87" s="1582"/>
      <c r="Z87" s="1582"/>
      <c r="AA87" s="500"/>
      <c r="AB87" s="1060" t="s">
        <v>2102</v>
      </c>
      <c r="AC87" s="172" t="s">
        <v>498</v>
      </c>
      <c r="AD87" s="1044">
        <f>IF(AD85=0,0,AD86/AD85)</f>
        <v>2.37031288896868</v>
      </c>
      <c r="AE87" s="1044">
        <f>IF(AE85=0,0,AE86/AE85)</f>
        <v>1.09999885898384</v>
      </c>
      <c r="AF87" s="400"/>
      <c r="AG87" s="1044">
        <f>IF(AG85=0,0,AG86/AG85)</f>
        <v>1</v>
      </c>
      <c r="AH87" s="1044">
        <f>IF(AH85=0,0,AH86/AH85)</f>
        <v>0</v>
      </c>
      <c r="AI87" s="400"/>
      <c r="AJ87" s="1044">
        <f>IF(AJ85=0,0,AJ86/AJ85)</f>
        <v>0</v>
      </c>
      <c r="AK87" s="1044">
        <f>IF(AK85=0,0,AK86/AK85)</f>
        <v>0</v>
      </c>
      <c r="AL87" s="400"/>
      <c r="AM87" s="1044">
        <f>IF(AM85=0,0,AM86/AM85)</f>
        <v>0</v>
      </c>
      <c r="AN87" s="1044">
        <f>IF(AN85=0,0,AN86/AN85)</f>
        <v>0</v>
      </c>
      <c r="AO87" s="400"/>
      <c r="AP87" s="1044">
        <f>IF(AP85=0,0,AP86/AP85)</f>
        <v>0</v>
      </c>
      <c r="AQ87" s="1044">
        <f>IF(AQ85=0,0,AQ86/AQ85)</f>
        <v>0</v>
      </c>
      <c r="AR87" s="400"/>
      <c r="AS87" s="1044">
        <f>IF(AS85=0,0,AS86/AS85)</f>
        <v>0</v>
      </c>
      <c r="AT87" s="1044">
        <f>IF(AT85=0,0,AT86/AT85)</f>
        <v>0</v>
      </c>
      <c r="AU87" s="400"/>
      <c r="AV87" s="1044">
        <f>IF(AV85=0,0,AV86/AV85)</f>
        <v>0</v>
      </c>
      <c r="AW87" s="1044">
        <f>IF(AW85=0,0,AW86/AW85)</f>
        <v>0</v>
      </c>
      <c r="AX87" s="400"/>
      <c r="AY87" s="1044">
        <f>IF(AY85=0,0,AY86/AY85)</f>
        <v>0</v>
      </c>
      <c r="AZ87" s="1044">
        <f>IF(AZ85=0,0,AZ86/AZ85)</f>
        <v>0</v>
      </c>
      <c r="BA87" s="400"/>
      <c r="BB87" s="1044">
        <f>IF(BB85=0,0,BB86/BB85)</f>
        <v>0</v>
      </c>
      <c r="BC87" s="1044">
        <f>IF(BC85=0,0,BC86/BC85)</f>
        <v>0</v>
      </c>
      <c r="BD87" s="400"/>
      <c r="BE87" s="1044">
        <f>IF(BE85=0,0,BE86/BE85)</f>
        <v>0</v>
      </c>
      <c r="BF87" s="1044">
        <f>IF(BF85=0,0,BF86/BF85)</f>
        <v>0</v>
      </c>
      <c r="BG87" s="400"/>
      <c r="BH87" s="1044">
        <f>IF(BH85=0,0,BH86/BH85)</f>
        <v>0</v>
      </c>
      <c r="BI87" s="1044">
        <f>IF(BI85=0,0,BI86/BI85)</f>
        <v>0</v>
      </c>
      <c r="BJ87" s="368"/>
      <c r="BK87" s="1044">
        <f>IF(BK85=0,0,BK86/BK85)</f>
        <v>0</v>
      </c>
      <c r="BL87" s="1044">
        <f>IF(BL85=0,0,BL86/BL85)</f>
        <v>0</v>
      </c>
      <c r="BM87" s="368"/>
      <c r="BN87" s="1044">
        <f>IF(BN85=0,0,BN86/BN85)</f>
        <v>0</v>
      </c>
      <c r="BO87" s="1044">
        <f>IF(BO85=0,0,BO86/BO85)</f>
        <v>0</v>
      </c>
      <c r="BP87" s="368"/>
      <c r="BQ87" s="1044">
        <f>IF(BQ85=0,0,BQ86/BQ85)</f>
        <v>0</v>
      </c>
      <c r="BR87" s="1044">
        <f>IF(BR85=0,0,BR86/BR85)</f>
        <v>0</v>
      </c>
      <c r="BS87" s="368"/>
      <c r="BT87" s="1044">
        <f>IF(BT85=0,0,BT86/BT85)</f>
        <v>0</v>
      </c>
      <c r="BU87" s="1044">
        <f>IF(BU85=0,0,BU86/BU85)</f>
        <v>0</v>
      </c>
      <c r="BV87" s="368"/>
      <c r="BW87" s="1044">
        <f>IF(BW85=0,0,BW86/BW85)</f>
        <v>0</v>
      </c>
      <c r="BX87" s="1044">
        <f>IF(BX85=0,0,BX86/BX85)</f>
        <v>0</v>
      </c>
      <c r="BY87" s="368"/>
      <c r="BZ87" s="1044">
        <f>IF(BZ85=0,0,BZ86/BZ85)</f>
        <v>0</v>
      </c>
      <c r="CA87" s="1044">
        <f>IF(CA85=0,0,CA86/CA85)</f>
        <v>0</v>
      </c>
      <c r="CB87" s="368"/>
      <c r="CC87" s="1044">
        <f>IF(CC85=0,0,CC86/CC85)</f>
        <v>0</v>
      </c>
      <c r="CD87" s="1044">
        <f>IF(CD85=0,0,CD86/CD85)</f>
        <v>0</v>
      </c>
      <c r="CE87" s="368"/>
      <c r="CF87" s="1044">
        <f>IF(CF85=0,0,CF86/CF85)</f>
        <v>0</v>
      </c>
      <c r="CG87" s="1044">
        <f>IF(CG85=0,0,CG86/CG85)</f>
        <v>0</v>
      </c>
      <c r="CH87" s="368"/>
      <c r="CI87" s="1044">
        <f>IF(CI85=0,0,CI86/CI85)</f>
        <v>0</v>
      </c>
      <c r="CJ87" s="1044">
        <f>IF(CJ85=0,0,CJ86/CJ85)</f>
        <v>0</v>
      </c>
      <c r="CK87" s="368"/>
      <c r="CL87" s="1044">
        <f>IF(CL85=0,0,CL86/CL85)</f>
        <v>0</v>
      </c>
      <c r="CM87" s="1044">
        <f>IF(CM85=0,0,CM86/CM85)</f>
        <v>0</v>
      </c>
      <c r="CN87" s="368"/>
      <c r="CO87" s="1044">
        <f>IF(CO85=0,0,CO86/CO85)</f>
        <v>0</v>
      </c>
      <c r="CP87" s="1044">
        <f>IF(CP85=0,0,CP86/CP85)</f>
        <v>0</v>
      </c>
      <c r="CQ87" s="368"/>
      <c r="CR87" s="1044">
        <f>IF(CR85=0,0,CR86/CR85)</f>
        <v>0</v>
      </c>
      <c r="CS87" s="1044">
        <f>IF(CS85=0,0,CS86/CS85)</f>
        <v>0</v>
      </c>
      <c r="CT87" s="368"/>
      <c r="CU87" s="1044">
        <f>IF(CU85=0,0,CU86/CU85)</f>
        <v>0</v>
      </c>
      <c r="CV87" s="1044">
        <f>IF(CV85=0,0,CV86/CV85)</f>
        <v>0</v>
      </c>
      <c r="CW87" s="368"/>
      <c r="CX87" s="1044">
        <f>IF(CX85=0,0,CX86/CX85)</f>
        <v>0</v>
      </c>
      <c r="CY87" s="1044">
        <f>IF(CY85=0,0,CY86/CY85)</f>
        <v>0</v>
      </c>
      <c r="CZ87" s="368"/>
      <c r="DA87" s="1044">
        <f>IF(DA85=0,0,DA86/DA85)</f>
        <v>0</v>
      </c>
      <c r="DB87" s="1044">
        <f>IF(DB85=0,0,DB86/DB85)</f>
        <v>0</v>
      </c>
      <c r="DC87" s="368"/>
      <c r="DD87" s="1044">
        <f>IF(DD85=0,0,DD86/DD85)</f>
        <v>0</v>
      </c>
      <c r="DE87" s="1044">
        <f>IF(DE85=0,0,DE86/DE85)</f>
        <v>0</v>
      </c>
      <c r="DF87" s="368"/>
      <c r="DG87" s="1044">
        <f>IF(DG85=0,0,DG86/DG85)</f>
        <v>0</v>
      </c>
      <c r="DH87" s="1044">
        <f>IF(DH85=0,0,DH86/DH85)</f>
        <v>0</v>
      </c>
      <c r="DI87" s="368"/>
      <c r="DJ87" s="1044">
        <f>IF(DJ85=0,0,DJ86/DJ85)</f>
        <v>0</v>
      </c>
      <c r="DK87" s="1044">
        <f>IF(DK85=0,0,DK86/DK85)</f>
        <v>0</v>
      </c>
      <c r="DL87" s="368"/>
      <c r="DM87" s="1044">
        <f>IF(DM85=0,0,DM86/DM85)</f>
        <v>0</v>
      </c>
      <c r="DN87" s="1044">
        <f>IF(DN85=0,0,DN86/DN85)</f>
        <v>0</v>
      </c>
      <c r="DO87" s="368"/>
      <c r="DP87" s="1044">
        <f>IF(DP85=0,0,DP86/DP85)</f>
        <v>0</v>
      </c>
      <c r="DQ87" s="1044">
        <f>IF(DQ85=0,0,DQ86/DQ85)</f>
        <v>0</v>
      </c>
      <c r="DR87" s="368"/>
      <c r="DS87" s="1044">
        <f>IF(DS85=0,0,DS86/DS85)</f>
        <v>0</v>
      </c>
      <c r="DT87" s="1044">
        <f>IF(DT85=0,0,DT86/DT85)</f>
        <v>0</v>
      </c>
      <c r="DU87" s="368"/>
      <c r="DV87" s="1044">
        <f>IF(DV85=0,0,DV86/DV85)</f>
        <v>0</v>
      </c>
      <c r="DW87" s="1044">
        <f>IF(DW85=0,0,DW86/DW85)</f>
        <v>0</v>
      </c>
      <c r="DX87" s="368"/>
      <c r="DY87" s="1044">
        <f>IF(DY85=0,0,DY86/DY85)</f>
        <v>0</v>
      </c>
      <c r="DZ87" s="1044">
        <f>IF(DZ85=0,0,DZ86/DZ85)</f>
        <v>0</v>
      </c>
      <c r="EA87" s="368"/>
      <c r="EB87" s="1044">
        <f>IF(EB85=0,0,EB86/EB85)</f>
        <v>0</v>
      </c>
      <c r="EC87" s="1044">
        <f>IF(EC85=0,0,EC86/EC85)</f>
        <v>0</v>
      </c>
      <c r="ED87" s="368"/>
      <c r="EE87" s="1044">
        <f>IF(EE85=0,0,EE86/EE85)</f>
        <v>0</v>
      </c>
      <c r="EF87" s="1044">
        <f>IF(EF85=0,0,EF86/EF85)</f>
        <v>0</v>
      </c>
      <c r="EG87" s="368"/>
      <c r="EH87" s="1044">
        <f>IF(EH85=0,0,EH86/EH85)</f>
        <v>0</v>
      </c>
      <c r="EI87" s="1044">
        <f>IF(EI85=0,0,EI86/EI85)</f>
        <v>0</v>
      </c>
      <c r="EJ87" s="368"/>
      <c r="EK87" s="1044">
        <f>IF(EK85=0,0,EK86/EK85)</f>
        <v>0</v>
      </c>
      <c r="EL87" s="1044">
        <f>IF(EL85=0,0,EL86/EL85)</f>
        <v>0</v>
      </c>
      <c r="EM87" s="368"/>
      <c r="EN87" s="1044">
        <f>IF(EN85=0,0,EN86/EN85)</f>
        <v>0</v>
      </c>
      <c r="EO87" s="1044">
        <f>IF(EO85=0,0,EO86/EO85)</f>
        <v>0</v>
      </c>
      <c r="EP87" s="368"/>
      <c r="EQ87" s="1044">
        <f>IF(EQ85=0,0,EQ86/EQ85)</f>
        <v>0</v>
      </c>
      <c r="ER87" s="1044">
        <f>IF(ER85=0,0,ER86/ER85)</f>
        <v>0</v>
      </c>
      <c r="ES87" s="368"/>
      <c r="ET87" s="1044">
        <f>IF(ET85=0,0,ET86/ET85)</f>
        <v>0</v>
      </c>
      <c r="EU87" s="1044">
        <f>IF(EU85=0,0,EU86/EU85)</f>
        <v>0</v>
      </c>
      <c r="EV87" s="368"/>
      <c r="EW87" s="1044">
        <f>IF(EW85=0,0,EW86/EW85)</f>
        <v>0</v>
      </c>
      <c r="EX87" s="1044">
        <f>IF(EX85=0,0,EX86/EX85)</f>
        <v>0</v>
      </c>
      <c r="EY87" s="368"/>
      <c r="EZ87" s="1044">
        <f>IF(EZ85=0,0,EZ86/EZ85)</f>
        <v>0</v>
      </c>
      <c r="FA87" s="1044">
        <f>IF(FA85=0,0,FA86/FA85)</f>
        <v>0</v>
      </c>
      <c r="FB87" s="368"/>
      <c r="FC87" s="1044">
        <f>IF(FC85=0,0,FC86/FC85)</f>
        <v>0</v>
      </c>
      <c r="FD87" s="1044">
        <f>IF(FD85=0,0,FD86/FD85)</f>
        <v>0</v>
      </c>
      <c r="FE87" s="368"/>
      <c r="FF87" s="1044">
        <f>IF(FF85=0,0,FF86/FF85)</f>
        <v>0</v>
      </c>
      <c r="FG87" s="1044">
        <f>IF(FG85=0,0,FG86/FG85)</f>
        <v>0</v>
      </c>
      <c r="FH87" s="368"/>
      <c r="FI87" s="1044">
        <f>IF(FI85=0,0,FI86/FI85)</f>
        <v>0</v>
      </c>
      <c r="FJ87" s="1044">
        <f>IF(FJ85=0,0,FJ86/FJ85)</f>
        <v>0</v>
      </c>
      <c r="FK87" s="368"/>
      <c r="FL87" s="1044">
        <f>IF(FL85=0,0,FL86/FL85)</f>
        <v>0</v>
      </c>
      <c r="FM87" s="1044">
        <f>IF(FM85=0,0,FM86/FM85)</f>
        <v>0</v>
      </c>
      <c r="FN87" s="368"/>
      <c r="FO87" s="1044">
        <f>IF(FO85=0,0,FO86/FO85)</f>
        <v>0</v>
      </c>
      <c r="FP87" s="1044">
        <f>IF(FP85=0,0,FP86/FP85)</f>
        <v>0</v>
      </c>
      <c r="FQ87" s="368"/>
      <c r="FR87" s="1044">
        <f>IF(FR85=0,0,FR86/FR85)</f>
        <v>0</v>
      </c>
      <c r="FS87" s="1044">
        <f>IF(FS85=0,0,FS86/FS85)</f>
        <v>0</v>
      </c>
      <c r="FT87" s="368"/>
      <c r="FU87" s="1044">
        <f>IF(FU85=0,0,FU86/FU85)</f>
        <v>0</v>
      </c>
      <c r="FV87" s="1044">
        <f>IF(FV85=0,0,FV86/FV85)</f>
        <v>0</v>
      </c>
      <c r="FW87" s="368"/>
      <c r="FX87" s="500"/>
      <c r="FY87" s="500"/>
      <c r="FZ87" s="1184" t="s">
        <v>2121</v>
      </c>
      <c r="GA87" s="1184"/>
      <c r="GB87" s="1184"/>
      <c r="GC87" s="1184"/>
      <c r="GD87" s="1184"/>
    </row>
    <row s="1632" customFormat="1" customHeight="1" ht="16.5">
      <c r="A88" s="1582"/>
      <c r="B88" s="964" cm="1" t="str">
        <f t="array" ref="B88:B88">B87</f>
        <v>true</v>
      </c>
      <c r="C88" s="1325" t="s">
        <v>1723</v>
      </c>
      <c r="D88" s="1294" t="s">
        <v>1724</v>
      </c>
      <c r="E88" s="797">
        <v>17.1</v>
      </c>
      <c r="F88" s="922" cm="1" t="str">
        <f t="array" ref="F88:F88">OFFSET(G88,-1,-1)</f>
        <v>1</v>
      </c>
      <c r="G88" s="193" t="s">
        <v>2122</v>
      </c>
      <c r="H88" s="213" t="s">
        <v>511</v>
      </c>
      <c r="I88" s="213" t="s">
        <v>2120</v>
      </c>
      <c r="J88" s="1315" t="s">
        <v>2091</v>
      </c>
      <c r="K88" s="1315" cm="1" t="str">
        <f t="array" ref="K88:K88">OFFSET(J88,-1,1)</f>
        <v>ТЭ.42.28873685.0002</v>
      </c>
      <c r="L88" s="1315" t="s">
        <v>2105</v>
      </c>
      <c r="M88" s="1315"/>
      <c r="N88" s="1315" t="s">
        <v>2113</v>
      </c>
      <c r="O88" s="1316" t="s">
        <v>2114</v>
      </c>
      <c r="P88" s="1315"/>
      <c r="Q88" s="1315"/>
      <c r="R88" s="928"/>
      <c r="S88" s="500"/>
      <c r="T88" s="808" cm="1" t="str">
        <f t="array" ref="T88:T88">T87</f>
        <v>true</v>
      </c>
      <c r="U88" s="1582"/>
      <c r="V88" s="1582"/>
      <c r="W88" s="1582"/>
      <c r="X88" s="1582"/>
      <c r="Y88" s="1582"/>
      <c r="Z88" s="1582"/>
      <c r="AA88" s="500"/>
      <c r="AB88" s="1060" t="s">
        <v>2123</v>
      </c>
      <c r="AC88" s="172" t="s">
        <v>599</v>
      </c>
      <c r="AD88" s="1868">
        <f>_xlfn.SUMIFS('Баланс Пр'!AI$27:AI$165,'Баланс Пр'!$F$27:$F$165,$F88,'Баланс Пр'!$AB$27:$AB$165,"9.1.2.3")</f>
        <v>1980.35</v>
      </c>
      <c r="AE88" s="1868">
        <f>_xlfn.SUMIFS('Баланс Пр'!AS$27:AS$165,'Баланс Пр'!$F$27:$F$165,$F88,'Баланс Пр'!$AB$27:$AB$165,"9.1.2.3")</f>
        <v>1980.25</v>
      </c>
      <c r="AF88" s="400">
        <f>IF(AD88=0,0,(AE88-AD88)/AD88*100)</f>
        <v>-0.00504961244224047</v>
      </c>
      <c r="AG88" s="1868">
        <f>_xlfn.SUMIFS('Баланс Пр'!AJ$27:AJ$165,'Баланс Пр'!$F$27:$F$165,$F88,'Баланс Пр'!$AB$27:$AB$165,"9.1.2.3")</f>
        <v>1980.25</v>
      </c>
      <c r="AH88" s="1868">
        <f>_xlfn.SUMIFS('Баланс Пр'!AT$27:AT$165,'Баланс Пр'!$F$27:$F$165,$F88,'Баланс Пр'!$AB$27:$AB$165,"9.1.2.3")</f>
        <v>0</v>
      </c>
      <c r="AI88" s="400">
        <f>IF(AG88=0,0,(AH88-AG88)/AG88*100)</f>
        <v>-100</v>
      </c>
      <c r="AJ88" s="1868">
        <f>_xlfn.SUMIFS('Баланс Пр'!AK$27:AK$165,'Баланс Пр'!$F$27:$F$165,$F88,'Баланс Пр'!$AB$27:$AB$165,"9.1.2.3")</f>
        <v>0</v>
      </c>
      <c r="AK88" s="1868">
        <f>_xlfn.SUMIFS('Баланс Пр'!AU$27:AU$165,'Баланс Пр'!$F$27:$F$165,$F88,'Баланс Пр'!$AB$27:$AB$165,"9.1.2.3")</f>
        <v>0</v>
      </c>
      <c r="AL88" s="400">
        <f>IF(AJ88=0,0,(AK88-AJ88)/AJ88*100)</f>
        <v>0</v>
      </c>
      <c r="AM88" s="1868">
        <f>_xlfn.SUMIFS('Баланс Пр'!AL$27:AL$165,'Баланс Пр'!$F$27:$F$165,$F88,'Баланс Пр'!$AB$27:$AB$165,"9.1.2.3")</f>
        <v>0</v>
      </c>
      <c r="AN88" s="1868">
        <f>_xlfn.SUMIFS('Баланс Пр'!AV$27:AV$165,'Баланс Пр'!$F$27:$F$165,$F88,'Баланс Пр'!$AB$27:$AB$165,"9.1.2.3")</f>
        <v>0</v>
      </c>
      <c r="AO88" s="400">
        <f>IF(AM88=0,0,(AN88-AM88)/AM88*100)</f>
        <v>0</v>
      </c>
      <c r="AP88" s="1868">
        <f>_xlfn.SUMIFS('Баланс Пр'!AM$27:AM$165,'Баланс Пр'!$F$27:$F$165,$F88,'Баланс Пр'!$AB$27:$AB$165,"9.1.2.3")</f>
        <v>0</v>
      </c>
      <c r="AQ88" s="1868">
        <f>_xlfn.SUMIFS('Баланс Пр'!AW$27:AW$165,'Баланс Пр'!$F$27:$F$165,$F88,'Баланс Пр'!$AB$27:$AB$165,"9.1.2.3")</f>
        <v>0</v>
      </c>
      <c r="AR88" s="400">
        <f>IF(AP88=0,0,(AQ88-AP88)/AP88*100)</f>
        <v>0</v>
      </c>
      <c r="AS88" s="1868">
        <f>_xlfn.SUMIFS('Баланс Пр'!AN$27:AN$165,'Баланс Пр'!$F$27:$F$165,$F88,'Баланс Пр'!$AB$27:$AB$165,"9.1.2.3")</f>
        <v>0</v>
      </c>
      <c r="AT88" s="1868">
        <f>_xlfn.SUMIFS('Баланс Пр'!AX$27:AX$165,'Баланс Пр'!$F$27:$F$165,$F88,'Баланс Пр'!$AB$27:$AB$165,"9.1.2.3")</f>
        <v>0</v>
      </c>
      <c r="AU88" s="400">
        <f>IF(AS88=0,0,(AT88-AS88)/AS88*100)</f>
        <v>0</v>
      </c>
      <c r="AV88" s="1868">
        <f>_xlfn.SUMIFS('Баланс Пр'!AO$27:AO$165,'Баланс Пр'!$F$27:$F$165,$F88,'Баланс Пр'!$AB$27:$AB$165,"9.1.2.3")</f>
        <v>0</v>
      </c>
      <c r="AW88" s="1868">
        <f>_xlfn.SUMIFS('Баланс Пр'!AY$27:AY$165,'Баланс Пр'!$F$27:$F$165,$F88,'Баланс Пр'!$AB$27:$AB$165,"9.1.2.3")</f>
        <v>0</v>
      </c>
      <c r="AX88" s="400">
        <f>IF(AV88=0,0,(AW88-AV88)/AV88*100)</f>
        <v>0</v>
      </c>
      <c r="AY88" s="1868">
        <f>_xlfn.SUMIFS('Баланс Пр'!AP$27:AP$165,'Баланс Пр'!$F$27:$F$165,$F88,'Баланс Пр'!$AB$27:$AB$165,"9.1.2.3")</f>
        <v>0</v>
      </c>
      <c r="AZ88" s="1868">
        <f>_xlfn.SUMIFS('Баланс Пр'!AZ$27:AZ$165,'Баланс Пр'!$F$27:$F$165,$F88,'Баланс Пр'!$AB$27:$AB$165,"9.1.2.3")</f>
        <v>0</v>
      </c>
      <c r="BA88" s="400">
        <f>IF(AY88=0,0,(AZ88-AY88)/AY88*100)</f>
        <v>0</v>
      </c>
      <c r="BB88" s="1868">
        <f>_xlfn.SUMIFS('Баланс Пр'!AQ$27:AQ$165,'Баланс Пр'!$F$27:$F$165,$F88,'Баланс Пр'!$AB$27:$AB$165,"9.1.2.3")</f>
        <v>0</v>
      </c>
      <c r="BC88" s="1868">
        <f>_xlfn.SUMIFS('Баланс Пр'!BA$27:BA$165,'Баланс Пр'!$F$27:$F$165,$F88,'Баланс Пр'!$AB$27:$AB$165,"9.1.2.3")</f>
        <v>0</v>
      </c>
      <c r="BD88" s="400">
        <f>IF(BB88=0,0,(BC88-BB88)/BB88*100)</f>
        <v>0</v>
      </c>
      <c r="BE88" s="1868">
        <f>_xlfn.SUMIFS('Баланс Пр'!AR$27:AR$165,'Баланс Пр'!$F$27:$F$165,$F88,'Баланс Пр'!$AB$27:$AB$165,"9.1.2.3")</f>
        <v>0</v>
      </c>
      <c r="BF88" s="1868">
        <f>_xlfn.SUMIFS('Баланс Пр'!BB$27:BB$165,'Баланс Пр'!$F$27:$F$165,$F88,'Баланс Пр'!$AB$27:$AB$165,"9.1.2.3")</f>
        <v>0</v>
      </c>
      <c r="BG88" s="400">
        <f>IF(BE88=0,0,(BF88-BE88)/BE88*100)</f>
        <v>0</v>
      </c>
      <c r="BH88" s="2061">
        <f>SUM(BH89:BH90)</f>
        <v>0</v>
      </c>
      <c r="BI88" s="2061">
        <f>SUM(BI89:BI90)</f>
        <v>0</v>
      </c>
      <c r="BJ88" s="400">
        <f>IF(BH88=0,0,(BI88-BH88)/BH88*100)</f>
        <v>0</v>
      </c>
      <c r="BK88" s="2061">
        <f>SUM(BK89:BK90)</f>
        <v>0</v>
      </c>
      <c r="BL88" s="2061">
        <f>SUM(BL89:BL90)</f>
        <v>0</v>
      </c>
      <c r="BM88" s="400">
        <f>IF(BK88=0,0,(BL88-BK88)/BK88*100)</f>
        <v>0</v>
      </c>
      <c r="BN88" s="2061">
        <f>SUM(BN89:BN90)</f>
        <v>0</v>
      </c>
      <c r="BO88" s="2061">
        <f>SUM(BO89:BO90)</f>
        <v>0</v>
      </c>
      <c r="BP88" s="400">
        <f>IF(BN88=0,0,(BO88-BN88)/BN88*100)</f>
        <v>0</v>
      </c>
      <c r="BQ88" s="2061">
        <f>SUM(BQ89:BQ90)</f>
        <v>0</v>
      </c>
      <c r="BR88" s="2061">
        <f>SUM(BR89:BR90)</f>
        <v>0</v>
      </c>
      <c r="BS88" s="400">
        <f>IF(BQ88=0,0,(BR88-BQ88)/BQ88*100)</f>
        <v>0</v>
      </c>
      <c r="BT88" s="2061">
        <f>SUM(BT89:BT90)</f>
        <v>0</v>
      </c>
      <c r="BU88" s="2061">
        <f>SUM(BU89:BU90)</f>
        <v>0</v>
      </c>
      <c r="BV88" s="400">
        <f>IF(BT88=0,0,(BU88-BT88)/BT88*100)</f>
        <v>0</v>
      </c>
      <c r="BW88" s="2061">
        <f>SUM(BW89:BW90)</f>
        <v>0</v>
      </c>
      <c r="BX88" s="2061">
        <f>SUM(BX89:BX90)</f>
        <v>0</v>
      </c>
      <c r="BY88" s="400">
        <f>IF(BW88=0,0,(BX88-BW88)/BW88*100)</f>
        <v>0</v>
      </c>
      <c r="BZ88" s="2061">
        <f>SUM(BZ89:BZ90)</f>
        <v>0</v>
      </c>
      <c r="CA88" s="2061">
        <f>SUM(CA89:CA90)</f>
        <v>0</v>
      </c>
      <c r="CB88" s="400">
        <f>IF(BZ88=0,0,(CA88-BZ88)/BZ88*100)</f>
        <v>0</v>
      </c>
      <c r="CC88" s="2061">
        <f>SUM(CC89:CC90)</f>
        <v>0</v>
      </c>
      <c r="CD88" s="2061">
        <f>SUM(CD89:CD90)</f>
        <v>0</v>
      </c>
      <c r="CE88" s="400">
        <f>IF(CC88=0,0,(CD88-CC88)/CC88*100)</f>
        <v>0</v>
      </c>
      <c r="CF88" s="2061">
        <f>SUM(CF89:CF90)</f>
        <v>0</v>
      </c>
      <c r="CG88" s="2061">
        <f>SUM(CG89:CG90)</f>
        <v>0</v>
      </c>
      <c r="CH88" s="400">
        <f>IF(CF88=0,0,(CG88-CF88)/CF88*100)</f>
        <v>0</v>
      </c>
      <c r="CI88" s="2061">
        <f>SUM(CI89:CI90)</f>
        <v>0</v>
      </c>
      <c r="CJ88" s="2061">
        <f>SUM(CJ89:CJ90)</f>
        <v>0</v>
      </c>
      <c r="CK88" s="400">
        <f>IF(CI88=0,0,(CJ88-CI88)/CI88*100)</f>
        <v>0</v>
      </c>
      <c r="CL88" s="2061">
        <f>SUM(CL89:CL90)</f>
        <v>0</v>
      </c>
      <c r="CM88" s="2061">
        <f>SUM(CM89:CM90)</f>
        <v>0</v>
      </c>
      <c r="CN88" s="400">
        <f>IF(CL88=0,0,(CM88-CL88)/CL88*100)</f>
        <v>0</v>
      </c>
      <c r="CO88" s="2061">
        <f>SUM(CO89:CO90)</f>
        <v>0</v>
      </c>
      <c r="CP88" s="2061">
        <f>SUM(CP89:CP90)</f>
        <v>0</v>
      </c>
      <c r="CQ88" s="400">
        <f>IF(CO88=0,0,(CP88-CO88)/CO88*100)</f>
        <v>0</v>
      </c>
      <c r="CR88" s="2061">
        <f>SUM(CR89:CR90)</f>
        <v>0</v>
      </c>
      <c r="CS88" s="2061">
        <f>SUM(CS89:CS90)</f>
        <v>0</v>
      </c>
      <c r="CT88" s="400">
        <f>IF(CR88=0,0,(CS88-CR88)/CR88*100)</f>
        <v>0</v>
      </c>
      <c r="CU88" s="2061">
        <f>SUM(CU89:CU90)</f>
        <v>0</v>
      </c>
      <c r="CV88" s="2061">
        <f>SUM(CV89:CV90)</f>
        <v>0</v>
      </c>
      <c r="CW88" s="400">
        <f>IF(CU88=0,0,(CV88-CU88)/CU88*100)</f>
        <v>0</v>
      </c>
      <c r="CX88" s="2061">
        <f>SUM(CX89:CX90)</f>
        <v>0</v>
      </c>
      <c r="CY88" s="2061">
        <f>SUM(CY89:CY90)</f>
        <v>0</v>
      </c>
      <c r="CZ88" s="400">
        <f>IF(CX88=0,0,(CY88-CX88)/CX88*100)</f>
        <v>0</v>
      </c>
      <c r="DA88" s="2061">
        <f>SUM(DA89:DA90)</f>
        <v>0</v>
      </c>
      <c r="DB88" s="2061">
        <f>SUM(DB89:DB90)</f>
        <v>0</v>
      </c>
      <c r="DC88" s="400">
        <f>IF(DA88=0,0,(DB88-DA88)/DA88*100)</f>
        <v>0</v>
      </c>
      <c r="DD88" s="2061">
        <f>SUM(DD89:DD90)</f>
        <v>0</v>
      </c>
      <c r="DE88" s="2061">
        <f>SUM(DE89:DE90)</f>
        <v>0</v>
      </c>
      <c r="DF88" s="400">
        <f>IF(DD88=0,0,(DE88-DD88)/DD88*100)</f>
        <v>0</v>
      </c>
      <c r="DG88" s="2061">
        <f>SUM(DG89:DG90)</f>
        <v>0</v>
      </c>
      <c r="DH88" s="2061">
        <f>SUM(DH89:DH90)</f>
        <v>0</v>
      </c>
      <c r="DI88" s="400">
        <f>IF(DG88=0,0,(DH88-DG88)/DG88*100)</f>
        <v>0</v>
      </c>
      <c r="DJ88" s="2061">
        <f>SUM(DJ89:DJ90)</f>
        <v>0</v>
      </c>
      <c r="DK88" s="2061">
        <f>SUM(DK89:DK90)</f>
        <v>0</v>
      </c>
      <c r="DL88" s="400">
        <f>IF(DJ88=0,0,(DK88-DJ88)/DJ88*100)</f>
        <v>0</v>
      </c>
      <c r="DM88" s="2061">
        <f>SUM(DM89:DM90)</f>
        <v>0</v>
      </c>
      <c r="DN88" s="2061">
        <f>SUM(DN89:DN90)</f>
        <v>0</v>
      </c>
      <c r="DO88" s="400">
        <f>IF(DM88=0,0,(DN88-DM88)/DM88*100)</f>
        <v>0</v>
      </c>
      <c r="DP88" s="2061">
        <f>SUM(DP89:DP90)</f>
        <v>0</v>
      </c>
      <c r="DQ88" s="2061">
        <f>SUM(DQ89:DQ90)</f>
        <v>0</v>
      </c>
      <c r="DR88" s="400">
        <f>IF(DP88=0,0,(DQ88-DP88)/DP88*100)</f>
        <v>0</v>
      </c>
      <c r="DS88" s="2061">
        <f>SUM(DS89:DS90)</f>
        <v>0</v>
      </c>
      <c r="DT88" s="2061">
        <f>SUM(DT89:DT90)</f>
        <v>0</v>
      </c>
      <c r="DU88" s="400">
        <f>IF(DS88=0,0,(DT88-DS88)/DS88*100)</f>
        <v>0</v>
      </c>
      <c r="DV88" s="2061">
        <f>SUM(DV89:DV90)</f>
        <v>0</v>
      </c>
      <c r="DW88" s="2061">
        <f>SUM(DW89:DW90)</f>
        <v>0</v>
      </c>
      <c r="DX88" s="400">
        <f>IF(DV88=0,0,(DW88-DV88)/DV88*100)</f>
        <v>0</v>
      </c>
      <c r="DY88" s="2061">
        <f>SUM(DY89:DY90)</f>
        <v>0</v>
      </c>
      <c r="DZ88" s="2061">
        <f>SUM(DZ89:DZ90)</f>
        <v>0</v>
      </c>
      <c r="EA88" s="400">
        <f>IF(DY88=0,0,(DZ88-DY88)/DY88*100)</f>
        <v>0</v>
      </c>
      <c r="EB88" s="2061">
        <f>SUM(EB89:EB90)</f>
        <v>0</v>
      </c>
      <c r="EC88" s="2061">
        <f>SUM(EC89:EC90)</f>
        <v>0</v>
      </c>
      <c r="ED88" s="400">
        <f>IF(EB88=0,0,(EC88-EB88)/EB88*100)</f>
        <v>0</v>
      </c>
      <c r="EE88" s="2061">
        <f>SUM(EE89:EE90)</f>
        <v>0</v>
      </c>
      <c r="EF88" s="2061">
        <f>SUM(EF89:EF90)</f>
        <v>0</v>
      </c>
      <c r="EG88" s="400">
        <f>IF(EE88=0,0,(EF88-EE88)/EE88*100)</f>
        <v>0</v>
      </c>
      <c r="EH88" s="2061">
        <f>SUM(EH89:EH90)</f>
        <v>0</v>
      </c>
      <c r="EI88" s="2061">
        <f>SUM(EI89:EI90)</f>
        <v>0</v>
      </c>
      <c r="EJ88" s="400">
        <f>IF(EH88=0,0,(EI88-EH88)/EH88*100)</f>
        <v>0</v>
      </c>
      <c r="EK88" s="2061">
        <f>SUM(EK89:EK90)</f>
        <v>0</v>
      </c>
      <c r="EL88" s="2061">
        <f>SUM(EL89:EL90)</f>
        <v>0</v>
      </c>
      <c r="EM88" s="400">
        <f>IF(EK88=0,0,(EL88-EK88)/EK88*100)</f>
        <v>0</v>
      </c>
      <c r="EN88" s="2061">
        <f>SUM(EN89:EN90)</f>
        <v>0</v>
      </c>
      <c r="EO88" s="2061">
        <f>SUM(EO89:EO90)</f>
        <v>0</v>
      </c>
      <c r="EP88" s="400">
        <f>IF(EN88=0,0,(EO88-EN88)/EN88*100)</f>
        <v>0</v>
      </c>
      <c r="EQ88" s="2061">
        <f>SUM(EQ89:EQ90)</f>
        <v>0</v>
      </c>
      <c r="ER88" s="2061">
        <f>SUM(ER89:ER90)</f>
        <v>0</v>
      </c>
      <c r="ES88" s="400">
        <f>IF(EQ88=0,0,(ER88-EQ88)/EQ88*100)</f>
        <v>0</v>
      </c>
      <c r="ET88" s="2061">
        <f>SUM(ET89:ET90)</f>
        <v>0</v>
      </c>
      <c r="EU88" s="2061">
        <f>SUM(EU89:EU90)</f>
        <v>0</v>
      </c>
      <c r="EV88" s="400">
        <f>IF(ET88=0,0,(EU88-ET88)/ET88*100)</f>
        <v>0</v>
      </c>
      <c r="EW88" s="2061">
        <f>SUM(EW89:EW90)</f>
        <v>0</v>
      </c>
      <c r="EX88" s="2061">
        <f>SUM(EX89:EX90)</f>
        <v>0</v>
      </c>
      <c r="EY88" s="400">
        <f>IF(EW88=0,0,(EX88-EW88)/EW88*100)</f>
        <v>0</v>
      </c>
      <c r="EZ88" s="2061">
        <f>SUM(EZ89:EZ90)</f>
        <v>0</v>
      </c>
      <c r="FA88" s="2061">
        <f>SUM(FA89:FA90)</f>
        <v>0</v>
      </c>
      <c r="FB88" s="400">
        <f>IF(EZ88=0,0,(FA88-EZ88)/EZ88*100)</f>
        <v>0</v>
      </c>
      <c r="FC88" s="2061">
        <f>SUM(FC89:FC90)</f>
        <v>0</v>
      </c>
      <c r="FD88" s="2061">
        <f>SUM(FD89:FD90)</f>
        <v>0</v>
      </c>
      <c r="FE88" s="400">
        <f>IF(FC88=0,0,(FD88-FC88)/FC88*100)</f>
        <v>0</v>
      </c>
      <c r="FF88" s="2061">
        <f>SUM(FF89:FF90)</f>
        <v>0</v>
      </c>
      <c r="FG88" s="2061">
        <f>SUM(FG89:FG90)</f>
        <v>0</v>
      </c>
      <c r="FH88" s="400">
        <f>IF(FF88=0,0,(FG88-FF88)/FF88*100)</f>
        <v>0</v>
      </c>
      <c r="FI88" s="2061">
        <f>SUM(FI89:FI90)</f>
        <v>0</v>
      </c>
      <c r="FJ88" s="2061">
        <f>SUM(FJ89:FJ90)</f>
        <v>0</v>
      </c>
      <c r="FK88" s="400">
        <f>IF(FI88=0,0,(FJ88-FI88)/FI88*100)</f>
        <v>0</v>
      </c>
      <c r="FL88" s="2061">
        <f>SUM(FL89:FL90)</f>
        <v>0</v>
      </c>
      <c r="FM88" s="2061">
        <f>SUM(FM89:FM90)</f>
        <v>0</v>
      </c>
      <c r="FN88" s="400">
        <f>IF(FL88=0,0,(FM88-FL88)/FL88*100)</f>
        <v>0</v>
      </c>
      <c r="FO88" s="2061">
        <f>SUM(FO89:FO90)</f>
        <v>0</v>
      </c>
      <c r="FP88" s="2061">
        <f>SUM(FP89:FP90)</f>
        <v>0</v>
      </c>
      <c r="FQ88" s="400">
        <f>IF(FO88=0,0,(FP88-FO88)/FO88*100)</f>
        <v>0</v>
      </c>
      <c r="FR88" s="2061">
        <f>SUM(FR89:FR90)</f>
        <v>0</v>
      </c>
      <c r="FS88" s="2061">
        <f>SUM(FS89:FS90)</f>
        <v>0</v>
      </c>
      <c r="FT88" s="400">
        <f>IF(FR88=0,0,(FS88-FR88)/FR88*100)</f>
        <v>0</v>
      </c>
      <c r="FU88" s="2061">
        <f>SUM(FU89:FU90)</f>
        <v>0</v>
      </c>
      <c r="FV88" s="2061">
        <f>SUM(FV89:FV90)</f>
        <v>0</v>
      </c>
      <c r="FW88" s="400">
        <f>IF(FU88=0,0,(FV88-FU88)/FU88*100)</f>
        <v>0</v>
      </c>
      <c r="FX88" s="500"/>
      <c r="FY88" s="500"/>
      <c r="FZ88" s="1184" t="s">
        <v>2124</v>
      </c>
      <c r="GA88" s="1184"/>
      <c r="GB88" s="1184"/>
      <c r="GC88" s="1184"/>
      <c r="GD88" s="1184"/>
    </row>
    <row s="1632" customFormat="1" customHeight="1" ht="16.5">
      <c r="A89" s="1582"/>
      <c r="B89" s="964" cm="1" t="str">
        <f t="array" ref="B89:B89">B88</f>
        <v>true</v>
      </c>
      <c r="C89" s="1325" t="s">
        <v>1723</v>
      </c>
      <c r="D89" s="1294" t="s">
        <v>1724</v>
      </c>
      <c r="E89" s="797">
        <v>17.1</v>
      </c>
      <c r="F89" s="922" cm="1" t="str">
        <f t="array" ref="F89:F89">OFFSET(G89,-1,-1)</f>
        <v>1</v>
      </c>
      <c r="G89" s="500"/>
      <c r="H89" s="500"/>
      <c r="I89" s="500"/>
      <c r="J89" s="1315" t="s">
        <v>2091</v>
      </c>
      <c r="K89" s="1315" cm="1" t="str">
        <f t="array" ref="K89:K89">OFFSET(J89,-1,1)</f>
        <v>ТЭ.42.28873685.0002</v>
      </c>
      <c r="L89" s="1315" t="s">
        <v>2105</v>
      </c>
      <c r="M89" s="1315" t="s">
        <v>1726</v>
      </c>
      <c r="N89" s="1315" t="s">
        <v>2113</v>
      </c>
      <c r="O89" s="1316" t="s">
        <v>2114</v>
      </c>
      <c r="P89" s="1315"/>
      <c r="Q89" s="1315"/>
      <c r="R89" s="928"/>
      <c r="S89" s="500"/>
      <c r="T89" s="808" cm="1" t="str">
        <f t="array" ref="T89:T89">T88</f>
        <v>true</v>
      </c>
      <c r="U89" s="1582"/>
      <c r="V89" s="1582"/>
      <c r="W89" s="1582"/>
      <c r="X89" s="1582"/>
      <c r="Y89" s="1582"/>
      <c r="Z89" s="1582"/>
      <c r="AA89" s="500"/>
      <c r="AB89" s="276" t="s">
        <v>2125</v>
      </c>
      <c r="AC89" s="678" t="s">
        <v>599</v>
      </c>
      <c r="AD89" s="1937">
        <v>1100.62295</v>
      </c>
      <c r="AE89" s="1937">
        <v>1100.62295</v>
      </c>
      <c r="AF89" s="693">
        <f>IF(AD89=0,0,(AE89-AD89)/AD89*100)</f>
        <v>0</v>
      </c>
      <c r="AG89" s="1937"/>
      <c r="AH89" s="1937"/>
      <c r="AI89" s="693">
        <f>IF(AG89=0,0,(AH89-AG89)/AG89*100)</f>
        <v>0</v>
      </c>
      <c r="AJ89" s="1937"/>
      <c r="AK89" s="1937"/>
      <c r="AL89" s="693">
        <f>IF(AJ89=0,0,(AK89-AJ89)/AJ89*100)</f>
        <v>0</v>
      </c>
      <c r="AM89" s="1937"/>
      <c r="AN89" s="1937"/>
      <c r="AO89" s="693">
        <f>IF(AM89=0,0,(AN89-AM89)/AM89*100)</f>
        <v>0</v>
      </c>
      <c r="AP89" s="1937"/>
      <c r="AQ89" s="1937"/>
      <c r="AR89" s="693">
        <f>IF(AP89=0,0,(AQ89-AP89)/AP89*100)</f>
        <v>0</v>
      </c>
      <c r="AS89" s="1937"/>
      <c r="AT89" s="1937"/>
      <c r="AU89" s="693">
        <f>IF(AS89=0,0,(AT89-AS89)/AS89*100)</f>
        <v>0</v>
      </c>
      <c r="AV89" s="1937"/>
      <c r="AW89" s="1937"/>
      <c r="AX89" s="693">
        <f>IF(AV89=0,0,(AW89-AV89)/AV89*100)</f>
        <v>0</v>
      </c>
      <c r="AY89" s="1937"/>
      <c r="AZ89" s="1937"/>
      <c r="BA89" s="693">
        <f>IF(AY89=0,0,(AZ89-AY89)/AY89*100)</f>
        <v>0</v>
      </c>
      <c r="BB89" s="1937"/>
      <c r="BC89" s="1937"/>
      <c r="BD89" s="693">
        <f>IF(BB89=0,0,(BC89-BB89)/BB89*100)</f>
        <v>0</v>
      </c>
      <c r="BE89" s="1937"/>
      <c r="BF89" s="1937"/>
      <c r="BG89" s="693">
        <f>IF(BE89=0,0,(BF89-BE89)/BE89*100)</f>
        <v>0</v>
      </c>
      <c r="BH89" s="1937"/>
      <c r="BI89" s="1937"/>
      <c r="BJ89" s="693">
        <f>IF(BH89=0,0,(BI89-BH89)/BH89*100)</f>
        <v>0</v>
      </c>
      <c r="BK89" s="1937"/>
      <c r="BL89" s="1937"/>
      <c r="BM89" s="693">
        <f>IF(BK89=0,0,(BL89-BK89)/BK89*100)</f>
        <v>0</v>
      </c>
      <c r="BN89" s="1937"/>
      <c r="BO89" s="1937"/>
      <c r="BP89" s="693">
        <f>IF(BN89=0,0,(BO89-BN89)/BN89*100)</f>
        <v>0</v>
      </c>
      <c r="BQ89" s="1937"/>
      <c r="BR89" s="1937"/>
      <c r="BS89" s="693">
        <f>IF(BQ89=0,0,(BR89-BQ89)/BQ89*100)</f>
        <v>0</v>
      </c>
      <c r="BT89" s="1937"/>
      <c r="BU89" s="1937"/>
      <c r="BV89" s="693">
        <f>IF(BT89=0,0,(BU89-BT89)/BT89*100)</f>
        <v>0</v>
      </c>
      <c r="BW89" s="1937"/>
      <c r="BX89" s="1937"/>
      <c r="BY89" s="693">
        <f>IF(BW89=0,0,(BX89-BW89)/BW89*100)</f>
        <v>0</v>
      </c>
      <c r="BZ89" s="1937"/>
      <c r="CA89" s="1937"/>
      <c r="CB89" s="693">
        <f>IF(BZ89=0,0,(CA89-BZ89)/BZ89*100)</f>
        <v>0</v>
      </c>
      <c r="CC89" s="1937"/>
      <c r="CD89" s="1937"/>
      <c r="CE89" s="693">
        <f>IF(CC89=0,0,(CD89-CC89)/CC89*100)</f>
        <v>0</v>
      </c>
      <c r="CF89" s="1937"/>
      <c r="CG89" s="1937"/>
      <c r="CH89" s="693">
        <f>IF(CF89=0,0,(CG89-CF89)/CF89*100)</f>
        <v>0</v>
      </c>
      <c r="CI89" s="1937"/>
      <c r="CJ89" s="1937"/>
      <c r="CK89" s="693">
        <f>IF(CI89=0,0,(CJ89-CI89)/CI89*100)</f>
        <v>0</v>
      </c>
      <c r="CL89" s="1937"/>
      <c r="CM89" s="1937"/>
      <c r="CN89" s="693">
        <f>IF(CL89=0,0,(CM89-CL89)/CL89*100)</f>
        <v>0</v>
      </c>
      <c r="CO89" s="1937"/>
      <c r="CP89" s="1937"/>
      <c r="CQ89" s="693">
        <f>IF(CO89=0,0,(CP89-CO89)/CO89*100)</f>
        <v>0</v>
      </c>
      <c r="CR89" s="1937"/>
      <c r="CS89" s="1937"/>
      <c r="CT89" s="693">
        <f>IF(CR89=0,0,(CS89-CR89)/CR89*100)</f>
        <v>0</v>
      </c>
      <c r="CU89" s="1937"/>
      <c r="CV89" s="1937"/>
      <c r="CW89" s="693">
        <f>IF(CU89=0,0,(CV89-CU89)/CU89*100)</f>
        <v>0</v>
      </c>
      <c r="CX89" s="1937"/>
      <c r="CY89" s="1937"/>
      <c r="CZ89" s="693">
        <f>IF(CX89=0,0,(CY89-CX89)/CX89*100)</f>
        <v>0</v>
      </c>
      <c r="DA89" s="1937"/>
      <c r="DB89" s="1937"/>
      <c r="DC89" s="693">
        <f>IF(DA89=0,0,(DB89-DA89)/DA89*100)</f>
        <v>0</v>
      </c>
      <c r="DD89" s="1937"/>
      <c r="DE89" s="1937"/>
      <c r="DF89" s="693">
        <f>IF(DD89=0,0,(DE89-DD89)/DD89*100)</f>
        <v>0</v>
      </c>
      <c r="DG89" s="1937"/>
      <c r="DH89" s="1937"/>
      <c r="DI89" s="693">
        <f>IF(DG89=0,0,(DH89-DG89)/DG89*100)</f>
        <v>0</v>
      </c>
      <c r="DJ89" s="1937"/>
      <c r="DK89" s="1937"/>
      <c r="DL89" s="693">
        <f>IF(DJ89=0,0,(DK89-DJ89)/DJ89*100)</f>
        <v>0</v>
      </c>
      <c r="DM89" s="1937"/>
      <c r="DN89" s="1937"/>
      <c r="DO89" s="693">
        <f>IF(DM89=0,0,(DN89-DM89)/DM89*100)</f>
        <v>0</v>
      </c>
      <c r="DP89" s="1937"/>
      <c r="DQ89" s="1937"/>
      <c r="DR89" s="693">
        <f>IF(DP89=0,0,(DQ89-DP89)/DP89*100)</f>
        <v>0</v>
      </c>
      <c r="DS89" s="1937"/>
      <c r="DT89" s="1937"/>
      <c r="DU89" s="693">
        <f>IF(DS89=0,0,(DT89-DS89)/DS89*100)</f>
        <v>0</v>
      </c>
      <c r="DV89" s="1937"/>
      <c r="DW89" s="1937"/>
      <c r="DX89" s="693">
        <f>IF(DV89=0,0,(DW89-DV89)/DV89*100)</f>
        <v>0</v>
      </c>
      <c r="DY89" s="1937"/>
      <c r="DZ89" s="1937"/>
      <c r="EA89" s="693">
        <f>IF(DY89=0,0,(DZ89-DY89)/DY89*100)</f>
        <v>0</v>
      </c>
      <c r="EB89" s="1937"/>
      <c r="EC89" s="1937"/>
      <c r="ED89" s="693">
        <f>IF(EB89=0,0,(EC89-EB89)/EB89*100)</f>
        <v>0</v>
      </c>
      <c r="EE89" s="1937"/>
      <c r="EF89" s="1937"/>
      <c r="EG89" s="693">
        <f>IF(EE89=0,0,(EF89-EE89)/EE89*100)</f>
        <v>0</v>
      </c>
      <c r="EH89" s="1937"/>
      <c r="EI89" s="1937"/>
      <c r="EJ89" s="693">
        <f>IF(EH89=0,0,(EI89-EH89)/EH89*100)</f>
        <v>0</v>
      </c>
      <c r="EK89" s="1937"/>
      <c r="EL89" s="1937"/>
      <c r="EM89" s="693">
        <f>IF(EK89=0,0,(EL89-EK89)/EK89*100)</f>
        <v>0</v>
      </c>
      <c r="EN89" s="1937"/>
      <c r="EO89" s="1937"/>
      <c r="EP89" s="693">
        <f>IF(EN89=0,0,(EO89-EN89)/EN89*100)</f>
        <v>0</v>
      </c>
      <c r="EQ89" s="1937"/>
      <c r="ER89" s="1937"/>
      <c r="ES89" s="693">
        <f>IF(EQ89=0,0,(ER89-EQ89)/EQ89*100)</f>
        <v>0</v>
      </c>
      <c r="ET89" s="1937"/>
      <c r="EU89" s="1937"/>
      <c r="EV89" s="693">
        <f>IF(ET89=0,0,(EU89-ET89)/ET89*100)</f>
        <v>0</v>
      </c>
      <c r="EW89" s="1937"/>
      <c r="EX89" s="1937"/>
      <c r="EY89" s="693">
        <f>IF(EW89=0,0,(EX89-EW89)/EW89*100)</f>
        <v>0</v>
      </c>
      <c r="EZ89" s="1937"/>
      <c r="FA89" s="1937"/>
      <c r="FB89" s="693">
        <f>IF(EZ89=0,0,(FA89-EZ89)/EZ89*100)</f>
        <v>0</v>
      </c>
      <c r="FC89" s="1937"/>
      <c r="FD89" s="1937"/>
      <c r="FE89" s="693">
        <f>IF(FC89=0,0,(FD89-FC89)/FC89*100)</f>
        <v>0</v>
      </c>
      <c r="FF89" s="1937"/>
      <c r="FG89" s="1937"/>
      <c r="FH89" s="693">
        <f>IF(FF89=0,0,(FG89-FF89)/FF89*100)</f>
        <v>0</v>
      </c>
      <c r="FI89" s="1937"/>
      <c r="FJ89" s="1937"/>
      <c r="FK89" s="693">
        <f>IF(FI89=0,0,(FJ89-FI89)/FI89*100)</f>
        <v>0</v>
      </c>
      <c r="FL89" s="1937"/>
      <c r="FM89" s="1937"/>
      <c r="FN89" s="693">
        <f>IF(FL89=0,0,(FM89-FL89)/FL89*100)</f>
        <v>0</v>
      </c>
      <c r="FO89" s="1937"/>
      <c r="FP89" s="1937"/>
      <c r="FQ89" s="693">
        <f>IF(FO89=0,0,(FP89-FO89)/FO89*100)</f>
        <v>0</v>
      </c>
      <c r="FR89" s="1937"/>
      <c r="FS89" s="1937"/>
      <c r="FT89" s="693">
        <f>IF(FR89=0,0,(FS89-FR89)/FR89*100)</f>
        <v>0</v>
      </c>
      <c r="FU89" s="1937"/>
      <c r="FV89" s="1937"/>
      <c r="FW89" s="693">
        <f>IF(FU89=0,0,(FV89-FU89)/FU89*100)</f>
        <v>0</v>
      </c>
      <c r="FX89" s="500"/>
      <c r="FY89" s="500"/>
      <c r="FZ89" s="1184" t="s">
        <v>2126</v>
      </c>
      <c r="GA89" s="1184"/>
      <c r="GB89" s="1184"/>
      <c r="GC89" s="1184"/>
      <c r="GD89" s="1184"/>
    </row>
    <row s="1632" customFormat="1" customHeight="1" ht="16.5">
      <c r="A90" s="1582"/>
      <c r="B90" s="964" cm="1" t="str">
        <f t="array" ref="B90:B90">B89</f>
        <v>true</v>
      </c>
      <c r="C90" s="1325" t="s">
        <v>1723</v>
      </c>
      <c r="D90" s="1294" t="s">
        <v>1724</v>
      </c>
      <c r="E90" s="797">
        <v>17.1</v>
      </c>
      <c r="F90" s="922" cm="1" t="str">
        <f t="array" ref="F90:F90">OFFSET(G90,-1,-1)</f>
        <v>1</v>
      </c>
      <c r="G90" s="500"/>
      <c r="H90" s="500"/>
      <c r="I90" s="500"/>
      <c r="J90" s="1315" t="s">
        <v>2091</v>
      </c>
      <c r="K90" s="1315" cm="1" t="str">
        <f t="array" ref="K90:K90">OFFSET(J90,-1,1)</f>
        <v>ТЭ.42.28873685.0002</v>
      </c>
      <c r="L90" s="1315" t="s">
        <v>2105</v>
      </c>
      <c r="M90" s="1315" t="s">
        <v>1735</v>
      </c>
      <c r="N90" s="1315" t="s">
        <v>2113</v>
      </c>
      <c r="O90" s="1316" t="s">
        <v>2114</v>
      </c>
      <c r="P90" s="1315"/>
      <c r="Q90" s="1315"/>
      <c r="R90" s="928"/>
      <c r="S90" s="500"/>
      <c r="T90" s="808" cm="1" t="str">
        <f t="array" ref="T90:T90">T89</f>
        <v>true</v>
      </c>
      <c r="U90" s="1582"/>
      <c r="V90" s="1582"/>
      <c r="W90" s="1582"/>
      <c r="X90" s="1582"/>
      <c r="Y90" s="1582"/>
      <c r="Z90" s="1582"/>
      <c r="AA90" s="500"/>
      <c r="AB90" s="276" t="s">
        <v>2127</v>
      </c>
      <c r="AC90" s="678" t="s">
        <v>599</v>
      </c>
      <c r="AD90" s="1937">
        <v>879.72705</v>
      </c>
      <c r="AE90" s="1937">
        <v>879.62705</v>
      </c>
      <c r="AF90" s="693">
        <f>IF(AD90=0,0,(AE90-AD90)/AD90*100)</f>
        <v>-0.0113671621214681</v>
      </c>
      <c r="AG90" s="1937"/>
      <c r="AH90" s="1937"/>
      <c r="AI90" s="693">
        <f>IF(AG90=0,0,(AH90-AG90)/AG90*100)</f>
        <v>0</v>
      </c>
      <c r="AJ90" s="1937"/>
      <c r="AK90" s="1937"/>
      <c r="AL90" s="693">
        <f>IF(AJ90=0,0,(AK90-AJ90)/AJ90*100)</f>
        <v>0</v>
      </c>
      <c r="AM90" s="1937"/>
      <c r="AN90" s="1937"/>
      <c r="AO90" s="693">
        <f>IF(AM90=0,0,(AN90-AM90)/AM90*100)</f>
        <v>0</v>
      </c>
      <c r="AP90" s="1937"/>
      <c r="AQ90" s="1937"/>
      <c r="AR90" s="693">
        <f>IF(AP90=0,0,(AQ90-AP90)/AP90*100)</f>
        <v>0</v>
      </c>
      <c r="AS90" s="1937"/>
      <c r="AT90" s="1937"/>
      <c r="AU90" s="693">
        <f>IF(AS90=0,0,(AT90-AS90)/AS90*100)</f>
        <v>0</v>
      </c>
      <c r="AV90" s="1937"/>
      <c r="AW90" s="1937"/>
      <c r="AX90" s="693">
        <f>IF(AV90=0,0,(AW90-AV90)/AV90*100)</f>
        <v>0</v>
      </c>
      <c r="AY90" s="1937"/>
      <c r="AZ90" s="1937"/>
      <c r="BA90" s="693">
        <f>IF(AY90=0,0,(AZ90-AY90)/AY90*100)</f>
        <v>0</v>
      </c>
      <c r="BB90" s="1937"/>
      <c r="BC90" s="1937"/>
      <c r="BD90" s="693">
        <f>IF(BB90=0,0,(BC90-BB90)/BB90*100)</f>
        <v>0</v>
      </c>
      <c r="BE90" s="1937"/>
      <c r="BF90" s="1937"/>
      <c r="BG90" s="693">
        <f>IF(BE90=0,0,(BF90-BE90)/BE90*100)</f>
        <v>0</v>
      </c>
      <c r="BH90" s="1937"/>
      <c r="BI90" s="1937"/>
      <c r="BJ90" s="693">
        <f>IF(BH90=0,0,(BI90-BH90)/BH90*100)</f>
        <v>0</v>
      </c>
      <c r="BK90" s="1937"/>
      <c r="BL90" s="1937"/>
      <c r="BM90" s="693">
        <f>IF(BK90=0,0,(BL90-BK90)/BK90*100)</f>
        <v>0</v>
      </c>
      <c r="BN90" s="1937"/>
      <c r="BO90" s="1937"/>
      <c r="BP90" s="693">
        <f>IF(BN90=0,0,(BO90-BN90)/BN90*100)</f>
        <v>0</v>
      </c>
      <c r="BQ90" s="1937"/>
      <c r="BR90" s="1937"/>
      <c r="BS90" s="693">
        <f>IF(BQ90=0,0,(BR90-BQ90)/BQ90*100)</f>
        <v>0</v>
      </c>
      <c r="BT90" s="1937"/>
      <c r="BU90" s="1937"/>
      <c r="BV90" s="693">
        <f>IF(BT90=0,0,(BU90-BT90)/BT90*100)</f>
        <v>0</v>
      </c>
      <c r="BW90" s="1937"/>
      <c r="BX90" s="1937"/>
      <c r="BY90" s="693">
        <f>IF(BW90=0,0,(BX90-BW90)/BW90*100)</f>
        <v>0</v>
      </c>
      <c r="BZ90" s="1937"/>
      <c r="CA90" s="1937"/>
      <c r="CB90" s="693">
        <f>IF(BZ90=0,0,(CA90-BZ90)/BZ90*100)</f>
        <v>0</v>
      </c>
      <c r="CC90" s="1937"/>
      <c r="CD90" s="1937"/>
      <c r="CE90" s="693">
        <f>IF(CC90=0,0,(CD90-CC90)/CC90*100)</f>
        <v>0</v>
      </c>
      <c r="CF90" s="1937"/>
      <c r="CG90" s="1937"/>
      <c r="CH90" s="693">
        <f>IF(CF90=0,0,(CG90-CF90)/CF90*100)</f>
        <v>0</v>
      </c>
      <c r="CI90" s="1937"/>
      <c r="CJ90" s="1937"/>
      <c r="CK90" s="693">
        <f>IF(CI90=0,0,(CJ90-CI90)/CI90*100)</f>
        <v>0</v>
      </c>
      <c r="CL90" s="1937"/>
      <c r="CM90" s="1937"/>
      <c r="CN90" s="693">
        <f>IF(CL90=0,0,(CM90-CL90)/CL90*100)</f>
        <v>0</v>
      </c>
      <c r="CO90" s="1937"/>
      <c r="CP90" s="1937"/>
      <c r="CQ90" s="693">
        <f>IF(CO90=0,0,(CP90-CO90)/CO90*100)</f>
        <v>0</v>
      </c>
      <c r="CR90" s="1937"/>
      <c r="CS90" s="1937"/>
      <c r="CT90" s="693">
        <f>IF(CR90=0,0,(CS90-CR90)/CR90*100)</f>
        <v>0</v>
      </c>
      <c r="CU90" s="1937"/>
      <c r="CV90" s="1937"/>
      <c r="CW90" s="693">
        <f>IF(CU90=0,0,(CV90-CU90)/CU90*100)</f>
        <v>0</v>
      </c>
      <c r="CX90" s="1937"/>
      <c r="CY90" s="1937"/>
      <c r="CZ90" s="693">
        <f>IF(CX90=0,0,(CY90-CX90)/CX90*100)</f>
        <v>0</v>
      </c>
      <c r="DA90" s="1937"/>
      <c r="DB90" s="1937"/>
      <c r="DC90" s="693">
        <f>IF(DA90=0,0,(DB90-DA90)/DA90*100)</f>
        <v>0</v>
      </c>
      <c r="DD90" s="1937"/>
      <c r="DE90" s="1937"/>
      <c r="DF90" s="693">
        <f>IF(DD90=0,0,(DE90-DD90)/DD90*100)</f>
        <v>0</v>
      </c>
      <c r="DG90" s="1937"/>
      <c r="DH90" s="1937"/>
      <c r="DI90" s="693">
        <f>IF(DG90=0,0,(DH90-DG90)/DG90*100)</f>
        <v>0</v>
      </c>
      <c r="DJ90" s="1937"/>
      <c r="DK90" s="1937"/>
      <c r="DL90" s="693">
        <f>IF(DJ90=0,0,(DK90-DJ90)/DJ90*100)</f>
        <v>0</v>
      </c>
      <c r="DM90" s="1937"/>
      <c r="DN90" s="1937"/>
      <c r="DO90" s="693">
        <f>IF(DM90=0,0,(DN90-DM90)/DM90*100)</f>
        <v>0</v>
      </c>
      <c r="DP90" s="1937"/>
      <c r="DQ90" s="1937"/>
      <c r="DR90" s="693">
        <f>IF(DP90=0,0,(DQ90-DP90)/DP90*100)</f>
        <v>0</v>
      </c>
      <c r="DS90" s="1937"/>
      <c r="DT90" s="1937"/>
      <c r="DU90" s="693">
        <f>IF(DS90=0,0,(DT90-DS90)/DS90*100)</f>
        <v>0</v>
      </c>
      <c r="DV90" s="1937"/>
      <c r="DW90" s="1937"/>
      <c r="DX90" s="693">
        <f>IF(DV90=0,0,(DW90-DV90)/DV90*100)</f>
        <v>0</v>
      </c>
      <c r="DY90" s="1937"/>
      <c r="DZ90" s="1937"/>
      <c r="EA90" s="693">
        <f>IF(DY90=0,0,(DZ90-DY90)/DY90*100)</f>
        <v>0</v>
      </c>
      <c r="EB90" s="1937"/>
      <c r="EC90" s="1937"/>
      <c r="ED90" s="693">
        <f>IF(EB90=0,0,(EC90-EB90)/EB90*100)</f>
        <v>0</v>
      </c>
      <c r="EE90" s="1937"/>
      <c r="EF90" s="1937"/>
      <c r="EG90" s="693">
        <f>IF(EE90=0,0,(EF90-EE90)/EE90*100)</f>
        <v>0</v>
      </c>
      <c r="EH90" s="1937"/>
      <c r="EI90" s="1937"/>
      <c r="EJ90" s="693">
        <f>IF(EH90=0,0,(EI90-EH90)/EH90*100)</f>
        <v>0</v>
      </c>
      <c r="EK90" s="1937"/>
      <c r="EL90" s="1937"/>
      <c r="EM90" s="693">
        <f>IF(EK90=0,0,(EL90-EK90)/EK90*100)</f>
        <v>0</v>
      </c>
      <c r="EN90" s="1937"/>
      <c r="EO90" s="1937"/>
      <c r="EP90" s="693">
        <f>IF(EN90=0,0,(EO90-EN90)/EN90*100)</f>
        <v>0</v>
      </c>
      <c r="EQ90" s="1937"/>
      <c r="ER90" s="1937"/>
      <c r="ES90" s="693">
        <f>IF(EQ90=0,0,(ER90-EQ90)/EQ90*100)</f>
        <v>0</v>
      </c>
      <c r="ET90" s="1937"/>
      <c r="EU90" s="1937"/>
      <c r="EV90" s="693">
        <f>IF(ET90=0,0,(EU90-ET90)/ET90*100)</f>
        <v>0</v>
      </c>
      <c r="EW90" s="1937"/>
      <c r="EX90" s="1937"/>
      <c r="EY90" s="693">
        <f>IF(EW90=0,0,(EX90-EW90)/EW90*100)</f>
        <v>0</v>
      </c>
      <c r="EZ90" s="1937"/>
      <c r="FA90" s="1937"/>
      <c r="FB90" s="693">
        <f>IF(EZ90=0,0,(FA90-EZ90)/EZ90*100)</f>
        <v>0</v>
      </c>
      <c r="FC90" s="1937"/>
      <c r="FD90" s="1937"/>
      <c r="FE90" s="693">
        <f>IF(FC90=0,0,(FD90-FC90)/FC90*100)</f>
        <v>0</v>
      </c>
      <c r="FF90" s="1937"/>
      <c r="FG90" s="1937"/>
      <c r="FH90" s="693">
        <f>IF(FF90=0,0,(FG90-FF90)/FF90*100)</f>
        <v>0</v>
      </c>
      <c r="FI90" s="1937"/>
      <c r="FJ90" s="1937"/>
      <c r="FK90" s="693">
        <f>IF(FI90=0,0,(FJ90-FI90)/FI90*100)</f>
        <v>0</v>
      </c>
      <c r="FL90" s="1937"/>
      <c r="FM90" s="1937"/>
      <c r="FN90" s="693">
        <f>IF(FL90=0,0,(FM90-FL90)/FL90*100)</f>
        <v>0</v>
      </c>
      <c r="FO90" s="1937"/>
      <c r="FP90" s="1937"/>
      <c r="FQ90" s="693">
        <f>IF(FO90=0,0,(FP90-FO90)/FO90*100)</f>
        <v>0</v>
      </c>
      <c r="FR90" s="1937"/>
      <c r="FS90" s="1937"/>
      <c r="FT90" s="693">
        <f>IF(FR90=0,0,(FS90-FR90)/FR90*100)</f>
        <v>0</v>
      </c>
      <c r="FU90" s="1937"/>
      <c r="FV90" s="1937"/>
      <c r="FW90" s="693">
        <f>IF(FU90=0,0,(FV90-FU90)/FU90*100)</f>
        <v>0</v>
      </c>
      <c r="FX90" s="500"/>
      <c r="FY90" s="500"/>
      <c r="FZ90" s="1184" t="s">
        <v>2128</v>
      </c>
      <c r="GA90" s="1184"/>
      <c r="GB90" s="1184"/>
      <c r="GC90" s="1184"/>
      <c r="GD90" s="1184"/>
    </row>
    <row s="1390" customFormat="1" customHeight="1" ht="16.5" hidden="1">
      <c r="A91" s="1390"/>
      <c r="B91" s="964" cm="1" t="str">
        <f t="array" ref="B91:B91">OFFSET(A91,-1,1)</f>
        <v>true</v>
      </c>
      <c r="C91" s="1325" t="s">
        <v>2110</v>
      </c>
      <c r="D91" s="1294" t="s">
        <v>2111</v>
      </c>
      <c r="E91" s="797">
        <v>17.1</v>
      </c>
      <c r="F91" s="922" cm="1" t="str">
        <f t="array" ref="F91:F91">OFFSET(G91,-1,-1)</f>
        <v>1</v>
      </c>
      <c r="G91" s="1390"/>
      <c r="H91" s="1390"/>
      <c r="I91" s="1390"/>
      <c r="J91" s="1315" t="s">
        <v>2091</v>
      </c>
      <c r="K91" s="1315" cm="1" t="str">
        <f t="array" ref="K91:K91">OFFSET(J91,-1,1)</f>
        <v>ТЭ.42.28873685.0002</v>
      </c>
      <c r="L91" s="1315"/>
      <c r="M91" s="1315"/>
      <c r="N91" s="1315" t="s">
        <v>2113</v>
      </c>
      <c r="O91" s="1316" t="s">
        <v>2114</v>
      </c>
      <c r="P91" s="1315"/>
      <c r="Q91" s="1315" cm="1" t="str">
        <f t="array" ref="Q91:Q91">AB91</f>
        <v>0</v>
      </c>
      <c r="R91" s="1390"/>
      <c r="S91" s="1390"/>
      <c r="T91" s="808">
        <f>AND(OFFSET(S91,1,1),Y91&gt;0)</f>
        <v>0</v>
      </c>
      <c r="U91" s="1390"/>
      <c r="V91" s="1390"/>
      <c r="W91" s="175" t="s">
        <v>234</v>
      </c>
      <c r="X91" s="1390"/>
      <c r="Y91" s="175">
        <v>0</v>
      </c>
      <c r="Z91" s="1390"/>
      <c r="AA91" s="1415" t="s">
        <v>218</v>
      </c>
      <c r="AB91" s="149"/>
      <c r="AC91" s="678" t="s">
        <v>900</v>
      </c>
      <c r="AD91" s="114"/>
      <c r="AE91" s="114"/>
      <c r="AF91" s="693">
        <f>IF(AD91=0,0,(AE91-AD91)/AD91*100)</f>
        <v>0</v>
      </c>
      <c r="AG91" s="114"/>
      <c r="AH91" s="114"/>
      <c r="AI91" s="693">
        <f>IF(AG91=0,0,(AH91-AG91)/AG91*100)</f>
        <v>0</v>
      </c>
      <c r="AJ91" s="114"/>
      <c r="AK91" s="114"/>
      <c r="AL91" s="693">
        <f>IF(AJ91=0,0,(AK91-AJ91)/AJ91*100)</f>
        <v>0</v>
      </c>
      <c r="AM91" s="114"/>
      <c r="AN91" s="114"/>
      <c r="AO91" s="693">
        <f>IF(AM91=0,0,(AN91-AM91)/AM91*100)</f>
        <v>0</v>
      </c>
      <c r="AP91" s="114"/>
      <c r="AQ91" s="114"/>
      <c r="AR91" s="693">
        <f>IF(AP91=0,0,(AQ91-AP91)/AP91*100)</f>
        <v>0</v>
      </c>
      <c r="AS91" s="114"/>
      <c r="AT91" s="114"/>
      <c r="AU91" s="693">
        <f>IF(AS91=0,0,(AT91-AS91)/AS91*100)</f>
        <v>0</v>
      </c>
      <c r="AV91" s="114"/>
      <c r="AW91" s="114"/>
      <c r="AX91" s="693">
        <f>IF(AV91=0,0,(AW91-AV91)/AV91*100)</f>
        <v>0</v>
      </c>
      <c r="AY91" s="114"/>
      <c r="AZ91" s="114"/>
      <c r="BA91" s="693">
        <f>IF(AY91=0,0,(AZ91-AY91)/AY91*100)</f>
        <v>0</v>
      </c>
      <c r="BB91" s="114"/>
      <c r="BC91" s="114"/>
      <c r="BD91" s="693">
        <f>IF(BB91=0,0,(BC91-BB91)/BB91*100)</f>
        <v>0</v>
      </c>
      <c r="BE91" s="114"/>
      <c r="BF91" s="114"/>
      <c r="BG91" s="693">
        <f>IF(BE91=0,0,(BF91-BE91)/BE91*100)</f>
        <v>0</v>
      </c>
      <c r="BH91" s="114"/>
      <c r="BI91" s="114"/>
      <c r="BJ91" s="693">
        <f>IF(BH91=0,0,(BI91-BH91)/BH91*100)</f>
        <v>0</v>
      </c>
      <c r="BK91" s="114"/>
      <c r="BL91" s="114"/>
      <c r="BM91" s="693">
        <f>IF(BK91=0,0,(BL91-BK91)/BK91*100)</f>
        <v>0</v>
      </c>
      <c r="BN91" s="114"/>
      <c r="BO91" s="114"/>
      <c r="BP91" s="693">
        <f>IF(BN91=0,0,(BO91-BN91)/BN91*100)</f>
        <v>0</v>
      </c>
      <c r="BQ91" s="114"/>
      <c r="BR91" s="114"/>
      <c r="BS91" s="693">
        <f>IF(BQ91=0,0,(BR91-BQ91)/BQ91*100)</f>
        <v>0</v>
      </c>
      <c r="BT91" s="114"/>
      <c r="BU91" s="114"/>
      <c r="BV91" s="693">
        <f>IF(BT91=0,0,(BU91-BT91)/BT91*100)</f>
        <v>0</v>
      </c>
      <c r="BW91" s="114"/>
      <c r="BX91" s="114"/>
      <c r="BY91" s="693">
        <f>IF(BW91=0,0,(BX91-BW91)/BW91*100)</f>
        <v>0</v>
      </c>
      <c r="BZ91" s="114"/>
      <c r="CA91" s="114"/>
      <c r="CB91" s="693">
        <f>IF(BZ91=0,0,(CA91-BZ91)/BZ91*100)</f>
        <v>0</v>
      </c>
      <c r="CC91" s="114"/>
      <c r="CD91" s="114"/>
      <c r="CE91" s="693">
        <f>IF(CC91=0,0,(CD91-CC91)/CC91*100)</f>
        <v>0</v>
      </c>
      <c r="CF91" s="114"/>
      <c r="CG91" s="114"/>
      <c r="CH91" s="693">
        <f>IF(CF91=0,0,(CG91-CF91)/CF91*100)</f>
        <v>0</v>
      </c>
      <c r="CI91" s="114"/>
      <c r="CJ91" s="114"/>
      <c r="CK91" s="693">
        <f>IF(CI91=0,0,(CJ91-CI91)/CI91*100)</f>
        <v>0</v>
      </c>
      <c r="CL91" s="114"/>
      <c r="CM91" s="114"/>
      <c r="CN91" s="693">
        <f>IF(CL91=0,0,(CM91-CL91)/CL91*100)</f>
        <v>0</v>
      </c>
      <c r="CO91" s="114"/>
      <c r="CP91" s="114"/>
      <c r="CQ91" s="693">
        <f>IF(CO91=0,0,(CP91-CO91)/CO91*100)</f>
        <v>0</v>
      </c>
      <c r="CR91" s="114"/>
      <c r="CS91" s="114"/>
      <c r="CT91" s="693">
        <f>IF(CR91=0,0,(CS91-CR91)/CR91*100)</f>
        <v>0</v>
      </c>
      <c r="CU91" s="114"/>
      <c r="CV91" s="114"/>
      <c r="CW91" s="693">
        <f>IF(CU91=0,0,(CV91-CU91)/CU91*100)</f>
        <v>0</v>
      </c>
      <c r="CX91" s="114"/>
      <c r="CY91" s="114"/>
      <c r="CZ91" s="693">
        <f>IF(CX91=0,0,(CY91-CX91)/CX91*100)</f>
        <v>0</v>
      </c>
      <c r="DA91" s="114"/>
      <c r="DB91" s="114"/>
      <c r="DC91" s="693">
        <f>IF(DA91=0,0,(DB91-DA91)/DA91*100)</f>
        <v>0</v>
      </c>
      <c r="DD91" s="114"/>
      <c r="DE91" s="114"/>
      <c r="DF91" s="693">
        <f>IF(DD91=0,0,(DE91-DD91)/DD91*100)</f>
        <v>0</v>
      </c>
      <c r="DG91" s="114"/>
      <c r="DH91" s="114"/>
      <c r="DI91" s="693">
        <f>IF(DG91=0,0,(DH91-DG91)/DG91*100)</f>
        <v>0</v>
      </c>
      <c r="DJ91" s="114"/>
      <c r="DK91" s="114"/>
      <c r="DL91" s="693">
        <f>IF(DJ91=0,0,(DK91-DJ91)/DJ91*100)</f>
        <v>0</v>
      </c>
      <c r="DM91" s="114"/>
      <c r="DN91" s="114"/>
      <c r="DO91" s="693">
        <f>IF(DM91=0,0,(DN91-DM91)/DM91*100)</f>
        <v>0</v>
      </c>
      <c r="DP91" s="114"/>
      <c r="DQ91" s="114"/>
      <c r="DR91" s="693">
        <f>IF(DP91=0,0,(DQ91-DP91)/DP91*100)</f>
        <v>0</v>
      </c>
      <c r="DS91" s="114"/>
      <c r="DT91" s="114"/>
      <c r="DU91" s="693">
        <f>IF(DS91=0,0,(DT91-DS91)/DS91*100)</f>
        <v>0</v>
      </c>
      <c r="DV91" s="114"/>
      <c r="DW91" s="114"/>
      <c r="DX91" s="693">
        <f>IF(DV91=0,0,(DW91-DV91)/DV91*100)</f>
        <v>0</v>
      </c>
      <c r="DY91" s="114"/>
      <c r="DZ91" s="114"/>
      <c r="EA91" s="693">
        <f>IF(DY91=0,0,(DZ91-DY91)/DY91*100)</f>
        <v>0</v>
      </c>
      <c r="EB91" s="114"/>
      <c r="EC91" s="114"/>
      <c r="ED91" s="693">
        <f>IF(EB91=0,0,(EC91-EB91)/EB91*100)</f>
        <v>0</v>
      </c>
      <c r="EE91" s="114"/>
      <c r="EF91" s="114"/>
      <c r="EG91" s="693">
        <f>IF(EE91=0,0,(EF91-EE91)/EE91*100)</f>
        <v>0</v>
      </c>
      <c r="EH91" s="114"/>
      <c r="EI91" s="114"/>
      <c r="EJ91" s="693">
        <f>IF(EH91=0,0,(EI91-EH91)/EH91*100)</f>
        <v>0</v>
      </c>
      <c r="EK91" s="114"/>
      <c r="EL91" s="114"/>
      <c r="EM91" s="693">
        <f>IF(EK91=0,0,(EL91-EK91)/EK91*100)</f>
        <v>0</v>
      </c>
      <c r="EN91" s="114"/>
      <c r="EO91" s="114"/>
      <c r="EP91" s="693">
        <f>IF(EN91=0,0,(EO91-EN91)/EN91*100)</f>
        <v>0</v>
      </c>
      <c r="EQ91" s="114"/>
      <c r="ER91" s="114"/>
      <c r="ES91" s="693">
        <f>IF(EQ91=0,0,(ER91-EQ91)/EQ91*100)</f>
        <v>0</v>
      </c>
      <c r="ET91" s="114"/>
      <c r="EU91" s="114"/>
      <c r="EV91" s="693">
        <f>IF(ET91=0,0,(EU91-ET91)/ET91*100)</f>
        <v>0</v>
      </c>
      <c r="EW91" s="114"/>
      <c r="EX91" s="114"/>
      <c r="EY91" s="693">
        <f>IF(EW91=0,0,(EX91-EW91)/EW91*100)</f>
        <v>0</v>
      </c>
      <c r="EZ91" s="114"/>
      <c r="FA91" s="114"/>
      <c r="FB91" s="693">
        <f>IF(EZ91=0,0,(FA91-EZ91)/EZ91*100)</f>
        <v>0</v>
      </c>
      <c r="FC91" s="114"/>
      <c r="FD91" s="114"/>
      <c r="FE91" s="693">
        <f>IF(FC91=0,0,(FD91-FC91)/FC91*100)</f>
        <v>0</v>
      </c>
      <c r="FF91" s="114"/>
      <c r="FG91" s="114"/>
      <c r="FH91" s="693">
        <f>IF(FF91=0,0,(FG91-FF91)/FF91*100)</f>
        <v>0</v>
      </c>
      <c r="FI91" s="114"/>
      <c r="FJ91" s="114"/>
      <c r="FK91" s="693">
        <f>IF(FI91=0,0,(FJ91-FI91)/FI91*100)</f>
        <v>0</v>
      </c>
      <c r="FL91" s="114"/>
      <c r="FM91" s="114"/>
      <c r="FN91" s="693">
        <f>IF(FL91=0,0,(FM91-FL91)/FL91*100)</f>
        <v>0</v>
      </c>
      <c r="FO91" s="114"/>
      <c r="FP91" s="114"/>
      <c r="FQ91" s="693">
        <f>IF(FO91=0,0,(FP91-FO91)/FO91*100)</f>
        <v>0</v>
      </c>
      <c r="FR91" s="114"/>
      <c r="FS91" s="114"/>
      <c r="FT91" s="693">
        <f>IF(FR91=0,0,(FS91-FR91)/FR91*100)</f>
        <v>0</v>
      </c>
      <c r="FU91" s="114"/>
      <c r="FV91" s="114"/>
      <c r="FW91" s="693">
        <f>IF(FU91=0,0,(FV91-FU91)/FU91*100)</f>
        <v>0</v>
      </c>
      <c r="FX91" s="1390"/>
      <c r="FY91" s="1390"/>
      <c r="FZ91" s="1184" t="s">
        <v>2129</v>
      </c>
      <c r="GA91" s="1184" t="s">
        <v>2130</v>
      </c>
      <c r="GB91" s="1184" cm="1" t="str">
        <f t="array" ref="GB91:GB91">AB91</f>
        <v>0</v>
      </c>
      <c r="GC91" s="1184"/>
      <c r="GD91" s="1184" t="b">
        <v>1</v>
      </c>
    </row>
    <row s="1390" customFormat="1" customHeight="1" ht="16.5" hidden="1">
      <c r="A92" s="1390"/>
      <c r="B92" s="964" cm="1" t="str">
        <f t="array" ref="B92:B92">OFFSET(A92,-1,1)</f>
        <v>true</v>
      </c>
      <c r="C92" s="1325" t="s">
        <v>1723</v>
      </c>
      <c r="D92" s="1294" t="s">
        <v>1724</v>
      </c>
      <c r="E92" s="797">
        <v>17.1</v>
      </c>
      <c r="F92" s="922" cm="1" t="str">
        <f t="array" ref="F92:F92">OFFSET(G92,-1,-1)</f>
        <v>1</v>
      </c>
      <c r="G92" s="1390"/>
      <c r="H92" s="1390"/>
      <c r="I92" s="1390"/>
      <c r="J92" s="1315" t="s">
        <v>2091</v>
      </c>
      <c r="K92" s="1315" cm="1" t="str">
        <f t="array" ref="K92:K92">OFFSET(J92,-1,1)</f>
        <v>ТЭ.42.28873685.0002</v>
      </c>
      <c r="L92" s="1315" t="s">
        <v>2105</v>
      </c>
      <c r="M92" s="1315"/>
      <c r="N92" s="1315" t="s">
        <v>2113</v>
      </c>
      <c r="O92" s="1316" t="s">
        <v>2114</v>
      </c>
      <c r="P92" s="1315"/>
      <c r="Q92" s="1315" cm="1" t="str">
        <f t="array" ref="Q92:Q92">AB91</f>
        <v>0</v>
      </c>
      <c r="R92" s="1390"/>
      <c r="S92" s="1390"/>
      <c r="T92" s="808">
        <f>AND(OFFSET(S92,1,1),Y91&gt;0)</f>
        <v>0</v>
      </c>
      <c r="U92" s="1390"/>
      <c r="V92" s="1390"/>
      <c r="W92" s="1390"/>
      <c r="X92" s="1390"/>
      <c r="Y92" s="1390"/>
      <c r="Z92" s="1390"/>
      <c r="AA92" s="1415"/>
      <c r="AB92" s="1060" t="s">
        <v>2131</v>
      </c>
      <c r="AC92" s="678" t="s">
        <v>599</v>
      </c>
      <c r="AD92" s="114"/>
      <c r="AE92" s="114"/>
      <c r="AF92" s="693">
        <f>IF(AD92=0,0,(AE92-AD92)/AD92*100)</f>
        <v>0</v>
      </c>
      <c r="AG92" s="114"/>
      <c r="AH92" s="114"/>
      <c r="AI92" s="693">
        <f>IF(AG92=0,0,(AH92-AG92)/AG92*100)</f>
        <v>0</v>
      </c>
      <c r="AJ92" s="114"/>
      <c r="AK92" s="114"/>
      <c r="AL92" s="693">
        <f>IF(AJ92=0,0,(AK92-AJ92)/AJ92*100)</f>
        <v>0</v>
      </c>
      <c r="AM92" s="114"/>
      <c r="AN92" s="114"/>
      <c r="AO92" s="693">
        <f>IF(AM92=0,0,(AN92-AM92)/AM92*100)</f>
        <v>0</v>
      </c>
      <c r="AP92" s="114"/>
      <c r="AQ92" s="114"/>
      <c r="AR92" s="693">
        <f>IF(AP92=0,0,(AQ92-AP92)/AP92*100)</f>
        <v>0</v>
      </c>
      <c r="AS92" s="114"/>
      <c r="AT92" s="114"/>
      <c r="AU92" s="693">
        <f>IF(AS92=0,0,(AT92-AS92)/AS92*100)</f>
        <v>0</v>
      </c>
      <c r="AV92" s="114"/>
      <c r="AW92" s="114"/>
      <c r="AX92" s="693">
        <f>IF(AV92=0,0,(AW92-AV92)/AV92*100)</f>
        <v>0</v>
      </c>
      <c r="AY92" s="114"/>
      <c r="AZ92" s="114"/>
      <c r="BA92" s="693">
        <f>IF(AY92=0,0,(AZ92-AY92)/AY92*100)</f>
        <v>0</v>
      </c>
      <c r="BB92" s="114"/>
      <c r="BC92" s="114"/>
      <c r="BD92" s="693">
        <f>IF(BB92=0,0,(BC92-BB92)/BB92*100)</f>
        <v>0</v>
      </c>
      <c r="BE92" s="114"/>
      <c r="BF92" s="114"/>
      <c r="BG92" s="693">
        <f>IF(BE92=0,0,(BF92-BE92)/BE92*100)</f>
        <v>0</v>
      </c>
      <c r="BH92" s="114"/>
      <c r="BI92" s="114"/>
      <c r="BJ92" s="693">
        <f>IF(BH92=0,0,(BI92-BH92)/BH92*100)</f>
        <v>0</v>
      </c>
      <c r="BK92" s="114"/>
      <c r="BL92" s="114"/>
      <c r="BM92" s="693">
        <f>IF(BK92=0,0,(BL92-BK92)/BK92*100)</f>
        <v>0</v>
      </c>
      <c r="BN92" s="114"/>
      <c r="BO92" s="114"/>
      <c r="BP92" s="693">
        <f>IF(BN92=0,0,(BO92-BN92)/BN92*100)</f>
        <v>0</v>
      </c>
      <c r="BQ92" s="114"/>
      <c r="BR92" s="114"/>
      <c r="BS92" s="693">
        <f>IF(BQ92=0,0,(BR92-BQ92)/BQ92*100)</f>
        <v>0</v>
      </c>
      <c r="BT92" s="114"/>
      <c r="BU92" s="114"/>
      <c r="BV92" s="693">
        <f>IF(BT92=0,0,(BU92-BT92)/BT92*100)</f>
        <v>0</v>
      </c>
      <c r="BW92" s="114"/>
      <c r="BX92" s="114"/>
      <c r="BY92" s="693">
        <f>IF(BW92=0,0,(BX92-BW92)/BW92*100)</f>
        <v>0</v>
      </c>
      <c r="BZ92" s="114"/>
      <c r="CA92" s="114"/>
      <c r="CB92" s="693">
        <f>IF(BZ92=0,0,(CA92-BZ92)/BZ92*100)</f>
        <v>0</v>
      </c>
      <c r="CC92" s="114"/>
      <c r="CD92" s="114"/>
      <c r="CE92" s="693">
        <f>IF(CC92=0,0,(CD92-CC92)/CC92*100)</f>
        <v>0</v>
      </c>
      <c r="CF92" s="114"/>
      <c r="CG92" s="114"/>
      <c r="CH92" s="693">
        <f>IF(CF92=0,0,(CG92-CF92)/CF92*100)</f>
        <v>0</v>
      </c>
      <c r="CI92" s="114"/>
      <c r="CJ92" s="114"/>
      <c r="CK92" s="693">
        <f>IF(CI92=0,0,(CJ92-CI92)/CI92*100)</f>
        <v>0</v>
      </c>
      <c r="CL92" s="114"/>
      <c r="CM92" s="114"/>
      <c r="CN92" s="693">
        <f>IF(CL92=0,0,(CM92-CL92)/CL92*100)</f>
        <v>0</v>
      </c>
      <c r="CO92" s="114"/>
      <c r="CP92" s="114"/>
      <c r="CQ92" s="693">
        <f>IF(CO92=0,0,(CP92-CO92)/CO92*100)</f>
        <v>0</v>
      </c>
      <c r="CR92" s="114"/>
      <c r="CS92" s="114"/>
      <c r="CT92" s="693">
        <f>IF(CR92=0,0,(CS92-CR92)/CR92*100)</f>
        <v>0</v>
      </c>
      <c r="CU92" s="114"/>
      <c r="CV92" s="114"/>
      <c r="CW92" s="693">
        <f>IF(CU92=0,0,(CV92-CU92)/CU92*100)</f>
        <v>0</v>
      </c>
      <c r="CX92" s="114"/>
      <c r="CY92" s="114"/>
      <c r="CZ92" s="693">
        <f>IF(CX92=0,0,(CY92-CX92)/CX92*100)</f>
        <v>0</v>
      </c>
      <c r="DA92" s="114"/>
      <c r="DB92" s="114"/>
      <c r="DC92" s="693">
        <f>IF(DA92=0,0,(DB92-DA92)/DA92*100)</f>
        <v>0</v>
      </c>
      <c r="DD92" s="114"/>
      <c r="DE92" s="114"/>
      <c r="DF92" s="693">
        <f>IF(DD92=0,0,(DE92-DD92)/DD92*100)</f>
        <v>0</v>
      </c>
      <c r="DG92" s="114"/>
      <c r="DH92" s="114"/>
      <c r="DI92" s="693">
        <f>IF(DG92=0,0,(DH92-DG92)/DG92*100)</f>
        <v>0</v>
      </c>
      <c r="DJ92" s="114"/>
      <c r="DK92" s="114"/>
      <c r="DL92" s="693">
        <f>IF(DJ92=0,0,(DK92-DJ92)/DJ92*100)</f>
        <v>0</v>
      </c>
      <c r="DM92" s="114"/>
      <c r="DN92" s="114"/>
      <c r="DO92" s="693">
        <f>IF(DM92=0,0,(DN92-DM92)/DM92*100)</f>
        <v>0</v>
      </c>
      <c r="DP92" s="114"/>
      <c r="DQ92" s="114"/>
      <c r="DR92" s="693">
        <f>IF(DP92=0,0,(DQ92-DP92)/DP92*100)</f>
        <v>0</v>
      </c>
      <c r="DS92" s="114"/>
      <c r="DT92" s="114"/>
      <c r="DU92" s="693">
        <f>IF(DS92=0,0,(DT92-DS92)/DS92*100)</f>
        <v>0</v>
      </c>
      <c r="DV92" s="114"/>
      <c r="DW92" s="114"/>
      <c r="DX92" s="693">
        <f>IF(DV92=0,0,(DW92-DV92)/DV92*100)</f>
        <v>0</v>
      </c>
      <c r="DY92" s="114"/>
      <c r="DZ92" s="114"/>
      <c r="EA92" s="693">
        <f>IF(DY92=0,0,(DZ92-DY92)/DY92*100)</f>
        <v>0</v>
      </c>
      <c r="EB92" s="114"/>
      <c r="EC92" s="114"/>
      <c r="ED92" s="693">
        <f>IF(EB92=0,0,(EC92-EB92)/EB92*100)</f>
        <v>0</v>
      </c>
      <c r="EE92" s="114"/>
      <c r="EF92" s="114"/>
      <c r="EG92" s="693">
        <f>IF(EE92=0,0,(EF92-EE92)/EE92*100)</f>
        <v>0</v>
      </c>
      <c r="EH92" s="114"/>
      <c r="EI92" s="114"/>
      <c r="EJ92" s="693">
        <f>IF(EH92=0,0,(EI92-EH92)/EH92*100)</f>
        <v>0</v>
      </c>
      <c r="EK92" s="114"/>
      <c r="EL92" s="114"/>
      <c r="EM92" s="693">
        <f>IF(EK92=0,0,(EL92-EK92)/EK92*100)</f>
        <v>0</v>
      </c>
      <c r="EN92" s="114"/>
      <c r="EO92" s="114"/>
      <c r="EP92" s="693">
        <f>IF(EN92=0,0,(EO92-EN92)/EN92*100)</f>
        <v>0</v>
      </c>
      <c r="EQ92" s="114"/>
      <c r="ER92" s="114"/>
      <c r="ES92" s="693">
        <f>IF(EQ92=0,0,(ER92-EQ92)/EQ92*100)</f>
        <v>0</v>
      </c>
      <c r="ET92" s="114"/>
      <c r="EU92" s="114"/>
      <c r="EV92" s="693">
        <f>IF(ET92=0,0,(EU92-ET92)/ET92*100)</f>
        <v>0</v>
      </c>
      <c r="EW92" s="114"/>
      <c r="EX92" s="114"/>
      <c r="EY92" s="693">
        <f>IF(EW92=0,0,(EX92-EW92)/EW92*100)</f>
        <v>0</v>
      </c>
      <c r="EZ92" s="114"/>
      <c r="FA92" s="114"/>
      <c r="FB92" s="693">
        <f>IF(EZ92=0,0,(FA92-EZ92)/EZ92*100)</f>
        <v>0</v>
      </c>
      <c r="FC92" s="114"/>
      <c r="FD92" s="114"/>
      <c r="FE92" s="693">
        <f>IF(FC92=0,0,(FD92-FC92)/FC92*100)</f>
        <v>0</v>
      </c>
      <c r="FF92" s="114"/>
      <c r="FG92" s="114"/>
      <c r="FH92" s="693">
        <f>IF(FF92=0,0,(FG92-FF92)/FF92*100)</f>
        <v>0</v>
      </c>
      <c r="FI92" s="114"/>
      <c r="FJ92" s="114"/>
      <c r="FK92" s="693">
        <f>IF(FI92=0,0,(FJ92-FI92)/FI92*100)</f>
        <v>0</v>
      </c>
      <c r="FL92" s="114"/>
      <c r="FM92" s="114"/>
      <c r="FN92" s="693">
        <f>IF(FL92=0,0,(FM92-FL92)/FL92*100)</f>
        <v>0</v>
      </c>
      <c r="FO92" s="114"/>
      <c r="FP92" s="114"/>
      <c r="FQ92" s="693">
        <f>IF(FO92=0,0,(FP92-FO92)/FO92*100)</f>
        <v>0</v>
      </c>
      <c r="FR92" s="114"/>
      <c r="FS92" s="114"/>
      <c r="FT92" s="693">
        <f>IF(FR92=0,0,(FS92-FR92)/FR92*100)</f>
        <v>0</v>
      </c>
      <c r="FU92" s="114"/>
      <c r="FV92" s="114"/>
      <c r="FW92" s="693">
        <f>IF(FU92=0,0,(FV92-FU92)/FU92*100)</f>
        <v>0</v>
      </c>
      <c r="FX92" s="1390"/>
      <c r="FY92" s="1390"/>
      <c r="FZ92" s="1184" t="s">
        <v>2124</v>
      </c>
      <c r="GA92" s="1184" t="s">
        <v>2130</v>
      </c>
      <c r="GB92" s="1184" cm="1" t="str">
        <f t="array" ref="GB92:GB92">GB91</f>
        <v>0</v>
      </c>
      <c r="GC92" s="1184"/>
      <c r="GD92" s="1184"/>
    </row>
    <row s="1632" customFormat="1" customHeight="1" ht="16.5">
      <c r="A93" s="1582"/>
      <c r="B93" s="964" cm="1" t="str">
        <f t="array" ref="B93:B93">OFFSET(A93,-1,1)</f>
        <v>true</v>
      </c>
      <c r="C93" s="1325"/>
      <c r="D93" s="1294"/>
      <c r="E93" s="797">
        <v>17</v>
      </c>
      <c r="F93" s="922" cm="1" t="str">
        <f t="array" ref="F93:F93">OFFSET(G93,-1,-1)</f>
        <v>1</v>
      </c>
      <c r="G93" s="500"/>
      <c r="H93" s="213" t="str">
        <f>F93&amp;"pIns1"</f>
        <v>1pIns1</v>
      </c>
      <c r="I93" s="500"/>
      <c r="J93" s="1317"/>
      <c r="K93" s="1315" cm="1" t="str">
        <f t="array" ref="K93:K93">OFFSET(J93,-1,1)</f>
        <v>ТЭ.42.28873685.0002</v>
      </c>
      <c r="L93" s="1317"/>
      <c r="M93" s="1317"/>
      <c r="N93" s="1317"/>
      <c r="O93" s="1317"/>
      <c r="P93" s="1317"/>
      <c r="Q93" s="1299"/>
      <c r="R93" s="928"/>
      <c r="S93" s="500"/>
      <c r="T93" s="808" cm="1" t="str">
        <f t="array" ref="T93:T93">T90</f>
        <v>true</v>
      </c>
      <c r="U93" s="1582"/>
      <c r="V93" s="1582"/>
      <c r="W93" s="1186" t="s">
        <v>2132</v>
      </c>
      <c r="X93" s="1582"/>
      <c r="Y93" s="1582"/>
      <c r="Z93" s="1582"/>
      <c r="AA93" s="500"/>
      <c r="AB93" s="900" t="s">
        <v>236</v>
      </c>
      <c r="AC93" s="341"/>
      <c r="AD93" s="576"/>
      <c r="AE93" s="576"/>
      <c r="AF93" s="339"/>
      <c r="AG93" s="576"/>
      <c r="AH93" s="576"/>
      <c r="AI93" s="339"/>
      <c r="AJ93" s="576"/>
      <c r="AK93" s="576"/>
      <c r="AL93" s="339"/>
      <c r="AM93" s="576"/>
      <c r="AN93" s="576"/>
      <c r="AO93" s="339"/>
      <c r="AP93" s="576"/>
      <c r="AQ93" s="576"/>
      <c r="AR93" s="339"/>
      <c r="AS93" s="576"/>
      <c r="AT93" s="576"/>
      <c r="AU93" s="339"/>
      <c r="AV93" s="576"/>
      <c r="AW93" s="576"/>
      <c r="AX93" s="339"/>
      <c r="AY93" s="576"/>
      <c r="AZ93" s="576"/>
      <c r="BA93" s="339"/>
      <c r="BB93" s="576"/>
      <c r="BC93" s="576"/>
      <c r="BD93" s="339"/>
      <c r="BE93" s="576"/>
      <c r="BF93" s="576"/>
      <c r="BG93" s="339"/>
      <c r="BH93" s="576"/>
      <c r="BI93" s="576"/>
      <c r="BJ93" s="339"/>
      <c r="BK93" s="339"/>
      <c r="BL93" s="339"/>
      <c r="BM93" s="339"/>
      <c r="BN93" s="339"/>
      <c r="BO93" s="339"/>
      <c r="BP93" s="339"/>
      <c r="BQ93" s="339"/>
      <c r="BR93" s="339"/>
      <c r="BS93" s="339"/>
      <c r="BT93" s="339"/>
      <c r="BU93" s="339"/>
      <c r="BV93" s="339"/>
      <c r="BW93" s="339"/>
      <c r="BX93" s="339"/>
      <c r="BY93" s="339"/>
      <c r="BZ93" s="339"/>
      <c r="CA93" s="339"/>
      <c r="CB93" s="339"/>
      <c r="CC93" s="339"/>
      <c r="CD93" s="339"/>
      <c r="CE93" s="339"/>
      <c r="CF93" s="339"/>
      <c r="CG93" s="339"/>
      <c r="CH93" s="339"/>
      <c r="CI93" s="339"/>
      <c r="CJ93" s="339"/>
      <c r="CK93" s="339"/>
      <c r="CL93" s="339"/>
      <c r="CM93" s="339"/>
      <c r="CN93" s="339"/>
      <c r="CO93" s="339"/>
      <c r="CP93" s="339"/>
      <c r="CQ93" s="339"/>
      <c r="CR93" s="339"/>
      <c r="CS93" s="339"/>
      <c r="CT93" s="339"/>
      <c r="CU93" s="339"/>
      <c r="CV93" s="339"/>
      <c r="CW93" s="339"/>
      <c r="CX93" s="339"/>
      <c r="CY93" s="339"/>
      <c r="CZ93" s="339"/>
      <c r="DA93" s="339"/>
      <c r="DB93" s="339"/>
      <c r="DC93" s="339"/>
      <c r="DD93" s="339"/>
      <c r="DE93" s="339"/>
      <c r="DF93" s="339"/>
      <c r="DG93" s="339"/>
      <c r="DH93" s="339"/>
      <c r="DI93" s="339"/>
      <c r="DJ93" s="339"/>
      <c r="DK93" s="339"/>
      <c r="DL93" s="339"/>
      <c r="DM93" s="339"/>
      <c r="DN93" s="339"/>
      <c r="DO93" s="339"/>
      <c r="DP93" s="339"/>
      <c r="DQ93" s="339"/>
      <c r="DR93" s="339"/>
      <c r="DS93" s="339"/>
      <c r="DT93" s="339"/>
      <c r="DU93" s="339"/>
      <c r="DV93" s="339"/>
      <c r="DW93" s="339"/>
      <c r="DX93" s="339"/>
      <c r="DY93" s="339"/>
      <c r="DZ93" s="339"/>
      <c r="EA93" s="339"/>
      <c r="EB93" s="339"/>
      <c r="EC93" s="339"/>
      <c r="ED93" s="339"/>
      <c r="EE93" s="339"/>
      <c r="EF93" s="339"/>
      <c r="EG93" s="339"/>
      <c r="EH93" s="339"/>
      <c r="EI93" s="339"/>
      <c r="EJ93" s="339"/>
      <c r="EK93" s="339"/>
      <c r="EL93" s="339"/>
      <c r="EM93" s="339"/>
      <c r="EN93" s="339"/>
      <c r="EO93" s="339"/>
      <c r="EP93" s="339"/>
      <c r="EQ93" s="339"/>
      <c r="ER93" s="339"/>
      <c r="ES93" s="339"/>
      <c r="ET93" s="339"/>
      <c r="EU93" s="339"/>
      <c r="EV93" s="339"/>
      <c r="EW93" s="339"/>
      <c r="EX93" s="339"/>
      <c r="EY93" s="339"/>
      <c r="EZ93" s="339"/>
      <c r="FA93" s="339"/>
      <c r="FB93" s="339"/>
      <c r="FC93" s="339"/>
      <c r="FD93" s="339"/>
      <c r="FE93" s="339"/>
      <c r="FF93" s="339"/>
      <c r="FG93" s="339"/>
      <c r="FH93" s="339"/>
      <c r="FI93" s="339"/>
      <c r="FJ93" s="339"/>
      <c r="FK93" s="339"/>
      <c r="FL93" s="339"/>
      <c r="FM93" s="339"/>
      <c r="FN93" s="339"/>
      <c r="FO93" s="339"/>
      <c r="FP93" s="339"/>
      <c r="FQ93" s="339"/>
      <c r="FR93" s="339"/>
      <c r="FS93" s="339"/>
      <c r="FT93" s="339"/>
      <c r="FU93" s="339"/>
      <c r="FV93" s="339"/>
      <c r="FW93" s="340"/>
      <c r="FX93" s="500"/>
      <c r="FY93" s="500"/>
      <c r="FZ93" s="1219"/>
      <c r="GA93" s="1184"/>
      <c r="GB93" s="1184"/>
      <c r="GC93" s="1184" t="s">
        <v>2130</v>
      </c>
      <c r="GD93" s="1184"/>
    </row>
    <row s="1632" customFormat="1" customHeight="1" ht="15" hidden="1">
      <c r="A94" s="1582"/>
      <c r="B94" s="964">
        <f>R74="двухставочный"</f>
        <v>0</v>
      </c>
      <c r="C94" s="1325"/>
      <c r="D94" s="1294"/>
      <c r="E94" s="797">
        <v>15.8</v>
      </c>
      <c r="F94" s="922" cm="1" t="str">
        <f t="array" ref="F94:F94">OFFSET(G94,-1,-1)</f>
        <v>1</v>
      </c>
      <c r="G94" s="500"/>
      <c r="H94" s="500"/>
      <c r="I94" s="500"/>
      <c r="J94" s="1317"/>
      <c r="K94" s="1315" cm="1" t="str">
        <f t="array" ref="K94:K94">OFFSET(J94,-1,1)</f>
        <v>ТЭ.42.28873685.0002</v>
      </c>
      <c r="L94" s="1317"/>
      <c r="M94" s="1317"/>
      <c r="N94" s="1317"/>
      <c r="O94" s="1317"/>
      <c r="P94" s="1317"/>
      <c r="Q94" s="1299"/>
      <c r="R94" s="928"/>
      <c r="S94" s="500"/>
      <c r="T94" s="808">
        <f>AND(F94&gt;0,G74="двухставочный")</f>
        <v>0</v>
      </c>
      <c r="U94" s="1582"/>
      <c r="V94" s="1582"/>
      <c r="W94" s="1582"/>
      <c r="X94" s="1582"/>
      <c r="Y94" s="1582"/>
      <c r="Z94" s="1582"/>
      <c r="AA94" s="500"/>
      <c r="AB94" s="748" t="s">
        <v>2133</v>
      </c>
      <c r="AC94" s="360"/>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1"/>
      <c r="DL94" s="361"/>
      <c r="DM94" s="361"/>
      <c r="DN94" s="361"/>
      <c r="DO94" s="361"/>
      <c r="DP94" s="361"/>
      <c r="DQ94" s="361"/>
      <c r="DR94" s="361"/>
      <c r="DS94" s="361"/>
      <c r="DT94" s="361"/>
      <c r="DU94" s="361"/>
      <c r="DV94" s="361"/>
      <c r="DW94" s="361"/>
      <c r="DX94" s="361"/>
      <c r="DY94" s="361"/>
      <c r="DZ94" s="361"/>
      <c r="EA94" s="361"/>
      <c r="EB94" s="361"/>
      <c r="EC94" s="361"/>
      <c r="ED94" s="361"/>
      <c r="EE94" s="361"/>
      <c r="EF94" s="361"/>
      <c r="EG94" s="361"/>
      <c r="EH94" s="361"/>
      <c r="EI94" s="361"/>
      <c r="EJ94" s="361"/>
      <c r="EK94" s="361"/>
      <c r="EL94" s="361"/>
      <c r="EM94" s="361"/>
      <c r="EN94" s="361"/>
      <c r="EO94" s="361"/>
      <c r="EP94" s="361"/>
      <c r="EQ94" s="361"/>
      <c r="ER94" s="361"/>
      <c r="ES94" s="361"/>
      <c r="ET94" s="361"/>
      <c r="EU94" s="361"/>
      <c r="EV94" s="361"/>
      <c r="EW94" s="361"/>
      <c r="EX94" s="361"/>
      <c r="EY94" s="361"/>
      <c r="EZ94" s="361"/>
      <c r="FA94" s="361"/>
      <c r="FB94" s="361"/>
      <c r="FC94" s="361"/>
      <c r="FD94" s="361"/>
      <c r="FE94" s="361"/>
      <c r="FF94" s="361"/>
      <c r="FG94" s="361"/>
      <c r="FH94" s="361"/>
      <c r="FI94" s="361"/>
      <c r="FJ94" s="361"/>
      <c r="FK94" s="361"/>
      <c r="FL94" s="361"/>
      <c r="FM94" s="361"/>
      <c r="FN94" s="361"/>
      <c r="FO94" s="361"/>
      <c r="FP94" s="361"/>
      <c r="FQ94" s="361"/>
      <c r="FR94" s="361"/>
      <c r="FS94" s="361"/>
      <c r="FT94" s="361"/>
      <c r="FU94" s="361"/>
      <c r="FV94" s="361"/>
      <c r="FW94" s="362"/>
      <c r="FX94" s="500"/>
      <c r="FY94" s="500"/>
      <c r="FZ94" s="1219"/>
      <c r="GA94" s="1184"/>
      <c r="GB94" s="1184"/>
      <c r="GC94" s="1184"/>
      <c r="GD94" s="1184"/>
    </row>
    <row s="1632" customFormat="1" customHeight="1" ht="15" hidden="1">
      <c r="A95" s="1582"/>
      <c r="B95" s="964" cm="1" t="str">
        <f t="array" ref="B95:B95">B94</f>
        <v>false</v>
      </c>
      <c r="C95" s="1325"/>
      <c r="D95" s="1294"/>
      <c r="E95" s="797">
        <v>15.8</v>
      </c>
      <c r="F95" s="922" cm="1" t="str">
        <f t="array" ref="F95:F95">OFFSET(G95,-1,-1)</f>
        <v>1</v>
      </c>
      <c r="G95" s="500"/>
      <c r="H95" s="500"/>
      <c r="I95" s="500"/>
      <c r="J95" s="1317"/>
      <c r="K95" s="1315" cm="1" t="str">
        <f t="array" ref="K95:K95">OFFSET(J95,-1,1)</f>
        <v>ТЭ.42.28873685.0002</v>
      </c>
      <c r="L95" s="1317"/>
      <c r="M95" s="1317"/>
      <c r="N95" s="1317"/>
      <c r="O95" s="1317"/>
      <c r="P95" s="1317"/>
      <c r="Q95" s="1299"/>
      <c r="R95" s="928"/>
      <c r="S95" s="500"/>
      <c r="T95" s="808" cm="1" t="str">
        <f t="array" ref="T95:T95">T94</f>
        <v>false</v>
      </c>
      <c r="U95" s="1582"/>
      <c r="V95" s="1582"/>
      <c r="W95" s="1582"/>
      <c r="X95" s="1582"/>
      <c r="Y95" s="1582"/>
      <c r="Z95" s="1582"/>
      <c r="AA95" s="500"/>
      <c r="AB95" s="1354" t="s">
        <v>2134</v>
      </c>
      <c r="AC95" s="370"/>
      <c r="AD95" s="371"/>
      <c r="AE95" s="371"/>
      <c r="AF95" s="371"/>
      <c r="AG95" s="371"/>
      <c r="AH95" s="371"/>
      <c r="AI95" s="371"/>
      <c r="AJ95" s="371"/>
      <c r="AK95" s="371"/>
      <c r="AL95" s="371"/>
      <c r="AM95" s="371"/>
      <c r="AN95" s="371"/>
      <c r="AO95" s="371"/>
      <c r="AP95" s="371"/>
      <c r="AQ95" s="371"/>
      <c r="AR95" s="371"/>
      <c r="AS95" s="371"/>
      <c r="AT95" s="371"/>
      <c r="AU95" s="371"/>
      <c r="AV95" s="371"/>
      <c r="AW95" s="371"/>
      <c r="AX95" s="371"/>
      <c r="AY95" s="371"/>
      <c r="AZ95" s="371"/>
      <c r="BA95" s="371"/>
      <c r="BB95" s="371"/>
      <c r="BC95" s="371"/>
      <c r="BD95" s="371"/>
      <c r="BE95" s="371"/>
      <c r="BF95" s="371"/>
      <c r="BG95" s="371"/>
      <c r="BH95" s="371"/>
      <c r="BI95" s="371"/>
      <c r="BJ95" s="371"/>
      <c r="BK95" s="371"/>
      <c r="BL95" s="371"/>
      <c r="BM95" s="371"/>
      <c r="BN95" s="371"/>
      <c r="BO95" s="371"/>
      <c r="BP95" s="371"/>
      <c r="BQ95" s="371"/>
      <c r="BR95" s="371"/>
      <c r="BS95" s="371"/>
      <c r="BT95" s="371"/>
      <c r="BU95" s="371"/>
      <c r="BV95" s="371"/>
      <c r="BW95" s="371"/>
      <c r="BX95" s="371"/>
      <c r="BY95" s="371"/>
      <c r="BZ95" s="371"/>
      <c r="CA95" s="371"/>
      <c r="CB95" s="371"/>
      <c r="CC95" s="371"/>
      <c r="CD95" s="371"/>
      <c r="CE95" s="371"/>
      <c r="CF95" s="371"/>
      <c r="CG95" s="371"/>
      <c r="CH95" s="371"/>
      <c r="CI95" s="371"/>
      <c r="CJ95" s="371"/>
      <c r="CK95" s="371"/>
      <c r="CL95" s="371"/>
      <c r="CM95" s="371"/>
      <c r="CN95" s="371"/>
      <c r="CO95" s="371"/>
      <c r="CP95" s="371"/>
      <c r="CQ95" s="371"/>
      <c r="CR95" s="371"/>
      <c r="CS95" s="371"/>
      <c r="CT95" s="371"/>
      <c r="CU95" s="371"/>
      <c r="CV95" s="371"/>
      <c r="CW95" s="371"/>
      <c r="CX95" s="371"/>
      <c r="CY95" s="371"/>
      <c r="CZ95" s="371"/>
      <c r="DA95" s="371"/>
      <c r="DB95" s="371"/>
      <c r="DC95" s="371"/>
      <c r="DD95" s="371"/>
      <c r="DE95" s="371"/>
      <c r="DF95" s="371"/>
      <c r="DG95" s="371"/>
      <c r="DH95" s="371"/>
      <c r="DI95" s="371"/>
      <c r="DJ95" s="371"/>
      <c r="DK95" s="371"/>
      <c r="DL95" s="371"/>
      <c r="DM95" s="371"/>
      <c r="DN95" s="371"/>
      <c r="DO95" s="371"/>
      <c r="DP95" s="371"/>
      <c r="DQ95" s="371"/>
      <c r="DR95" s="371"/>
      <c r="DS95" s="371"/>
      <c r="DT95" s="371"/>
      <c r="DU95" s="371"/>
      <c r="DV95" s="371"/>
      <c r="DW95" s="371"/>
      <c r="DX95" s="371"/>
      <c r="DY95" s="371"/>
      <c r="DZ95" s="371"/>
      <c r="EA95" s="371"/>
      <c r="EB95" s="371"/>
      <c r="EC95" s="371"/>
      <c r="ED95" s="371"/>
      <c r="EE95" s="371"/>
      <c r="EF95" s="371"/>
      <c r="EG95" s="371"/>
      <c r="EH95" s="371"/>
      <c r="EI95" s="371"/>
      <c r="EJ95" s="371"/>
      <c r="EK95" s="371"/>
      <c r="EL95" s="371"/>
      <c r="EM95" s="371"/>
      <c r="EN95" s="371"/>
      <c r="EO95" s="371"/>
      <c r="EP95" s="371"/>
      <c r="EQ95" s="371"/>
      <c r="ER95" s="371"/>
      <c r="ES95" s="371"/>
      <c r="ET95" s="371"/>
      <c r="EU95" s="371"/>
      <c r="EV95" s="371"/>
      <c r="EW95" s="371"/>
      <c r="EX95" s="371"/>
      <c r="EY95" s="371"/>
      <c r="EZ95" s="371"/>
      <c r="FA95" s="371"/>
      <c r="FB95" s="371"/>
      <c r="FC95" s="371"/>
      <c r="FD95" s="371"/>
      <c r="FE95" s="371"/>
      <c r="FF95" s="371"/>
      <c r="FG95" s="371"/>
      <c r="FH95" s="371"/>
      <c r="FI95" s="371"/>
      <c r="FJ95" s="371"/>
      <c r="FK95" s="371"/>
      <c r="FL95" s="371"/>
      <c r="FM95" s="371"/>
      <c r="FN95" s="371"/>
      <c r="FO95" s="371"/>
      <c r="FP95" s="371"/>
      <c r="FQ95" s="371"/>
      <c r="FR95" s="371"/>
      <c r="FS95" s="371"/>
      <c r="FT95" s="371"/>
      <c r="FU95" s="371"/>
      <c r="FV95" s="371"/>
      <c r="FW95" s="372"/>
      <c r="FX95" s="500"/>
      <c r="FY95" s="500"/>
      <c r="FZ95" s="1219"/>
      <c r="GA95" s="1184"/>
      <c r="GB95" s="1184"/>
      <c r="GC95" s="1184"/>
      <c r="GD95" s="1184"/>
    </row>
    <row s="1632" customFormat="1" customHeight="1" ht="15" hidden="1">
      <c r="A96" s="1582"/>
      <c r="B96" s="964" cm="1" t="str">
        <f t="array" ref="B96:B96">B95</f>
        <v>false</v>
      </c>
      <c r="C96" s="1325" t="s">
        <v>2135</v>
      </c>
      <c r="D96" s="1294" t="s">
        <v>2136</v>
      </c>
      <c r="E96" s="797">
        <v>15.8</v>
      </c>
      <c r="F96" s="922" cm="1" t="str">
        <f t="array" ref="F96:F96">OFFSET(G96,-1,-1)</f>
        <v>1</v>
      </c>
      <c r="G96" s="739" t="s">
        <v>1731</v>
      </c>
      <c r="H96" s="213" t="s">
        <v>2137</v>
      </c>
      <c r="I96" s="213" t="s">
        <v>2090</v>
      </c>
      <c r="J96" s="1315"/>
      <c r="K96" s="1315" cm="1" t="str">
        <f t="array" ref="K96:K96">OFFSET(J96,-1,1)</f>
        <v>ТЭ.42.28873685.0002</v>
      </c>
      <c r="L96" s="1315"/>
      <c r="M96" s="1315" t="s">
        <v>1726</v>
      </c>
      <c r="N96" s="1315" t="s">
        <v>2093</v>
      </c>
      <c r="O96" s="1316" t="s">
        <v>2094</v>
      </c>
      <c r="P96" s="1315" t="s">
        <v>2138</v>
      </c>
      <c r="Q96" s="1315"/>
      <c r="R96" s="928"/>
      <c r="S96" s="500"/>
      <c r="T96" s="808" cm="1" t="str">
        <f t="array" ref="T96:T96">T95</f>
        <v>false</v>
      </c>
      <c r="U96" s="1582"/>
      <c r="V96" s="1582"/>
      <c r="W96" s="1582"/>
      <c r="X96" s="1582"/>
      <c r="Y96" s="1582"/>
      <c r="Z96" s="1582"/>
      <c r="AA96" s="500"/>
      <c r="AB96" s="276" t="s">
        <v>2139</v>
      </c>
      <c r="AC96" s="172" t="s">
        <v>900</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5021.63</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5021.63</v>
      </c>
      <c r="AF96" s="368">
        <f>IF(AD96=0,0,(AE96-AD96)/AD96*100)</f>
        <v>0</v>
      </c>
      <c r="AG96" s="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4077.31783321006</v>
      </c>
      <c r="AH96" s="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8">
        <f>IF(AG96=0,0,(AH96-AG96)/AG96*100)</f>
        <v>-100</v>
      </c>
      <c r="AJ96" s="67">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7">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8">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8">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8">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8">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8">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8">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8">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8">
        <f>IF(BE96=0,0,(BF96-BE96)/BE96*100)</f>
        <v>0</v>
      </c>
      <c r="BH96" s="67">
        <f>IF(BH98=0,0,(BH97*BH98+BH99*BH100*6)/BH98)</f>
        <v>0</v>
      </c>
      <c r="BI96" s="67">
        <f>IF(BI98=0,0,(BI97*BI98+BI99*BI100*6)/BI98)</f>
        <v>0</v>
      </c>
      <c r="BJ96" s="368">
        <f>IF(BH96=0,0,(BI96-BH96)/BH96*100)</f>
        <v>0</v>
      </c>
      <c r="BK96" s="67">
        <f>IF(BK98=0,0,(BK97*BK98+BK99*BK100*6)/BK98)</f>
        <v>0</v>
      </c>
      <c r="BL96" s="67">
        <f>IF(BL98=0,0,(BL97*BL98+BL99*BL100*6)/BL98)</f>
        <v>0</v>
      </c>
      <c r="BM96" s="368">
        <f>IF(BK96=0,0,(BL96-BK96)/BK96*100)</f>
        <v>0</v>
      </c>
      <c r="BN96" s="67">
        <f>IF(BN98=0,0,(BN97*BN98+BN99*BN100*6)/BN98)</f>
        <v>0</v>
      </c>
      <c r="BO96" s="67">
        <f>IF(BO98=0,0,(BO97*BO98+BO99*BO100*6)/BO98)</f>
        <v>0</v>
      </c>
      <c r="BP96" s="368">
        <f>IF(BN96=0,0,(BO96-BN96)/BN96*100)</f>
        <v>0</v>
      </c>
      <c r="BQ96" s="67">
        <f>IF(BQ98=0,0,(BQ97*BQ98+BQ99*BQ100*6)/BQ98)</f>
        <v>0</v>
      </c>
      <c r="BR96" s="67">
        <f>IF(BR98=0,0,(BR97*BR98+BR99*BR100*6)/BR98)</f>
        <v>0</v>
      </c>
      <c r="BS96" s="368">
        <f>IF(BQ96=0,0,(BR96-BQ96)/BQ96*100)</f>
        <v>0</v>
      </c>
      <c r="BT96" s="67">
        <f>IF(BT98=0,0,(BT97*BT98+BT99*BT100*6)/BT98)</f>
        <v>0</v>
      </c>
      <c r="BU96" s="67">
        <f>IF(BU98=0,0,(BU97*BU98+BU99*BU100*6)/BU98)</f>
        <v>0</v>
      </c>
      <c r="BV96" s="368">
        <f>IF(BT96=0,0,(BU96-BT96)/BT96*100)</f>
        <v>0</v>
      </c>
      <c r="BW96" s="67">
        <f>IF(BW98=0,0,(BW97*BW98+BW99*BW100*6)/BW98)</f>
        <v>0</v>
      </c>
      <c r="BX96" s="67">
        <f>IF(BX98=0,0,(BX97*BX98+BX99*BX100*6)/BX98)</f>
        <v>0</v>
      </c>
      <c r="BY96" s="368">
        <f>IF(BW96=0,0,(BX96-BW96)/BW96*100)</f>
        <v>0</v>
      </c>
      <c r="BZ96" s="67">
        <f>IF(BZ98=0,0,(BZ97*BZ98+BZ99*BZ100*6)/BZ98)</f>
        <v>0</v>
      </c>
      <c r="CA96" s="67">
        <f>IF(CA98=0,0,(CA97*CA98+CA99*CA100*6)/CA98)</f>
        <v>0</v>
      </c>
      <c r="CB96" s="368">
        <f>IF(BZ96=0,0,(CA96-BZ96)/BZ96*100)</f>
        <v>0</v>
      </c>
      <c r="CC96" s="67">
        <f>IF(CC98=0,0,(CC97*CC98+CC99*CC100*6)/CC98)</f>
        <v>0</v>
      </c>
      <c r="CD96" s="67">
        <f>IF(CD98=0,0,(CD97*CD98+CD99*CD100*6)/CD98)</f>
        <v>0</v>
      </c>
      <c r="CE96" s="368">
        <f>IF(CC96=0,0,(CD96-CC96)/CC96*100)</f>
        <v>0</v>
      </c>
      <c r="CF96" s="67">
        <f>IF(CF98=0,0,(CF97*CF98+CF99*CF100*6)/CF98)</f>
        <v>0</v>
      </c>
      <c r="CG96" s="67">
        <f>IF(CG98=0,0,(CG97*CG98+CG99*CG100*6)/CG98)</f>
        <v>0</v>
      </c>
      <c r="CH96" s="368">
        <f>IF(CF96=0,0,(CG96-CF96)/CF96*100)</f>
        <v>0</v>
      </c>
      <c r="CI96" s="67">
        <f>IF(CI98=0,0,(CI97*CI98+CI99*CI100*6)/CI98)</f>
        <v>0</v>
      </c>
      <c r="CJ96" s="67">
        <f>IF(CJ98=0,0,(CJ97*CJ98+CJ99*CJ100*6)/CJ98)</f>
        <v>0</v>
      </c>
      <c r="CK96" s="368">
        <f>IF(CI96=0,0,(CJ96-CI96)/CI96*100)</f>
        <v>0</v>
      </c>
      <c r="CL96" s="67">
        <f>IF(CL98=0,0,(CL97*CL98+CL99*CL100*6)/CL98)</f>
        <v>0</v>
      </c>
      <c r="CM96" s="67">
        <f>IF(CM98=0,0,(CM97*CM98+CM99*CM100*6)/CM98)</f>
        <v>0</v>
      </c>
      <c r="CN96" s="368">
        <f>IF(CL96=0,0,(CM96-CL96)/CL96*100)</f>
        <v>0</v>
      </c>
      <c r="CO96" s="67">
        <f>IF(CO98=0,0,(CO97*CO98+CO99*CO100*6)/CO98)</f>
        <v>0</v>
      </c>
      <c r="CP96" s="67">
        <f>IF(CP98=0,0,(CP97*CP98+CP99*CP100*6)/CP98)</f>
        <v>0</v>
      </c>
      <c r="CQ96" s="368">
        <f>IF(CO96=0,0,(CP96-CO96)/CO96*100)</f>
        <v>0</v>
      </c>
      <c r="CR96" s="67">
        <f>IF(CR98=0,0,(CR97*CR98+CR99*CR100*6)/CR98)</f>
        <v>0</v>
      </c>
      <c r="CS96" s="67">
        <f>IF(CS98=0,0,(CS97*CS98+CS99*CS100*6)/CS98)</f>
        <v>0</v>
      </c>
      <c r="CT96" s="368">
        <f>IF(CR96=0,0,(CS96-CR96)/CR96*100)</f>
        <v>0</v>
      </c>
      <c r="CU96" s="67">
        <f>IF(CU98=0,0,(CU97*CU98+CU99*CU100*6)/CU98)</f>
        <v>0</v>
      </c>
      <c r="CV96" s="67">
        <f>IF(CV98=0,0,(CV97*CV98+CV99*CV100*6)/CV98)</f>
        <v>0</v>
      </c>
      <c r="CW96" s="368">
        <f>IF(CU96=0,0,(CV96-CU96)/CU96*100)</f>
        <v>0</v>
      </c>
      <c r="CX96" s="67">
        <f>IF(CX98=0,0,(CX97*CX98+CX99*CX100*6)/CX98)</f>
        <v>0</v>
      </c>
      <c r="CY96" s="67">
        <f>IF(CY98=0,0,(CY97*CY98+CY99*CY100*6)/CY98)</f>
        <v>0</v>
      </c>
      <c r="CZ96" s="368">
        <f>IF(CX96=0,0,(CY96-CX96)/CX96*100)</f>
        <v>0</v>
      </c>
      <c r="DA96" s="67">
        <f>IF(DA98=0,0,(DA97*DA98+DA99*DA100*6)/DA98)</f>
        <v>0</v>
      </c>
      <c r="DB96" s="67">
        <f>IF(DB98=0,0,(DB97*DB98+DB99*DB100*6)/DB98)</f>
        <v>0</v>
      </c>
      <c r="DC96" s="368">
        <f>IF(DA96=0,0,(DB96-DA96)/DA96*100)</f>
        <v>0</v>
      </c>
      <c r="DD96" s="67">
        <f>IF(DD98=0,0,(DD97*DD98+DD99*DD100*6)/DD98)</f>
        <v>0</v>
      </c>
      <c r="DE96" s="67">
        <f>IF(DE98=0,0,(DE97*DE98+DE99*DE100*6)/DE98)</f>
        <v>0</v>
      </c>
      <c r="DF96" s="368">
        <f>IF(DD96=0,0,(DE96-DD96)/DD96*100)</f>
        <v>0</v>
      </c>
      <c r="DG96" s="67">
        <f>IF(DG98=0,0,(DG97*DG98+DG99*DG100*6)/DG98)</f>
        <v>0</v>
      </c>
      <c r="DH96" s="67">
        <f>IF(DH98=0,0,(DH97*DH98+DH99*DH100*6)/DH98)</f>
        <v>0</v>
      </c>
      <c r="DI96" s="368">
        <f>IF(DG96=0,0,(DH96-DG96)/DG96*100)</f>
        <v>0</v>
      </c>
      <c r="DJ96" s="67">
        <f>IF(DJ98=0,0,(DJ97*DJ98+DJ99*DJ100*6)/DJ98)</f>
        <v>0</v>
      </c>
      <c r="DK96" s="67">
        <f>IF(DK98=0,0,(DK97*DK98+DK99*DK100*6)/DK98)</f>
        <v>0</v>
      </c>
      <c r="DL96" s="368">
        <f>IF(DJ96=0,0,(DK96-DJ96)/DJ96*100)</f>
        <v>0</v>
      </c>
      <c r="DM96" s="67">
        <f>IF(DM98=0,0,(DM97*DM98+DM99*DM100*6)/DM98)</f>
        <v>0</v>
      </c>
      <c r="DN96" s="67">
        <f>IF(DN98=0,0,(DN97*DN98+DN99*DN100*6)/DN98)</f>
        <v>0</v>
      </c>
      <c r="DO96" s="368">
        <f>IF(DM96=0,0,(DN96-DM96)/DM96*100)</f>
        <v>0</v>
      </c>
      <c r="DP96" s="67">
        <f>IF(DP98=0,0,(DP97*DP98+DP99*DP100*6)/DP98)</f>
        <v>0</v>
      </c>
      <c r="DQ96" s="67">
        <f>IF(DQ98=0,0,(DQ97*DQ98+DQ99*DQ100*6)/DQ98)</f>
        <v>0</v>
      </c>
      <c r="DR96" s="368">
        <f>IF(DP96=0,0,(DQ96-DP96)/DP96*100)</f>
        <v>0</v>
      </c>
      <c r="DS96" s="67">
        <f>IF(DS98=0,0,(DS97*DS98+DS99*DS100*6)/DS98)</f>
        <v>0</v>
      </c>
      <c r="DT96" s="67">
        <f>IF(DT98=0,0,(DT97*DT98+DT99*DT100*6)/DT98)</f>
        <v>0</v>
      </c>
      <c r="DU96" s="368">
        <f>IF(DS96=0,0,(DT96-DS96)/DS96*100)</f>
        <v>0</v>
      </c>
      <c r="DV96" s="67">
        <f>IF(DV98=0,0,(DV97*DV98+DV99*DV100*6)/DV98)</f>
        <v>0</v>
      </c>
      <c r="DW96" s="67">
        <f>IF(DW98=0,0,(DW97*DW98+DW99*DW100*6)/DW98)</f>
        <v>0</v>
      </c>
      <c r="DX96" s="368">
        <f>IF(DV96=0,0,(DW96-DV96)/DV96*100)</f>
        <v>0</v>
      </c>
      <c r="DY96" s="67">
        <f>IF(DY98=0,0,(DY97*DY98+DY99*DY100*6)/DY98)</f>
        <v>0</v>
      </c>
      <c r="DZ96" s="67">
        <f>IF(DZ98=0,0,(DZ97*DZ98+DZ99*DZ100*6)/DZ98)</f>
        <v>0</v>
      </c>
      <c r="EA96" s="368">
        <f>IF(DY96=0,0,(DZ96-DY96)/DY96*100)</f>
        <v>0</v>
      </c>
      <c r="EB96" s="67">
        <f>IF(EB98=0,0,(EB97*EB98+EB99*EB100*6)/EB98)</f>
        <v>0</v>
      </c>
      <c r="EC96" s="67">
        <f>IF(EC98=0,0,(EC97*EC98+EC99*EC100*6)/EC98)</f>
        <v>0</v>
      </c>
      <c r="ED96" s="368">
        <f>IF(EB96=0,0,(EC96-EB96)/EB96*100)</f>
        <v>0</v>
      </c>
      <c r="EE96" s="67">
        <f>IF(EE98=0,0,(EE97*EE98+EE99*EE100*6)/EE98)</f>
        <v>0</v>
      </c>
      <c r="EF96" s="67">
        <f>IF(EF98=0,0,(EF97*EF98+EF99*EF100*6)/EF98)</f>
        <v>0</v>
      </c>
      <c r="EG96" s="368">
        <f>IF(EE96=0,0,(EF96-EE96)/EE96*100)</f>
        <v>0</v>
      </c>
      <c r="EH96" s="67">
        <f>IF(EH98=0,0,(EH97*EH98+EH99*EH100*6)/EH98)</f>
        <v>0</v>
      </c>
      <c r="EI96" s="67">
        <f>IF(EI98=0,0,(EI97*EI98+EI99*EI100*6)/EI98)</f>
        <v>0</v>
      </c>
      <c r="EJ96" s="368">
        <f>IF(EH96=0,0,(EI96-EH96)/EH96*100)</f>
        <v>0</v>
      </c>
      <c r="EK96" s="67">
        <f>IF(EK98=0,0,(EK97*EK98+EK99*EK100*6)/EK98)</f>
        <v>0</v>
      </c>
      <c r="EL96" s="67">
        <f>IF(EL98=0,0,(EL97*EL98+EL99*EL100*6)/EL98)</f>
        <v>0</v>
      </c>
      <c r="EM96" s="368">
        <f>IF(EK96=0,0,(EL96-EK96)/EK96*100)</f>
        <v>0</v>
      </c>
      <c r="EN96" s="67">
        <f>IF(EN98=0,0,(EN97*EN98+EN99*EN100*6)/EN98)</f>
        <v>0</v>
      </c>
      <c r="EO96" s="67">
        <f>IF(EO98=0,0,(EO97*EO98+EO99*EO100*6)/EO98)</f>
        <v>0</v>
      </c>
      <c r="EP96" s="368">
        <f>IF(EN96=0,0,(EO96-EN96)/EN96*100)</f>
        <v>0</v>
      </c>
      <c r="EQ96" s="67">
        <f>IF(EQ98=0,0,(EQ97*EQ98+EQ99*EQ100*6)/EQ98)</f>
        <v>0</v>
      </c>
      <c r="ER96" s="67">
        <f>IF(ER98=0,0,(ER97*ER98+ER99*ER100*6)/ER98)</f>
        <v>0</v>
      </c>
      <c r="ES96" s="368">
        <f>IF(EQ96=0,0,(ER96-EQ96)/EQ96*100)</f>
        <v>0</v>
      </c>
      <c r="ET96" s="67">
        <f>IF(ET98=0,0,(ET97*ET98+ET99*ET100*6)/ET98)</f>
        <v>0</v>
      </c>
      <c r="EU96" s="67">
        <f>IF(EU98=0,0,(EU97*EU98+EU99*EU100*6)/EU98)</f>
        <v>0</v>
      </c>
      <c r="EV96" s="368">
        <f>IF(ET96=0,0,(EU96-ET96)/ET96*100)</f>
        <v>0</v>
      </c>
      <c r="EW96" s="67">
        <f>IF(EW98=0,0,(EW97*EW98+EW99*EW100*6)/EW98)</f>
        <v>0</v>
      </c>
      <c r="EX96" s="67">
        <f>IF(EX98=0,0,(EX97*EX98+EX99*EX100*6)/EX98)</f>
        <v>0</v>
      </c>
      <c r="EY96" s="368">
        <f>IF(EW96=0,0,(EX96-EW96)/EW96*100)</f>
        <v>0</v>
      </c>
      <c r="EZ96" s="67">
        <f>IF(EZ98=0,0,(EZ97*EZ98+EZ99*EZ100*6)/EZ98)</f>
        <v>0</v>
      </c>
      <c r="FA96" s="67">
        <f>IF(FA98=0,0,(FA97*FA98+FA99*FA100*6)/FA98)</f>
        <v>0</v>
      </c>
      <c r="FB96" s="368">
        <f>IF(EZ96=0,0,(FA96-EZ96)/EZ96*100)</f>
        <v>0</v>
      </c>
      <c r="FC96" s="67">
        <f>IF(FC98=0,0,(FC97*FC98+FC99*FC100*6)/FC98)</f>
        <v>0</v>
      </c>
      <c r="FD96" s="67">
        <f>IF(FD98=0,0,(FD97*FD98+FD99*FD100*6)/FD98)</f>
        <v>0</v>
      </c>
      <c r="FE96" s="368">
        <f>IF(FC96=0,0,(FD96-FC96)/FC96*100)</f>
        <v>0</v>
      </c>
      <c r="FF96" s="67">
        <f>IF(FF98=0,0,(FF97*FF98+FF99*FF100*6)/FF98)</f>
        <v>0</v>
      </c>
      <c r="FG96" s="67">
        <f>IF(FG98=0,0,(FG97*FG98+FG99*FG100*6)/FG98)</f>
        <v>0</v>
      </c>
      <c r="FH96" s="368">
        <f>IF(FF96=0,0,(FG96-FF96)/FF96*100)</f>
        <v>0</v>
      </c>
      <c r="FI96" s="67">
        <f>IF(FI98=0,0,(FI97*FI98+FI99*FI100*6)/FI98)</f>
        <v>0</v>
      </c>
      <c r="FJ96" s="67">
        <f>IF(FJ98=0,0,(FJ97*FJ98+FJ99*FJ100*6)/FJ98)</f>
        <v>0</v>
      </c>
      <c r="FK96" s="368">
        <f>IF(FI96=0,0,(FJ96-FI96)/FI96*100)</f>
        <v>0</v>
      </c>
      <c r="FL96" s="67">
        <f>IF(FL98=0,0,(FL97*FL98+FL99*FL100*6)/FL98)</f>
        <v>0</v>
      </c>
      <c r="FM96" s="67">
        <f>IF(FM98=0,0,(FM97*FM98+FM99*FM100*6)/FM98)</f>
        <v>0</v>
      </c>
      <c r="FN96" s="368">
        <f>IF(FL96=0,0,(FM96-FL96)/FL96*100)</f>
        <v>0</v>
      </c>
      <c r="FO96" s="67">
        <f>IF(FO98=0,0,(FO97*FO98+FO99*FO100*6)/FO98)</f>
        <v>0</v>
      </c>
      <c r="FP96" s="67">
        <f>IF(FP98=0,0,(FP97*FP98+FP99*FP100*6)/FP98)</f>
        <v>0</v>
      </c>
      <c r="FQ96" s="368">
        <f>IF(FO96=0,0,(FP96-FO96)/FO96*100)</f>
        <v>0</v>
      </c>
      <c r="FR96" s="67">
        <f>IF(FR98=0,0,(FR97*FR98+FR99*FR100*6)/FR98)</f>
        <v>0</v>
      </c>
      <c r="FS96" s="67">
        <f>IF(FS98=0,0,(FS97*FS98+FS99*FS100*6)/FS98)</f>
        <v>0</v>
      </c>
      <c r="FT96" s="368">
        <f>IF(FR96=0,0,(FS96-FR96)/FR96*100)</f>
        <v>0</v>
      </c>
      <c r="FU96" s="67">
        <f>IF(FU98=0,0,(FU97*FU98+FU99*FU100*6)/FU98)</f>
        <v>0</v>
      </c>
      <c r="FV96" s="67">
        <f>IF(FV98=0,0,(FV97*FV98+FV99*FV100*6)/FV98)</f>
        <v>0</v>
      </c>
      <c r="FW96" s="368">
        <f>IF(FU96=0,0,(FV96-FU96)/FU96*100)</f>
        <v>0</v>
      </c>
      <c r="FX96" s="500"/>
      <c r="FY96" s="500"/>
      <c r="FZ96" s="1184" t="s">
        <v>2140</v>
      </c>
      <c r="GA96" s="1184"/>
      <c r="GB96" s="1184"/>
      <c r="GC96" s="1184"/>
      <c r="GD96" s="1184"/>
    </row>
    <row s="1632" customFormat="1" customHeight="1" ht="15" hidden="1">
      <c r="A97" s="1582"/>
      <c r="B97" s="964" cm="1" t="str">
        <f t="array" ref="B97:B97">B96</f>
        <v>false</v>
      </c>
      <c r="C97" s="1325" t="s">
        <v>2141</v>
      </c>
      <c r="D97" s="1294" t="s">
        <v>2142</v>
      </c>
      <c r="E97" s="797">
        <v>15.8</v>
      </c>
      <c r="F97" s="922" cm="1" t="str">
        <f t="array" ref="F97:F97">OFFSET(G97,-1,-1)</f>
        <v>1</v>
      </c>
      <c r="G97" s="739" t="s">
        <v>1764</v>
      </c>
      <c r="H97" s="213" t="s">
        <v>2143</v>
      </c>
      <c r="I97" s="213" t="s">
        <v>2090</v>
      </c>
      <c r="J97" s="1315"/>
      <c r="K97" s="1315" cm="1" t="str">
        <f t="array" ref="K97:K97">OFFSET(J97,-1,1)</f>
        <v>ТЭ.42.28873685.0002</v>
      </c>
      <c r="L97" s="1315"/>
      <c r="M97" s="1315" t="s">
        <v>1726</v>
      </c>
      <c r="N97" s="1315" t="s">
        <v>2093</v>
      </c>
      <c r="O97" s="1316" t="s">
        <v>2094</v>
      </c>
      <c r="P97" s="1315" t="s">
        <v>2144</v>
      </c>
      <c r="Q97" s="1315"/>
      <c r="R97" s="928"/>
      <c r="S97" s="500"/>
      <c r="T97" s="808" cm="1" t="str">
        <f t="array" ref="T97:T97">T96</f>
        <v>false</v>
      </c>
      <c r="U97" s="1582"/>
      <c r="V97" s="1582"/>
      <c r="W97" s="1582"/>
      <c r="X97" s="1582"/>
      <c r="Y97" s="1582"/>
      <c r="Z97" s="1582"/>
      <c r="AA97" s="500"/>
      <c r="AB97" s="276" t="s">
        <v>2145</v>
      </c>
      <c r="AC97" s="172" t="s">
        <v>900</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913.078563810878</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913.078563810878</v>
      </c>
      <c r="AF97" s="368">
        <f>IF(AD97=0,0,(AE97-AD97)/AD97*100)</f>
        <v>0</v>
      </c>
      <c r="AG97" s="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8">
        <f>IF(AG97=0,0,(AH97-AG97)/AG97*100)</f>
        <v>0</v>
      </c>
      <c r="AJ97" s="67">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7">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8">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8">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8">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8">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8">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8">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8">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8">
        <f>IF(BE97=0,0,(BF97-BE97)/BE97*100)</f>
        <v>0</v>
      </c>
      <c r="BH97" s="67"/>
      <c r="BI97" s="67"/>
      <c r="BJ97" s="368">
        <f>IF(BH97=0,0,(BI97-BH97)/BH97*100)</f>
        <v>0</v>
      </c>
      <c r="BK97" s="67"/>
      <c r="BL97" s="67"/>
      <c r="BM97" s="368">
        <f>IF(BK97=0,0,(BL97-BK97)/BK97*100)</f>
        <v>0</v>
      </c>
      <c r="BN97" s="67"/>
      <c r="BO97" s="67"/>
      <c r="BP97" s="368">
        <f>IF(BN97=0,0,(BO97-BN97)/BN97*100)</f>
        <v>0</v>
      </c>
      <c r="BQ97" s="67"/>
      <c r="BR97" s="67"/>
      <c r="BS97" s="368">
        <f>IF(BQ97=0,0,(BR97-BQ97)/BQ97*100)</f>
        <v>0</v>
      </c>
      <c r="BT97" s="67"/>
      <c r="BU97" s="67"/>
      <c r="BV97" s="368">
        <f>IF(BT97=0,0,(BU97-BT97)/BT97*100)</f>
        <v>0</v>
      </c>
      <c r="BW97" s="67"/>
      <c r="BX97" s="67"/>
      <c r="BY97" s="368">
        <f>IF(BW97=0,0,(BX97-BW97)/BW97*100)</f>
        <v>0</v>
      </c>
      <c r="BZ97" s="67"/>
      <c r="CA97" s="67"/>
      <c r="CB97" s="368">
        <f>IF(BZ97=0,0,(CA97-BZ97)/BZ97*100)</f>
        <v>0</v>
      </c>
      <c r="CC97" s="67"/>
      <c r="CD97" s="67"/>
      <c r="CE97" s="368">
        <f>IF(CC97=0,0,(CD97-CC97)/CC97*100)</f>
        <v>0</v>
      </c>
      <c r="CF97" s="67"/>
      <c r="CG97" s="67"/>
      <c r="CH97" s="368">
        <f>IF(CF97=0,0,(CG97-CF97)/CF97*100)</f>
        <v>0</v>
      </c>
      <c r="CI97" s="67"/>
      <c r="CJ97" s="67"/>
      <c r="CK97" s="368">
        <f>IF(CI97=0,0,(CJ97-CI97)/CI97*100)</f>
        <v>0</v>
      </c>
      <c r="CL97" s="67"/>
      <c r="CM97" s="67"/>
      <c r="CN97" s="368">
        <f>IF(CL97=0,0,(CM97-CL97)/CL97*100)</f>
        <v>0</v>
      </c>
      <c r="CO97" s="67"/>
      <c r="CP97" s="67"/>
      <c r="CQ97" s="368">
        <f>IF(CO97=0,0,(CP97-CO97)/CO97*100)</f>
        <v>0</v>
      </c>
      <c r="CR97" s="67"/>
      <c r="CS97" s="67"/>
      <c r="CT97" s="368">
        <f>IF(CR97=0,0,(CS97-CR97)/CR97*100)</f>
        <v>0</v>
      </c>
      <c r="CU97" s="67"/>
      <c r="CV97" s="67"/>
      <c r="CW97" s="368">
        <f>IF(CU97=0,0,(CV97-CU97)/CU97*100)</f>
        <v>0</v>
      </c>
      <c r="CX97" s="67"/>
      <c r="CY97" s="67"/>
      <c r="CZ97" s="368">
        <f>IF(CX97=0,0,(CY97-CX97)/CX97*100)</f>
        <v>0</v>
      </c>
      <c r="DA97" s="67"/>
      <c r="DB97" s="67"/>
      <c r="DC97" s="368">
        <f>IF(DA97=0,0,(DB97-DA97)/DA97*100)</f>
        <v>0</v>
      </c>
      <c r="DD97" s="67"/>
      <c r="DE97" s="67"/>
      <c r="DF97" s="368">
        <f>IF(DD97=0,0,(DE97-DD97)/DD97*100)</f>
        <v>0</v>
      </c>
      <c r="DG97" s="67"/>
      <c r="DH97" s="67"/>
      <c r="DI97" s="368">
        <f>IF(DG97=0,0,(DH97-DG97)/DG97*100)</f>
        <v>0</v>
      </c>
      <c r="DJ97" s="67"/>
      <c r="DK97" s="67"/>
      <c r="DL97" s="368">
        <f>IF(DJ97=0,0,(DK97-DJ97)/DJ97*100)</f>
        <v>0</v>
      </c>
      <c r="DM97" s="67"/>
      <c r="DN97" s="67"/>
      <c r="DO97" s="368">
        <f>IF(DM97=0,0,(DN97-DM97)/DM97*100)</f>
        <v>0</v>
      </c>
      <c r="DP97" s="67"/>
      <c r="DQ97" s="67"/>
      <c r="DR97" s="368">
        <f>IF(DP97=0,0,(DQ97-DP97)/DP97*100)</f>
        <v>0</v>
      </c>
      <c r="DS97" s="67"/>
      <c r="DT97" s="67"/>
      <c r="DU97" s="368">
        <f>IF(DS97=0,0,(DT97-DS97)/DS97*100)</f>
        <v>0</v>
      </c>
      <c r="DV97" s="67"/>
      <c r="DW97" s="67"/>
      <c r="DX97" s="368">
        <f>IF(DV97=0,0,(DW97-DV97)/DV97*100)</f>
        <v>0</v>
      </c>
      <c r="DY97" s="67"/>
      <c r="DZ97" s="67"/>
      <c r="EA97" s="368">
        <f>IF(DY97=0,0,(DZ97-DY97)/DY97*100)</f>
        <v>0</v>
      </c>
      <c r="EB97" s="67"/>
      <c r="EC97" s="67"/>
      <c r="ED97" s="368">
        <f>IF(EB97=0,0,(EC97-EB97)/EB97*100)</f>
        <v>0</v>
      </c>
      <c r="EE97" s="67"/>
      <c r="EF97" s="67"/>
      <c r="EG97" s="368">
        <f>IF(EE97=0,0,(EF97-EE97)/EE97*100)</f>
        <v>0</v>
      </c>
      <c r="EH97" s="67"/>
      <c r="EI97" s="67"/>
      <c r="EJ97" s="368">
        <f>IF(EH97=0,0,(EI97-EH97)/EH97*100)</f>
        <v>0</v>
      </c>
      <c r="EK97" s="67"/>
      <c r="EL97" s="67"/>
      <c r="EM97" s="368">
        <f>IF(EK97=0,0,(EL97-EK97)/EK97*100)</f>
        <v>0</v>
      </c>
      <c r="EN97" s="67"/>
      <c r="EO97" s="67"/>
      <c r="EP97" s="368">
        <f>IF(EN97=0,0,(EO97-EN97)/EN97*100)</f>
        <v>0</v>
      </c>
      <c r="EQ97" s="67"/>
      <c r="ER97" s="67"/>
      <c r="ES97" s="368">
        <f>IF(EQ97=0,0,(ER97-EQ97)/EQ97*100)</f>
        <v>0</v>
      </c>
      <c r="ET97" s="67"/>
      <c r="EU97" s="67"/>
      <c r="EV97" s="368">
        <f>IF(ET97=0,0,(EU97-ET97)/ET97*100)</f>
        <v>0</v>
      </c>
      <c r="EW97" s="67"/>
      <c r="EX97" s="67"/>
      <c r="EY97" s="368">
        <f>IF(EW97=0,0,(EX97-EW97)/EW97*100)</f>
        <v>0</v>
      </c>
      <c r="EZ97" s="67"/>
      <c r="FA97" s="67"/>
      <c r="FB97" s="368">
        <f>IF(EZ97=0,0,(FA97-EZ97)/EZ97*100)</f>
        <v>0</v>
      </c>
      <c r="FC97" s="67"/>
      <c r="FD97" s="67"/>
      <c r="FE97" s="368">
        <f>IF(FC97=0,0,(FD97-FC97)/FC97*100)</f>
        <v>0</v>
      </c>
      <c r="FF97" s="67"/>
      <c r="FG97" s="67"/>
      <c r="FH97" s="368">
        <f>IF(FF97=0,0,(FG97-FF97)/FF97*100)</f>
        <v>0</v>
      </c>
      <c r="FI97" s="67"/>
      <c r="FJ97" s="67"/>
      <c r="FK97" s="368">
        <f>IF(FI97=0,0,(FJ97-FI97)/FI97*100)</f>
        <v>0</v>
      </c>
      <c r="FL97" s="67"/>
      <c r="FM97" s="67"/>
      <c r="FN97" s="368">
        <f>IF(FL97=0,0,(FM97-FL97)/FL97*100)</f>
        <v>0</v>
      </c>
      <c r="FO97" s="67"/>
      <c r="FP97" s="67"/>
      <c r="FQ97" s="368">
        <f>IF(FO97=0,0,(FP97-FO97)/FO97*100)</f>
        <v>0</v>
      </c>
      <c r="FR97" s="67"/>
      <c r="FS97" s="67"/>
      <c r="FT97" s="368">
        <f>IF(FR97=0,0,(FS97-FR97)/FR97*100)</f>
        <v>0</v>
      </c>
      <c r="FU97" s="67"/>
      <c r="FV97" s="67"/>
      <c r="FW97" s="368">
        <f>IF(FU97=0,0,(FV97-FU97)/FU97*100)</f>
        <v>0</v>
      </c>
      <c r="FX97" s="500"/>
      <c r="FY97" s="500"/>
      <c r="FZ97" s="1184" t="s">
        <v>2146</v>
      </c>
      <c r="GA97" s="1184"/>
      <c r="GB97" s="1184"/>
      <c r="GC97" s="1184"/>
      <c r="GD97" s="1184"/>
    </row>
    <row s="1632" customFormat="1" customHeight="1" ht="15" hidden="1">
      <c r="A98" s="1582"/>
      <c r="B98" s="964" cm="1" t="str">
        <f t="array" ref="B98:B98">B97</f>
        <v>false</v>
      </c>
      <c r="C98" s="1325" t="s">
        <v>1723</v>
      </c>
      <c r="D98" s="1294" t="s">
        <v>1724</v>
      </c>
      <c r="E98" s="797">
        <v>15.8</v>
      </c>
      <c r="F98" s="922" cm="1" t="str">
        <f t="array" ref="F98:F98">OFFSET(G98,-1,-1)</f>
        <v>1</v>
      </c>
      <c r="G98" s="193" t="s">
        <v>1725</v>
      </c>
      <c r="H98" s="213" t="s">
        <v>2147</v>
      </c>
      <c r="I98" s="213" t="s">
        <v>2090</v>
      </c>
      <c r="J98" s="1315"/>
      <c r="K98" s="1315" cm="1" t="str">
        <f t="array" ref="K98:K98">OFFSET(J98,-1,1)</f>
        <v>ТЭ.42.28873685.0002</v>
      </c>
      <c r="L98" s="1315"/>
      <c r="M98" s="1315" t="s">
        <v>1726</v>
      </c>
      <c r="N98" s="1315" t="s">
        <v>2093</v>
      </c>
      <c r="O98" s="1316" t="s">
        <v>2094</v>
      </c>
      <c r="P98" s="1315" t="s">
        <v>2148</v>
      </c>
      <c r="Q98" s="1315"/>
      <c r="R98" s="928"/>
      <c r="S98" s="500"/>
      <c r="T98" s="808" cm="1" t="str">
        <f t="array" ref="T98:T98">T97</f>
        <v>false</v>
      </c>
      <c r="U98" s="1582"/>
      <c r="V98" s="1582"/>
      <c r="W98" s="1582"/>
      <c r="X98" s="1582"/>
      <c r="Y98" s="1582"/>
      <c r="Z98" s="1582"/>
      <c r="AA98" s="500"/>
      <c r="AB98" s="276" t="s">
        <v>2149</v>
      </c>
      <c r="AC98" s="172" t="s">
        <v>599</v>
      </c>
      <c r="AD98" s="148">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3126.93</v>
      </c>
      <c r="AE98" s="148">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3126.93</v>
      </c>
      <c r="AF98" s="400">
        <f>IF(AD98=0,0,(AE98-AD98)/AD98*100)</f>
        <v>0</v>
      </c>
      <c r="AG98" s="148">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8">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0">
        <f>IF(AG98=0,0,(AH98-AG98)/AG98*100)</f>
        <v>0</v>
      </c>
      <c r="AJ98" s="148">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8">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0">
        <f>IF(AJ98=0,0,(AK98-AJ98)/AJ98*100)</f>
        <v>0</v>
      </c>
      <c r="AM98" s="148">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8">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0">
        <f>IF(AM98=0,0,(AN98-AM98)/AM98*100)</f>
        <v>0</v>
      </c>
      <c r="AP98" s="148">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8">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0">
        <f>IF(AP98=0,0,(AQ98-AP98)/AP98*100)</f>
        <v>0</v>
      </c>
      <c r="AS98" s="148">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8">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0">
        <f>IF(AS98=0,0,(AT98-AS98)/AS98*100)</f>
        <v>0</v>
      </c>
      <c r="AV98" s="148">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8">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0">
        <f>IF(AV98=0,0,(AW98-AV98)/AV98*100)</f>
        <v>0</v>
      </c>
      <c r="AY98" s="148">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8">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0">
        <f>IF(AY98=0,0,(AZ98-AY98)/AY98*100)</f>
        <v>0</v>
      </c>
      <c r="BB98" s="148">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8">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0">
        <f>IF(BB98=0,0,(BC98-BB98)/BB98*100)</f>
        <v>0</v>
      </c>
      <c r="BE98" s="148">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8">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0">
        <f>IF(BE98=0,0,(BF98-BE98)/BE98*100)</f>
        <v>0</v>
      </c>
      <c r="BH98" s="148"/>
      <c r="BI98" s="148"/>
      <c r="BJ98" s="400">
        <f>IF(BH98=0,0,(BI98-BH98)/BH98*100)</f>
        <v>0</v>
      </c>
      <c r="BK98" s="148"/>
      <c r="BL98" s="148"/>
      <c r="BM98" s="400">
        <f>IF(BK98=0,0,(BL98-BK98)/BK98*100)</f>
        <v>0</v>
      </c>
      <c r="BN98" s="148"/>
      <c r="BO98" s="148"/>
      <c r="BP98" s="400">
        <f>IF(BN98=0,0,(BO98-BN98)/BN98*100)</f>
        <v>0</v>
      </c>
      <c r="BQ98" s="148"/>
      <c r="BR98" s="148"/>
      <c r="BS98" s="400">
        <f>IF(BQ98=0,0,(BR98-BQ98)/BQ98*100)</f>
        <v>0</v>
      </c>
      <c r="BT98" s="148"/>
      <c r="BU98" s="148"/>
      <c r="BV98" s="400">
        <f>IF(BT98=0,0,(BU98-BT98)/BT98*100)</f>
        <v>0</v>
      </c>
      <c r="BW98" s="148"/>
      <c r="BX98" s="148"/>
      <c r="BY98" s="400">
        <f>IF(BW98=0,0,(BX98-BW98)/BW98*100)</f>
        <v>0</v>
      </c>
      <c r="BZ98" s="148"/>
      <c r="CA98" s="148"/>
      <c r="CB98" s="400">
        <f>IF(BZ98=0,0,(CA98-BZ98)/BZ98*100)</f>
        <v>0</v>
      </c>
      <c r="CC98" s="148"/>
      <c r="CD98" s="148"/>
      <c r="CE98" s="400">
        <f>IF(CC98=0,0,(CD98-CC98)/CC98*100)</f>
        <v>0</v>
      </c>
      <c r="CF98" s="148"/>
      <c r="CG98" s="148"/>
      <c r="CH98" s="400">
        <f>IF(CF98=0,0,(CG98-CF98)/CF98*100)</f>
        <v>0</v>
      </c>
      <c r="CI98" s="148"/>
      <c r="CJ98" s="148"/>
      <c r="CK98" s="400">
        <f>IF(CI98=0,0,(CJ98-CI98)/CI98*100)</f>
        <v>0</v>
      </c>
      <c r="CL98" s="148"/>
      <c r="CM98" s="148"/>
      <c r="CN98" s="400">
        <f>IF(CL98=0,0,(CM98-CL98)/CL98*100)</f>
        <v>0</v>
      </c>
      <c r="CO98" s="148"/>
      <c r="CP98" s="148"/>
      <c r="CQ98" s="400">
        <f>IF(CO98=0,0,(CP98-CO98)/CO98*100)</f>
        <v>0</v>
      </c>
      <c r="CR98" s="148"/>
      <c r="CS98" s="148"/>
      <c r="CT98" s="400">
        <f>IF(CR98=0,0,(CS98-CR98)/CR98*100)</f>
        <v>0</v>
      </c>
      <c r="CU98" s="148"/>
      <c r="CV98" s="148"/>
      <c r="CW98" s="400">
        <f>IF(CU98=0,0,(CV98-CU98)/CU98*100)</f>
        <v>0</v>
      </c>
      <c r="CX98" s="148"/>
      <c r="CY98" s="148"/>
      <c r="CZ98" s="400">
        <f>IF(CX98=0,0,(CY98-CX98)/CX98*100)</f>
        <v>0</v>
      </c>
      <c r="DA98" s="148"/>
      <c r="DB98" s="148"/>
      <c r="DC98" s="400">
        <f>IF(DA98=0,0,(DB98-DA98)/DA98*100)</f>
        <v>0</v>
      </c>
      <c r="DD98" s="148"/>
      <c r="DE98" s="148"/>
      <c r="DF98" s="400">
        <f>IF(DD98=0,0,(DE98-DD98)/DD98*100)</f>
        <v>0</v>
      </c>
      <c r="DG98" s="148"/>
      <c r="DH98" s="148"/>
      <c r="DI98" s="400">
        <f>IF(DG98=0,0,(DH98-DG98)/DG98*100)</f>
        <v>0</v>
      </c>
      <c r="DJ98" s="148"/>
      <c r="DK98" s="148"/>
      <c r="DL98" s="400">
        <f>IF(DJ98=0,0,(DK98-DJ98)/DJ98*100)</f>
        <v>0</v>
      </c>
      <c r="DM98" s="148"/>
      <c r="DN98" s="148"/>
      <c r="DO98" s="400">
        <f>IF(DM98=0,0,(DN98-DM98)/DM98*100)</f>
        <v>0</v>
      </c>
      <c r="DP98" s="148"/>
      <c r="DQ98" s="148"/>
      <c r="DR98" s="400">
        <f>IF(DP98=0,0,(DQ98-DP98)/DP98*100)</f>
        <v>0</v>
      </c>
      <c r="DS98" s="148"/>
      <c r="DT98" s="148"/>
      <c r="DU98" s="400">
        <f>IF(DS98=0,0,(DT98-DS98)/DS98*100)</f>
        <v>0</v>
      </c>
      <c r="DV98" s="148"/>
      <c r="DW98" s="148"/>
      <c r="DX98" s="400">
        <f>IF(DV98=0,0,(DW98-DV98)/DV98*100)</f>
        <v>0</v>
      </c>
      <c r="DY98" s="148"/>
      <c r="DZ98" s="148"/>
      <c r="EA98" s="400">
        <f>IF(DY98=0,0,(DZ98-DY98)/DY98*100)</f>
        <v>0</v>
      </c>
      <c r="EB98" s="148"/>
      <c r="EC98" s="148"/>
      <c r="ED98" s="400">
        <f>IF(EB98=0,0,(EC98-EB98)/EB98*100)</f>
        <v>0</v>
      </c>
      <c r="EE98" s="148"/>
      <c r="EF98" s="148"/>
      <c r="EG98" s="400">
        <f>IF(EE98=0,0,(EF98-EE98)/EE98*100)</f>
        <v>0</v>
      </c>
      <c r="EH98" s="148"/>
      <c r="EI98" s="148"/>
      <c r="EJ98" s="400">
        <f>IF(EH98=0,0,(EI98-EH98)/EH98*100)</f>
        <v>0</v>
      </c>
      <c r="EK98" s="148"/>
      <c r="EL98" s="148"/>
      <c r="EM98" s="400">
        <f>IF(EK98=0,0,(EL98-EK98)/EK98*100)</f>
        <v>0</v>
      </c>
      <c r="EN98" s="148"/>
      <c r="EO98" s="148"/>
      <c r="EP98" s="400">
        <f>IF(EN98=0,0,(EO98-EN98)/EN98*100)</f>
        <v>0</v>
      </c>
      <c r="EQ98" s="148"/>
      <c r="ER98" s="148"/>
      <c r="ES98" s="400">
        <f>IF(EQ98=0,0,(ER98-EQ98)/EQ98*100)</f>
        <v>0</v>
      </c>
      <c r="ET98" s="148"/>
      <c r="EU98" s="148"/>
      <c r="EV98" s="400">
        <f>IF(ET98=0,0,(EU98-ET98)/ET98*100)</f>
        <v>0</v>
      </c>
      <c r="EW98" s="148"/>
      <c r="EX98" s="148"/>
      <c r="EY98" s="400">
        <f>IF(EW98=0,0,(EX98-EW98)/EW98*100)</f>
        <v>0</v>
      </c>
      <c r="EZ98" s="148"/>
      <c r="FA98" s="148"/>
      <c r="FB98" s="400">
        <f>IF(EZ98=0,0,(FA98-EZ98)/EZ98*100)</f>
        <v>0</v>
      </c>
      <c r="FC98" s="148"/>
      <c r="FD98" s="148"/>
      <c r="FE98" s="400">
        <f>IF(FC98=0,0,(FD98-FC98)/FC98*100)</f>
        <v>0</v>
      </c>
      <c r="FF98" s="148"/>
      <c r="FG98" s="148"/>
      <c r="FH98" s="400">
        <f>IF(FF98=0,0,(FG98-FF98)/FF98*100)</f>
        <v>0</v>
      </c>
      <c r="FI98" s="148"/>
      <c r="FJ98" s="148"/>
      <c r="FK98" s="400">
        <f>IF(FI98=0,0,(FJ98-FI98)/FI98*100)</f>
        <v>0</v>
      </c>
      <c r="FL98" s="148"/>
      <c r="FM98" s="148"/>
      <c r="FN98" s="400">
        <f>IF(FL98=0,0,(FM98-FL98)/FL98*100)</f>
        <v>0</v>
      </c>
      <c r="FO98" s="148"/>
      <c r="FP98" s="148"/>
      <c r="FQ98" s="400">
        <f>IF(FO98=0,0,(FP98-FO98)/FO98*100)</f>
        <v>0</v>
      </c>
      <c r="FR98" s="148"/>
      <c r="FS98" s="148"/>
      <c r="FT98" s="400">
        <f>IF(FR98=0,0,(FS98-FR98)/FR98*100)</f>
        <v>0</v>
      </c>
      <c r="FU98" s="148"/>
      <c r="FV98" s="148"/>
      <c r="FW98" s="400">
        <f>IF(FU98=0,0,(FV98-FU98)/FU98*100)</f>
        <v>0</v>
      </c>
      <c r="FX98" s="500"/>
      <c r="FY98" s="500"/>
      <c r="FZ98" s="1184" t="s">
        <v>2150</v>
      </c>
      <c r="GA98" s="1184"/>
      <c r="GB98" s="1184"/>
      <c r="GC98" s="1184"/>
      <c r="GD98" s="1184"/>
    </row>
    <row s="1632" customFormat="1" customHeight="1" ht="30" hidden="1">
      <c r="A99" s="1582"/>
      <c r="B99" s="964" cm="1" t="str">
        <f t="array" ref="B99:B99">B98</f>
        <v>false</v>
      </c>
      <c r="C99" s="1325" t="s">
        <v>1777</v>
      </c>
      <c r="D99" s="1294" t="s">
        <v>1778</v>
      </c>
      <c r="E99" s="797">
        <v>31.5</v>
      </c>
      <c r="F99" s="922" cm="1" t="str">
        <f t="array" ref="F99:F99">OFFSET(G99,-1,-1)</f>
        <v>1</v>
      </c>
      <c r="G99" s="739" t="s">
        <v>1779</v>
      </c>
      <c r="H99" s="213" t="s">
        <v>2151</v>
      </c>
      <c r="I99" s="213" t="s">
        <v>2090</v>
      </c>
      <c r="J99" s="1315"/>
      <c r="K99" s="1315" cm="1" t="str">
        <f t="array" ref="K99:K99">OFFSET(J99,-1,1)</f>
        <v>ТЭ.42.28873685.0002</v>
      </c>
      <c r="L99" s="1315"/>
      <c r="M99" s="1315" t="s">
        <v>1726</v>
      </c>
      <c r="N99" s="1315" t="s">
        <v>2093</v>
      </c>
      <c r="O99" s="1316" t="s">
        <v>2094</v>
      </c>
      <c r="P99" s="1315" t="s">
        <v>2152</v>
      </c>
      <c r="Q99" s="1315"/>
      <c r="R99" s="928"/>
      <c r="S99" s="500"/>
      <c r="T99" s="808" cm="1" t="str">
        <f t="array" ref="T99:T99">T98</f>
        <v>false</v>
      </c>
      <c r="U99" s="1582"/>
      <c r="V99" s="1582"/>
      <c r="W99" s="1582"/>
      <c r="X99" s="1582"/>
      <c r="Y99" s="1582"/>
      <c r="Z99" s="1582"/>
      <c r="AA99" s="500"/>
      <c r="AB99" s="276" t="s">
        <v>2153</v>
      </c>
      <c r="AC99" s="520" t="s">
        <v>1781</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8">
        <f>IF(AD99=0,0,(AE99-AD99)/AD99*100)</f>
        <v>0</v>
      </c>
      <c r="AG99" s="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8">
        <f>IF(AG99=0,0,(AH99-AG99)/AG99*100)</f>
        <v>0</v>
      </c>
      <c r="AJ99" s="67">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7">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8">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8">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8">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8">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8">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8">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8">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8">
        <f>IF(BE99=0,0,(BF99-BE99)/BE99*100)</f>
        <v>0</v>
      </c>
      <c r="BH99" s="67"/>
      <c r="BI99" s="67"/>
      <c r="BJ99" s="368">
        <f>IF(BH99=0,0,(BI99-BH99)/BH99*100)</f>
        <v>0</v>
      </c>
      <c r="BK99" s="67"/>
      <c r="BL99" s="67"/>
      <c r="BM99" s="368">
        <f>IF(BK99=0,0,(BL99-BK99)/BK99*100)</f>
        <v>0</v>
      </c>
      <c r="BN99" s="67"/>
      <c r="BO99" s="67"/>
      <c r="BP99" s="368">
        <f>IF(BN99=0,0,(BO99-BN99)/BN99*100)</f>
        <v>0</v>
      </c>
      <c r="BQ99" s="67"/>
      <c r="BR99" s="67"/>
      <c r="BS99" s="368">
        <f>IF(BQ99=0,0,(BR99-BQ99)/BQ99*100)</f>
        <v>0</v>
      </c>
      <c r="BT99" s="67"/>
      <c r="BU99" s="67"/>
      <c r="BV99" s="368">
        <f>IF(BT99=0,0,(BU99-BT99)/BT99*100)</f>
        <v>0</v>
      </c>
      <c r="BW99" s="67"/>
      <c r="BX99" s="67"/>
      <c r="BY99" s="368">
        <f>IF(BW99=0,0,(BX99-BW99)/BW99*100)</f>
        <v>0</v>
      </c>
      <c r="BZ99" s="67"/>
      <c r="CA99" s="67"/>
      <c r="CB99" s="368">
        <f>IF(BZ99=0,0,(CA99-BZ99)/BZ99*100)</f>
        <v>0</v>
      </c>
      <c r="CC99" s="67"/>
      <c r="CD99" s="67"/>
      <c r="CE99" s="368">
        <f>IF(CC99=0,0,(CD99-CC99)/CC99*100)</f>
        <v>0</v>
      </c>
      <c r="CF99" s="67"/>
      <c r="CG99" s="67"/>
      <c r="CH99" s="368">
        <f>IF(CF99=0,0,(CG99-CF99)/CF99*100)</f>
        <v>0</v>
      </c>
      <c r="CI99" s="67"/>
      <c r="CJ99" s="67"/>
      <c r="CK99" s="368">
        <f>IF(CI99=0,0,(CJ99-CI99)/CI99*100)</f>
        <v>0</v>
      </c>
      <c r="CL99" s="67"/>
      <c r="CM99" s="67"/>
      <c r="CN99" s="368">
        <f>IF(CL99=0,0,(CM99-CL99)/CL99*100)</f>
        <v>0</v>
      </c>
      <c r="CO99" s="67"/>
      <c r="CP99" s="67"/>
      <c r="CQ99" s="368">
        <f>IF(CO99=0,0,(CP99-CO99)/CO99*100)</f>
        <v>0</v>
      </c>
      <c r="CR99" s="67"/>
      <c r="CS99" s="67"/>
      <c r="CT99" s="368">
        <f>IF(CR99=0,0,(CS99-CR99)/CR99*100)</f>
        <v>0</v>
      </c>
      <c r="CU99" s="67"/>
      <c r="CV99" s="67"/>
      <c r="CW99" s="368">
        <f>IF(CU99=0,0,(CV99-CU99)/CU99*100)</f>
        <v>0</v>
      </c>
      <c r="CX99" s="67"/>
      <c r="CY99" s="67"/>
      <c r="CZ99" s="368">
        <f>IF(CX99=0,0,(CY99-CX99)/CX99*100)</f>
        <v>0</v>
      </c>
      <c r="DA99" s="67"/>
      <c r="DB99" s="67"/>
      <c r="DC99" s="368">
        <f>IF(DA99=0,0,(DB99-DA99)/DA99*100)</f>
        <v>0</v>
      </c>
      <c r="DD99" s="67"/>
      <c r="DE99" s="67"/>
      <c r="DF99" s="368">
        <f>IF(DD99=0,0,(DE99-DD99)/DD99*100)</f>
        <v>0</v>
      </c>
      <c r="DG99" s="67"/>
      <c r="DH99" s="67"/>
      <c r="DI99" s="368">
        <f>IF(DG99=0,0,(DH99-DG99)/DG99*100)</f>
        <v>0</v>
      </c>
      <c r="DJ99" s="67"/>
      <c r="DK99" s="67"/>
      <c r="DL99" s="368">
        <f>IF(DJ99=0,0,(DK99-DJ99)/DJ99*100)</f>
        <v>0</v>
      </c>
      <c r="DM99" s="67"/>
      <c r="DN99" s="67"/>
      <c r="DO99" s="368">
        <f>IF(DM99=0,0,(DN99-DM99)/DM99*100)</f>
        <v>0</v>
      </c>
      <c r="DP99" s="67"/>
      <c r="DQ99" s="67"/>
      <c r="DR99" s="368">
        <f>IF(DP99=0,0,(DQ99-DP99)/DP99*100)</f>
        <v>0</v>
      </c>
      <c r="DS99" s="67"/>
      <c r="DT99" s="67"/>
      <c r="DU99" s="368">
        <f>IF(DS99=0,0,(DT99-DS99)/DS99*100)</f>
        <v>0</v>
      </c>
      <c r="DV99" s="67"/>
      <c r="DW99" s="67"/>
      <c r="DX99" s="368">
        <f>IF(DV99=0,0,(DW99-DV99)/DV99*100)</f>
        <v>0</v>
      </c>
      <c r="DY99" s="67"/>
      <c r="DZ99" s="67"/>
      <c r="EA99" s="368">
        <f>IF(DY99=0,0,(DZ99-DY99)/DY99*100)</f>
        <v>0</v>
      </c>
      <c r="EB99" s="67"/>
      <c r="EC99" s="67"/>
      <c r="ED99" s="368">
        <f>IF(EB99=0,0,(EC99-EB99)/EB99*100)</f>
        <v>0</v>
      </c>
      <c r="EE99" s="67"/>
      <c r="EF99" s="67"/>
      <c r="EG99" s="368">
        <f>IF(EE99=0,0,(EF99-EE99)/EE99*100)</f>
        <v>0</v>
      </c>
      <c r="EH99" s="67"/>
      <c r="EI99" s="67"/>
      <c r="EJ99" s="368">
        <f>IF(EH99=0,0,(EI99-EH99)/EH99*100)</f>
        <v>0</v>
      </c>
      <c r="EK99" s="67"/>
      <c r="EL99" s="67"/>
      <c r="EM99" s="368">
        <f>IF(EK99=0,0,(EL99-EK99)/EK99*100)</f>
        <v>0</v>
      </c>
      <c r="EN99" s="67"/>
      <c r="EO99" s="67"/>
      <c r="EP99" s="368">
        <f>IF(EN99=0,0,(EO99-EN99)/EN99*100)</f>
        <v>0</v>
      </c>
      <c r="EQ99" s="67"/>
      <c r="ER99" s="67"/>
      <c r="ES99" s="368">
        <f>IF(EQ99=0,0,(ER99-EQ99)/EQ99*100)</f>
        <v>0</v>
      </c>
      <c r="ET99" s="67"/>
      <c r="EU99" s="67"/>
      <c r="EV99" s="368">
        <f>IF(ET99=0,0,(EU99-ET99)/ET99*100)</f>
        <v>0</v>
      </c>
      <c r="EW99" s="67"/>
      <c r="EX99" s="67"/>
      <c r="EY99" s="368">
        <f>IF(EW99=0,0,(EX99-EW99)/EW99*100)</f>
        <v>0</v>
      </c>
      <c r="EZ99" s="67"/>
      <c r="FA99" s="67"/>
      <c r="FB99" s="368">
        <f>IF(EZ99=0,0,(FA99-EZ99)/EZ99*100)</f>
        <v>0</v>
      </c>
      <c r="FC99" s="67"/>
      <c r="FD99" s="67"/>
      <c r="FE99" s="368">
        <f>IF(FC99=0,0,(FD99-FC99)/FC99*100)</f>
        <v>0</v>
      </c>
      <c r="FF99" s="67"/>
      <c r="FG99" s="67"/>
      <c r="FH99" s="368">
        <f>IF(FF99=0,0,(FG99-FF99)/FF99*100)</f>
        <v>0</v>
      </c>
      <c r="FI99" s="67"/>
      <c r="FJ99" s="67"/>
      <c r="FK99" s="368">
        <f>IF(FI99=0,0,(FJ99-FI99)/FI99*100)</f>
        <v>0</v>
      </c>
      <c r="FL99" s="67"/>
      <c r="FM99" s="67"/>
      <c r="FN99" s="368">
        <f>IF(FL99=0,0,(FM99-FL99)/FL99*100)</f>
        <v>0</v>
      </c>
      <c r="FO99" s="67"/>
      <c r="FP99" s="67"/>
      <c r="FQ99" s="368">
        <f>IF(FO99=0,0,(FP99-FO99)/FO99*100)</f>
        <v>0</v>
      </c>
      <c r="FR99" s="67"/>
      <c r="FS99" s="67"/>
      <c r="FT99" s="368">
        <f>IF(FR99=0,0,(FS99-FR99)/FR99*100)</f>
        <v>0</v>
      </c>
      <c r="FU99" s="67"/>
      <c r="FV99" s="67"/>
      <c r="FW99" s="368">
        <f>IF(FU99=0,0,(FV99-FU99)/FU99*100)</f>
        <v>0</v>
      </c>
      <c r="FX99" s="500"/>
      <c r="FY99" s="500"/>
      <c r="FZ99" s="1184" t="s">
        <v>2154</v>
      </c>
      <c r="GA99" s="1184"/>
      <c r="GB99" s="1184"/>
      <c r="GC99" s="1184"/>
      <c r="GD99" s="1184"/>
    </row>
    <row s="1632" customFormat="1" customHeight="1" ht="15" hidden="1">
      <c r="A100" s="1582"/>
      <c r="B100" s="964" cm="1" t="str">
        <f t="array" ref="B100:B100">B99</f>
        <v>false</v>
      </c>
      <c r="C100" s="1325" t="s">
        <v>1749</v>
      </c>
      <c r="D100" s="1294" t="s">
        <v>1750</v>
      </c>
      <c r="E100" s="797">
        <v>15.8</v>
      </c>
      <c r="F100" s="922" cm="1" t="str">
        <f t="array" ref="F100:F100">OFFSET(G100,-1,-1)</f>
        <v>1</v>
      </c>
      <c r="G100" s="739" t="s">
        <v>1753</v>
      </c>
      <c r="H100" s="213" t="s">
        <v>2155</v>
      </c>
      <c r="I100" s="213" t="s">
        <v>2090</v>
      </c>
      <c r="J100" s="1315"/>
      <c r="K100" s="1315" cm="1" t="str">
        <f t="array" ref="K100:K100">OFFSET(J100,-1,1)</f>
        <v>ТЭ.42.28873685.0002</v>
      </c>
      <c r="L100" s="1315"/>
      <c r="M100" s="1315" t="s">
        <v>1726</v>
      </c>
      <c r="N100" s="1315" t="s">
        <v>2093</v>
      </c>
      <c r="O100" s="1316" t="s">
        <v>2094</v>
      </c>
      <c r="P100" s="1315" t="s">
        <v>2156</v>
      </c>
      <c r="Q100" s="1315"/>
      <c r="R100" s="928"/>
      <c r="S100" s="500"/>
      <c r="T100" s="808" cm="1" t="str">
        <f t="array" ref="T100:T100">T99</f>
        <v>false</v>
      </c>
      <c r="U100" s="1582"/>
      <c r="V100" s="1582"/>
      <c r="W100" s="1582"/>
      <c r="X100" s="1582"/>
      <c r="Y100" s="1582"/>
      <c r="Z100" s="1582"/>
      <c r="AA100" s="500"/>
      <c r="AB100" s="276" t="s">
        <v>2157</v>
      </c>
      <c r="AC100" s="667" t="s">
        <v>695</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8">
        <f>IF(AD100=0,0,(AE100-AD100)/AD100*100)</f>
        <v>0</v>
      </c>
      <c r="AG100" s="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8">
        <f>IF(AG100=0,0,(AH100-AG100)/AG100*100)</f>
        <v>0</v>
      </c>
      <c r="AJ100" s="67">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7">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8">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8">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8">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8">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8">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8">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8">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8">
        <f>IF(BE100=0,0,(BF100-BE100)/BE100*100)</f>
        <v>0</v>
      </c>
      <c r="BH100" s="67"/>
      <c r="BI100" s="67"/>
      <c r="BJ100" s="368">
        <f>IF(BH100=0,0,(BI100-BH100)/BH100*100)</f>
        <v>0</v>
      </c>
      <c r="BK100" s="67"/>
      <c r="BL100" s="67"/>
      <c r="BM100" s="368">
        <f>IF(BK100=0,0,(BL100-BK100)/BK100*100)</f>
        <v>0</v>
      </c>
      <c r="BN100" s="67"/>
      <c r="BO100" s="67"/>
      <c r="BP100" s="368">
        <f>IF(BN100=0,0,(BO100-BN100)/BN100*100)</f>
        <v>0</v>
      </c>
      <c r="BQ100" s="67"/>
      <c r="BR100" s="67"/>
      <c r="BS100" s="368">
        <f>IF(BQ100=0,0,(BR100-BQ100)/BQ100*100)</f>
        <v>0</v>
      </c>
      <c r="BT100" s="67"/>
      <c r="BU100" s="67"/>
      <c r="BV100" s="368">
        <f>IF(BT100=0,0,(BU100-BT100)/BT100*100)</f>
        <v>0</v>
      </c>
      <c r="BW100" s="67"/>
      <c r="BX100" s="67"/>
      <c r="BY100" s="368">
        <f>IF(BW100=0,0,(BX100-BW100)/BW100*100)</f>
        <v>0</v>
      </c>
      <c r="BZ100" s="67"/>
      <c r="CA100" s="67"/>
      <c r="CB100" s="368">
        <f>IF(BZ100=0,0,(CA100-BZ100)/BZ100*100)</f>
        <v>0</v>
      </c>
      <c r="CC100" s="67"/>
      <c r="CD100" s="67"/>
      <c r="CE100" s="368">
        <f>IF(CC100=0,0,(CD100-CC100)/CC100*100)</f>
        <v>0</v>
      </c>
      <c r="CF100" s="67"/>
      <c r="CG100" s="67"/>
      <c r="CH100" s="368">
        <f>IF(CF100=0,0,(CG100-CF100)/CF100*100)</f>
        <v>0</v>
      </c>
      <c r="CI100" s="67"/>
      <c r="CJ100" s="67"/>
      <c r="CK100" s="368">
        <f>IF(CI100=0,0,(CJ100-CI100)/CI100*100)</f>
        <v>0</v>
      </c>
      <c r="CL100" s="67"/>
      <c r="CM100" s="67"/>
      <c r="CN100" s="368">
        <f>IF(CL100=0,0,(CM100-CL100)/CL100*100)</f>
        <v>0</v>
      </c>
      <c r="CO100" s="67"/>
      <c r="CP100" s="67"/>
      <c r="CQ100" s="368">
        <f>IF(CO100=0,0,(CP100-CO100)/CO100*100)</f>
        <v>0</v>
      </c>
      <c r="CR100" s="67"/>
      <c r="CS100" s="67"/>
      <c r="CT100" s="368">
        <f>IF(CR100=0,0,(CS100-CR100)/CR100*100)</f>
        <v>0</v>
      </c>
      <c r="CU100" s="67"/>
      <c r="CV100" s="67"/>
      <c r="CW100" s="368">
        <f>IF(CU100=0,0,(CV100-CU100)/CU100*100)</f>
        <v>0</v>
      </c>
      <c r="CX100" s="67"/>
      <c r="CY100" s="67"/>
      <c r="CZ100" s="368">
        <f>IF(CX100=0,0,(CY100-CX100)/CX100*100)</f>
        <v>0</v>
      </c>
      <c r="DA100" s="67"/>
      <c r="DB100" s="67"/>
      <c r="DC100" s="368">
        <f>IF(DA100=0,0,(DB100-DA100)/DA100*100)</f>
        <v>0</v>
      </c>
      <c r="DD100" s="67"/>
      <c r="DE100" s="67"/>
      <c r="DF100" s="368">
        <f>IF(DD100=0,0,(DE100-DD100)/DD100*100)</f>
        <v>0</v>
      </c>
      <c r="DG100" s="67"/>
      <c r="DH100" s="67"/>
      <c r="DI100" s="368">
        <f>IF(DG100=0,0,(DH100-DG100)/DG100*100)</f>
        <v>0</v>
      </c>
      <c r="DJ100" s="67"/>
      <c r="DK100" s="67"/>
      <c r="DL100" s="368">
        <f>IF(DJ100=0,0,(DK100-DJ100)/DJ100*100)</f>
        <v>0</v>
      </c>
      <c r="DM100" s="67"/>
      <c r="DN100" s="67"/>
      <c r="DO100" s="368">
        <f>IF(DM100=0,0,(DN100-DM100)/DM100*100)</f>
        <v>0</v>
      </c>
      <c r="DP100" s="67"/>
      <c r="DQ100" s="67"/>
      <c r="DR100" s="368">
        <f>IF(DP100=0,0,(DQ100-DP100)/DP100*100)</f>
        <v>0</v>
      </c>
      <c r="DS100" s="67"/>
      <c r="DT100" s="67"/>
      <c r="DU100" s="368">
        <f>IF(DS100=0,0,(DT100-DS100)/DS100*100)</f>
        <v>0</v>
      </c>
      <c r="DV100" s="67"/>
      <c r="DW100" s="67"/>
      <c r="DX100" s="368">
        <f>IF(DV100=0,0,(DW100-DV100)/DV100*100)</f>
        <v>0</v>
      </c>
      <c r="DY100" s="67"/>
      <c r="DZ100" s="67"/>
      <c r="EA100" s="368">
        <f>IF(DY100=0,0,(DZ100-DY100)/DY100*100)</f>
        <v>0</v>
      </c>
      <c r="EB100" s="67"/>
      <c r="EC100" s="67"/>
      <c r="ED100" s="368">
        <f>IF(EB100=0,0,(EC100-EB100)/EB100*100)</f>
        <v>0</v>
      </c>
      <c r="EE100" s="67"/>
      <c r="EF100" s="67"/>
      <c r="EG100" s="368">
        <f>IF(EE100=0,0,(EF100-EE100)/EE100*100)</f>
        <v>0</v>
      </c>
      <c r="EH100" s="67"/>
      <c r="EI100" s="67"/>
      <c r="EJ100" s="368">
        <f>IF(EH100=0,0,(EI100-EH100)/EH100*100)</f>
        <v>0</v>
      </c>
      <c r="EK100" s="67"/>
      <c r="EL100" s="67"/>
      <c r="EM100" s="368">
        <f>IF(EK100=0,0,(EL100-EK100)/EK100*100)</f>
        <v>0</v>
      </c>
      <c r="EN100" s="67"/>
      <c r="EO100" s="67"/>
      <c r="EP100" s="368">
        <f>IF(EN100=0,0,(EO100-EN100)/EN100*100)</f>
        <v>0</v>
      </c>
      <c r="EQ100" s="67"/>
      <c r="ER100" s="67"/>
      <c r="ES100" s="368">
        <f>IF(EQ100=0,0,(ER100-EQ100)/EQ100*100)</f>
        <v>0</v>
      </c>
      <c r="ET100" s="67"/>
      <c r="EU100" s="67"/>
      <c r="EV100" s="368">
        <f>IF(ET100=0,0,(EU100-ET100)/ET100*100)</f>
        <v>0</v>
      </c>
      <c r="EW100" s="67"/>
      <c r="EX100" s="67"/>
      <c r="EY100" s="368">
        <f>IF(EW100=0,0,(EX100-EW100)/EW100*100)</f>
        <v>0</v>
      </c>
      <c r="EZ100" s="67"/>
      <c r="FA100" s="67"/>
      <c r="FB100" s="368">
        <f>IF(EZ100=0,0,(FA100-EZ100)/EZ100*100)</f>
        <v>0</v>
      </c>
      <c r="FC100" s="67"/>
      <c r="FD100" s="67"/>
      <c r="FE100" s="368">
        <f>IF(FC100=0,0,(FD100-FC100)/FC100*100)</f>
        <v>0</v>
      </c>
      <c r="FF100" s="67"/>
      <c r="FG100" s="67"/>
      <c r="FH100" s="368">
        <f>IF(FF100=0,0,(FG100-FF100)/FF100*100)</f>
        <v>0</v>
      </c>
      <c r="FI100" s="67"/>
      <c r="FJ100" s="67"/>
      <c r="FK100" s="368">
        <f>IF(FI100=0,0,(FJ100-FI100)/FI100*100)</f>
        <v>0</v>
      </c>
      <c r="FL100" s="67"/>
      <c r="FM100" s="67"/>
      <c r="FN100" s="368">
        <f>IF(FL100=0,0,(FM100-FL100)/FL100*100)</f>
        <v>0</v>
      </c>
      <c r="FO100" s="67"/>
      <c r="FP100" s="67"/>
      <c r="FQ100" s="368">
        <f>IF(FO100=0,0,(FP100-FO100)/FO100*100)</f>
        <v>0</v>
      </c>
      <c r="FR100" s="67"/>
      <c r="FS100" s="67"/>
      <c r="FT100" s="368">
        <f>IF(FR100=0,0,(FS100-FR100)/FR100*100)</f>
        <v>0</v>
      </c>
      <c r="FU100" s="67"/>
      <c r="FV100" s="67"/>
      <c r="FW100" s="368">
        <f>IF(FU100=0,0,(FV100-FU100)/FU100*100)</f>
        <v>0</v>
      </c>
      <c r="FX100" s="500"/>
      <c r="FY100" s="500"/>
      <c r="FZ100" s="1184" t="s">
        <v>2158</v>
      </c>
      <c r="GA100" s="1184"/>
      <c r="GB100" s="1184"/>
      <c r="GC100" s="1184"/>
      <c r="GD100" s="1184"/>
    </row>
    <row s="1632" customFormat="1" customHeight="1" ht="15" hidden="1">
      <c r="A101" s="1582"/>
      <c r="B101" s="964" cm="1" t="str">
        <f t="array" ref="B101:B101">B100</f>
        <v>false</v>
      </c>
      <c r="C101" s="1325"/>
      <c r="D101" s="1294"/>
      <c r="E101" s="797">
        <v>15.8</v>
      </c>
      <c r="F101" s="922" cm="1" t="str">
        <f t="array" ref="F101:F101">OFFSET(G101,-1,-1)</f>
        <v>1</v>
      </c>
      <c r="G101" s="500"/>
      <c r="H101" s="500"/>
      <c r="I101" s="500"/>
      <c r="J101" s="1317"/>
      <c r="K101" s="1315" cm="1" t="str">
        <f t="array" ref="K101:K101">OFFSET(J101,-1,1)</f>
        <v>ТЭ.42.28873685.0002</v>
      </c>
      <c r="L101" s="1317"/>
      <c r="M101" s="1317"/>
      <c r="N101" s="1317"/>
      <c r="O101" s="1317"/>
      <c r="P101" s="1315"/>
      <c r="Q101" s="1315"/>
      <c r="R101" s="928"/>
      <c r="S101" s="500"/>
      <c r="T101" s="808" cm="1" t="str">
        <f t="array" ref="T101:T101">T100</f>
        <v>false</v>
      </c>
      <c r="U101" s="1582"/>
      <c r="V101" s="1582"/>
      <c r="W101" s="1582"/>
      <c r="X101" s="1582"/>
      <c r="Y101" s="1582"/>
      <c r="Z101" s="1582"/>
      <c r="AA101" s="500"/>
      <c r="AB101" s="1354" t="s">
        <v>2159</v>
      </c>
      <c r="AC101" s="370"/>
      <c r="AD101" s="371"/>
      <c r="AE101" s="371"/>
      <c r="AF101" s="371"/>
      <c r="AG101" s="371"/>
      <c r="AH101" s="371"/>
      <c r="AI101" s="371"/>
      <c r="AJ101" s="371"/>
      <c r="AK101" s="371"/>
      <c r="AL101" s="371"/>
      <c r="AM101" s="371"/>
      <c r="AN101" s="371"/>
      <c r="AO101" s="371"/>
      <c r="AP101" s="371"/>
      <c r="AQ101" s="371"/>
      <c r="AR101" s="371"/>
      <c r="AS101" s="371"/>
      <c r="AT101" s="371"/>
      <c r="AU101" s="371"/>
      <c r="AV101" s="371"/>
      <c r="AW101" s="371"/>
      <c r="AX101" s="371"/>
      <c r="AY101" s="371"/>
      <c r="AZ101" s="371"/>
      <c r="BA101" s="371"/>
      <c r="BB101" s="371"/>
      <c r="BC101" s="371"/>
      <c r="BD101" s="371"/>
      <c r="BE101" s="371"/>
      <c r="BF101" s="371"/>
      <c r="BG101" s="371"/>
      <c r="BH101" s="371"/>
      <c r="BI101" s="371"/>
      <c r="BJ101" s="371"/>
      <c r="BK101" s="371"/>
      <c r="BL101" s="371"/>
      <c r="BM101" s="371"/>
      <c r="BN101" s="371"/>
      <c r="BO101" s="371"/>
      <c r="BP101" s="371"/>
      <c r="BQ101" s="371"/>
      <c r="BR101" s="371"/>
      <c r="BS101" s="371"/>
      <c r="BT101" s="371"/>
      <c r="BU101" s="371"/>
      <c r="BV101" s="371"/>
      <c r="BW101" s="371"/>
      <c r="BX101" s="371"/>
      <c r="BY101" s="371"/>
      <c r="BZ101" s="371"/>
      <c r="CA101" s="371"/>
      <c r="CB101" s="371"/>
      <c r="CC101" s="371"/>
      <c r="CD101" s="371"/>
      <c r="CE101" s="371"/>
      <c r="CF101" s="371"/>
      <c r="CG101" s="371"/>
      <c r="CH101" s="371"/>
      <c r="CI101" s="371"/>
      <c r="CJ101" s="371"/>
      <c r="CK101" s="371"/>
      <c r="CL101" s="371"/>
      <c r="CM101" s="371"/>
      <c r="CN101" s="371"/>
      <c r="CO101" s="371"/>
      <c r="CP101" s="371"/>
      <c r="CQ101" s="371"/>
      <c r="CR101" s="371"/>
      <c r="CS101" s="371"/>
      <c r="CT101" s="371"/>
      <c r="CU101" s="371"/>
      <c r="CV101" s="371"/>
      <c r="CW101" s="371"/>
      <c r="CX101" s="371"/>
      <c r="CY101" s="371"/>
      <c r="CZ101" s="371"/>
      <c r="DA101" s="371"/>
      <c r="DB101" s="371"/>
      <c r="DC101" s="371"/>
      <c r="DD101" s="371"/>
      <c r="DE101" s="371"/>
      <c r="DF101" s="371"/>
      <c r="DG101" s="371"/>
      <c r="DH101" s="371"/>
      <c r="DI101" s="371"/>
      <c r="DJ101" s="371"/>
      <c r="DK101" s="371"/>
      <c r="DL101" s="371"/>
      <c r="DM101" s="371"/>
      <c r="DN101" s="371"/>
      <c r="DO101" s="371"/>
      <c r="DP101" s="371"/>
      <c r="DQ101" s="371"/>
      <c r="DR101" s="371"/>
      <c r="DS101" s="371"/>
      <c r="DT101" s="371"/>
      <c r="DU101" s="371"/>
      <c r="DV101" s="371"/>
      <c r="DW101" s="371"/>
      <c r="DX101" s="371"/>
      <c r="DY101" s="371"/>
      <c r="DZ101" s="371"/>
      <c r="EA101" s="371"/>
      <c r="EB101" s="371"/>
      <c r="EC101" s="371"/>
      <c r="ED101" s="371"/>
      <c r="EE101" s="371"/>
      <c r="EF101" s="371"/>
      <c r="EG101" s="371"/>
      <c r="EH101" s="371"/>
      <c r="EI101" s="371"/>
      <c r="EJ101" s="371"/>
      <c r="EK101" s="371"/>
      <c r="EL101" s="371"/>
      <c r="EM101" s="371"/>
      <c r="EN101" s="371"/>
      <c r="EO101" s="371"/>
      <c r="EP101" s="371"/>
      <c r="EQ101" s="371"/>
      <c r="ER101" s="371"/>
      <c r="ES101" s="371"/>
      <c r="ET101" s="371"/>
      <c r="EU101" s="371"/>
      <c r="EV101" s="371"/>
      <c r="EW101" s="371"/>
      <c r="EX101" s="371"/>
      <c r="EY101" s="371"/>
      <c r="EZ101" s="371"/>
      <c r="FA101" s="371"/>
      <c r="FB101" s="371"/>
      <c r="FC101" s="371"/>
      <c r="FD101" s="371"/>
      <c r="FE101" s="371"/>
      <c r="FF101" s="371"/>
      <c r="FG101" s="371"/>
      <c r="FH101" s="371"/>
      <c r="FI101" s="371"/>
      <c r="FJ101" s="371"/>
      <c r="FK101" s="371"/>
      <c r="FL101" s="371"/>
      <c r="FM101" s="371"/>
      <c r="FN101" s="371"/>
      <c r="FO101" s="371"/>
      <c r="FP101" s="371"/>
      <c r="FQ101" s="371"/>
      <c r="FR101" s="371"/>
      <c r="FS101" s="371"/>
      <c r="FT101" s="371"/>
      <c r="FU101" s="371"/>
      <c r="FV101" s="371"/>
      <c r="FW101" s="372"/>
      <c r="FX101" s="500"/>
      <c r="FY101" s="500"/>
      <c r="FZ101" s="1219"/>
      <c r="GA101" s="1184"/>
      <c r="GB101" s="1184"/>
      <c r="GC101" s="1184"/>
      <c r="GD101" s="1184"/>
    </row>
    <row s="1632" customFormat="1" customHeight="1" ht="15" hidden="1">
      <c r="A102" s="1582"/>
      <c r="B102" s="964" cm="1" t="str">
        <f t="array" ref="B102:B102">B101</f>
        <v>false</v>
      </c>
      <c r="C102" s="1325" t="s">
        <v>2135</v>
      </c>
      <c r="D102" s="1294" t="s">
        <v>2136</v>
      </c>
      <c r="E102" s="797">
        <v>15.8</v>
      </c>
      <c r="F102" s="922" cm="1" t="str">
        <f t="array" ref="F102:F102">OFFSET(G102,-1,-1)</f>
        <v>1</v>
      </c>
      <c r="G102" s="739" t="s">
        <v>1738</v>
      </c>
      <c r="H102" s="213" t="s">
        <v>2137</v>
      </c>
      <c r="I102" s="213" t="s">
        <v>2097</v>
      </c>
      <c r="J102" s="1315"/>
      <c r="K102" s="1315" cm="1" t="str">
        <f t="array" ref="K102:K102">OFFSET(J102,-1,1)</f>
        <v>ТЭ.42.28873685.0002</v>
      </c>
      <c r="L102" s="1315"/>
      <c r="M102" s="1315" t="s">
        <v>1735</v>
      </c>
      <c r="N102" s="1315" t="s">
        <v>2093</v>
      </c>
      <c r="O102" s="1316" t="s">
        <v>2094</v>
      </c>
      <c r="P102" s="1315" t="s">
        <v>2138</v>
      </c>
      <c r="Q102" s="1315"/>
      <c r="R102" s="928"/>
      <c r="S102" s="500"/>
      <c r="T102" s="808" cm="1" t="str">
        <f t="array" ref="T102:T102">T101</f>
        <v>false</v>
      </c>
      <c r="U102" s="1582"/>
      <c r="V102" s="1582"/>
      <c r="W102" s="1582"/>
      <c r="X102" s="1582"/>
      <c r="Y102" s="1582"/>
      <c r="Z102" s="1582"/>
      <c r="AA102" s="500"/>
      <c r="AB102" s="276" t="s">
        <v>2139</v>
      </c>
      <c r="AC102" s="172" t="s">
        <v>900</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11902.8343126318</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5523.78727023901</v>
      </c>
      <c r="AF102" s="368">
        <f>IF(AD102=0,0,(AE102-AD102)/AD102*100)</f>
        <v>-53.592672760496</v>
      </c>
      <c r="AG102" s="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4077.31783321006</v>
      </c>
      <c r="AH102" s="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8">
        <f>IF(AG102=0,0,(AH102-AG102)/AG102*100)</f>
        <v>-100</v>
      </c>
      <c r="AJ102" s="67">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7">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8">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8">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8">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8">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8">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8">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8">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8">
        <f>IF(BE102=0,0,(BF102-BE102)/BE102*100)</f>
        <v>0</v>
      </c>
      <c r="BH102" s="67">
        <f>IF(BH104=0,0,(BH103*BH104+BH105*BH106*6)/BH104)</f>
        <v>0</v>
      </c>
      <c r="BI102" s="67">
        <f>IF(BI104=0,0,(BI103*BI104+BI105*BI106*6)/BI104)</f>
        <v>0</v>
      </c>
      <c r="BJ102" s="368">
        <f>IF(BH102=0,0,(BI102-BH102)/BH102*100)</f>
        <v>0</v>
      </c>
      <c r="BK102" s="67">
        <f>IF(BK104=0,0,(BK103*BK104+BK105*BK106*6)/BK104)</f>
        <v>0</v>
      </c>
      <c r="BL102" s="67">
        <f>IF(BL104=0,0,(BL103*BL104+BL105*BL106*6)/BL104)</f>
        <v>0</v>
      </c>
      <c r="BM102" s="368">
        <f>IF(BK102=0,0,(BL102-BK102)/BK102*100)</f>
        <v>0</v>
      </c>
      <c r="BN102" s="67">
        <f>IF(BN104=0,0,(BN103*BN104+BN105*BN106*6)/BN104)</f>
        <v>0</v>
      </c>
      <c r="BO102" s="67">
        <f>IF(BO104=0,0,(BO103*BO104+BO105*BO106*6)/BO104)</f>
        <v>0</v>
      </c>
      <c r="BP102" s="368">
        <f>IF(BN102=0,0,(BO102-BN102)/BN102*100)</f>
        <v>0</v>
      </c>
      <c r="BQ102" s="67">
        <f>IF(BQ104=0,0,(BQ103*BQ104+BQ105*BQ106*6)/BQ104)</f>
        <v>0</v>
      </c>
      <c r="BR102" s="67">
        <f>IF(BR104=0,0,(BR103*BR104+BR105*BR106*6)/BR104)</f>
        <v>0</v>
      </c>
      <c r="BS102" s="368">
        <f>IF(BQ102=0,0,(BR102-BQ102)/BQ102*100)</f>
        <v>0</v>
      </c>
      <c r="BT102" s="67">
        <f>IF(BT104=0,0,(BT103*BT104+BT105*BT106*6)/BT104)</f>
        <v>0</v>
      </c>
      <c r="BU102" s="67">
        <f>IF(BU104=0,0,(BU103*BU104+BU105*BU106*6)/BU104)</f>
        <v>0</v>
      </c>
      <c r="BV102" s="368">
        <f>IF(BT102=0,0,(BU102-BT102)/BT102*100)</f>
        <v>0</v>
      </c>
      <c r="BW102" s="67">
        <f>IF(BW104=0,0,(BW103*BW104+BW105*BW106*6)/BW104)</f>
        <v>0</v>
      </c>
      <c r="BX102" s="67">
        <f>IF(BX104=0,0,(BX103*BX104+BX105*BX106*6)/BX104)</f>
        <v>0</v>
      </c>
      <c r="BY102" s="368">
        <f>IF(BW102=0,0,(BX102-BW102)/BW102*100)</f>
        <v>0</v>
      </c>
      <c r="BZ102" s="67">
        <f>IF(BZ104=0,0,(BZ103*BZ104+BZ105*BZ106*6)/BZ104)</f>
        <v>0</v>
      </c>
      <c r="CA102" s="67">
        <f>IF(CA104=0,0,(CA103*CA104+CA105*CA106*6)/CA104)</f>
        <v>0</v>
      </c>
      <c r="CB102" s="368">
        <f>IF(BZ102=0,0,(CA102-BZ102)/BZ102*100)</f>
        <v>0</v>
      </c>
      <c r="CC102" s="67">
        <f>IF(CC104=0,0,(CC103*CC104+CC105*CC106*6)/CC104)</f>
        <v>0</v>
      </c>
      <c r="CD102" s="67">
        <f>IF(CD104=0,0,(CD103*CD104+CD105*CD106*6)/CD104)</f>
        <v>0</v>
      </c>
      <c r="CE102" s="368">
        <f>IF(CC102=0,0,(CD102-CC102)/CC102*100)</f>
        <v>0</v>
      </c>
      <c r="CF102" s="67">
        <f>IF(CF104=0,0,(CF103*CF104+CF105*CF106*6)/CF104)</f>
        <v>0</v>
      </c>
      <c r="CG102" s="67">
        <f>IF(CG104=0,0,(CG103*CG104+CG105*CG106*6)/CG104)</f>
        <v>0</v>
      </c>
      <c r="CH102" s="368">
        <f>IF(CF102=0,0,(CG102-CF102)/CF102*100)</f>
        <v>0</v>
      </c>
      <c r="CI102" s="67">
        <f>IF(CI104=0,0,(CI103*CI104+CI105*CI106*6)/CI104)</f>
        <v>0</v>
      </c>
      <c r="CJ102" s="67">
        <f>IF(CJ104=0,0,(CJ103*CJ104+CJ105*CJ106*6)/CJ104)</f>
        <v>0</v>
      </c>
      <c r="CK102" s="368">
        <f>IF(CI102=0,0,(CJ102-CI102)/CI102*100)</f>
        <v>0</v>
      </c>
      <c r="CL102" s="67">
        <f>IF(CL104=0,0,(CL103*CL104+CL105*CL106*6)/CL104)</f>
        <v>0</v>
      </c>
      <c r="CM102" s="67">
        <f>IF(CM104=0,0,(CM103*CM104+CM105*CM106*6)/CM104)</f>
        <v>0</v>
      </c>
      <c r="CN102" s="368">
        <f>IF(CL102=0,0,(CM102-CL102)/CL102*100)</f>
        <v>0</v>
      </c>
      <c r="CO102" s="67">
        <f>IF(CO104=0,0,(CO103*CO104+CO105*CO106*6)/CO104)</f>
        <v>0</v>
      </c>
      <c r="CP102" s="67">
        <f>IF(CP104=0,0,(CP103*CP104+CP105*CP106*6)/CP104)</f>
        <v>0</v>
      </c>
      <c r="CQ102" s="368">
        <f>IF(CO102=0,0,(CP102-CO102)/CO102*100)</f>
        <v>0</v>
      </c>
      <c r="CR102" s="67">
        <f>IF(CR104=0,0,(CR103*CR104+CR105*CR106*6)/CR104)</f>
        <v>0</v>
      </c>
      <c r="CS102" s="67">
        <f>IF(CS104=0,0,(CS103*CS104+CS105*CS106*6)/CS104)</f>
        <v>0</v>
      </c>
      <c r="CT102" s="368">
        <f>IF(CR102=0,0,(CS102-CR102)/CR102*100)</f>
        <v>0</v>
      </c>
      <c r="CU102" s="67">
        <f>IF(CU104=0,0,(CU103*CU104+CU105*CU106*6)/CU104)</f>
        <v>0</v>
      </c>
      <c r="CV102" s="67">
        <f>IF(CV104=0,0,(CV103*CV104+CV105*CV106*6)/CV104)</f>
        <v>0</v>
      </c>
      <c r="CW102" s="368">
        <f>IF(CU102=0,0,(CV102-CU102)/CU102*100)</f>
        <v>0</v>
      </c>
      <c r="CX102" s="67">
        <f>IF(CX104=0,0,(CX103*CX104+CX105*CX106*6)/CX104)</f>
        <v>0</v>
      </c>
      <c r="CY102" s="67">
        <f>IF(CY104=0,0,(CY103*CY104+CY105*CY106*6)/CY104)</f>
        <v>0</v>
      </c>
      <c r="CZ102" s="368">
        <f>IF(CX102=0,0,(CY102-CX102)/CX102*100)</f>
        <v>0</v>
      </c>
      <c r="DA102" s="67">
        <f>IF(DA104=0,0,(DA103*DA104+DA105*DA106*6)/DA104)</f>
        <v>0</v>
      </c>
      <c r="DB102" s="67">
        <f>IF(DB104=0,0,(DB103*DB104+DB105*DB106*6)/DB104)</f>
        <v>0</v>
      </c>
      <c r="DC102" s="368">
        <f>IF(DA102=0,0,(DB102-DA102)/DA102*100)</f>
        <v>0</v>
      </c>
      <c r="DD102" s="67">
        <f>IF(DD104=0,0,(DD103*DD104+DD105*DD106*6)/DD104)</f>
        <v>0</v>
      </c>
      <c r="DE102" s="67">
        <f>IF(DE104=0,0,(DE103*DE104+DE105*DE106*6)/DE104)</f>
        <v>0</v>
      </c>
      <c r="DF102" s="368">
        <f>IF(DD102=0,0,(DE102-DD102)/DD102*100)</f>
        <v>0</v>
      </c>
      <c r="DG102" s="67">
        <f>IF(DG104=0,0,(DG103*DG104+DG105*DG106*6)/DG104)</f>
        <v>0</v>
      </c>
      <c r="DH102" s="67">
        <f>IF(DH104=0,0,(DH103*DH104+DH105*DH106*6)/DH104)</f>
        <v>0</v>
      </c>
      <c r="DI102" s="368">
        <f>IF(DG102=0,0,(DH102-DG102)/DG102*100)</f>
        <v>0</v>
      </c>
      <c r="DJ102" s="67">
        <f>IF(DJ104=0,0,(DJ103*DJ104+DJ105*DJ106*6)/DJ104)</f>
        <v>0</v>
      </c>
      <c r="DK102" s="67">
        <f>IF(DK104=0,0,(DK103*DK104+DK105*DK106*6)/DK104)</f>
        <v>0</v>
      </c>
      <c r="DL102" s="368">
        <f>IF(DJ102=0,0,(DK102-DJ102)/DJ102*100)</f>
        <v>0</v>
      </c>
      <c r="DM102" s="67">
        <f>IF(DM104=0,0,(DM103*DM104+DM105*DM106*6)/DM104)</f>
        <v>0</v>
      </c>
      <c r="DN102" s="67">
        <f>IF(DN104=0,0,(DN103*DN104+DN105*DN106*6)/DN104)</f>
        <v>0</v>
      </c>
      <c r="DO102" s="368">
        <f>IF(DM102=0,0,(DN102-DM102)/DM102*100)</f>
        <v>0</v>
      </c>
      <c r="DP102" s="67">
        <f>IF(DP104=0,0,(DP103*DP104+DP105*DP106*6)/DP104)</f>
        <v>0</v>
      </c>
      <c r="DQ102" s="67">
        <f>IF(DQ104=0,0,(DQ103*DQ104+DQ105*DQ106*6)/DQ104)</f>
        <v>0</v>
      </c>
      <c r="DR102" s="368">
        <f>IF(DP102=0,0,(DQ102-DP102)/DP102*100)</f>
        <v>0</v>
      </c>
      <c r="DS102" s="67">
        <f>IF(DS104=0,0,(DS103*DS104+DS105*DS106*6)/DS104)</f>
        <v>0</v>
      </c>
      <c r="DT102" s="67">
        <f>IF(DT104=0,0,(DT103*DT104+DT105*DT106*6)/DT104)</f>
        <v>0</v>
      </c>
      <c r="DU102" s="368">
        <f>IF(DS102=0,0,(DT102-DS102)/DS102*100)</f>
        <v>0</v>
      </c>
      <c r="DV102" s="67">
        <f>IF(DV104=0,0,(DV103*DV104+DV105*DV106*6)/DV104)</f>
        <v>0</v>
      </c>
      <c r="DW102" s="67">
        <f>IF(DW104=0,0,(DW103*DW104+DW105*DW106*6)/DW104)</f>
        <v>0</v>
      </c>
      <c r="DX102" s="368">
        <f>IF(DV102=0,0,(DW102-DV102)/DV102*100)</f>
        <v>0</v>
      </c>
      <c r="DY102" s="67">
        <f>IF(DY104=0,0,(DY103*DY104+DY105*DY106*6)/DY104)</f>
        <v>0</v>
      </c>
      <c r="DZ102" s="67">
        <f>IF(DZ104=0,0,(DZ103*DZ104+DZ105*DZ106*6)/DZ104)</f>
        <v>0</v>
      </c>
      <c r="EA102" s="368">
        <f>IF(DY102=0,0,(DZ102-DY102)/DY102*100)</f>
        <v>0</v>
      </c>
      <c r="EB102" s="67">
        <f>IF(EB104=0,0,(EB103*EB104+EB105*EB106*6)/EB104)</f>
        <v>0</v>
      </c>
      <c r="EC102" s="67">
        <f>IF(EC104=0,0,(EC103*EC104+EC105*EC106*6)/EC104)</f>
        <v>0</v>
      </c>
      <c r="ED102" s="368">
        <f>IF(EB102=0,0,(EC102-EB102)/EB102*100)</f>
        <v>0</v>
      </c>
      <c r="EE102" s="67">
        <f>IF(EE104=0,0,(EE103*EE104+EE105*EE106*6)/EE104)</f>
        <v>0</v>
      </c>
      <c r="EF102" s="67">
        <f>IF(EF104=0,0,(EF103*EF104+EF105*EF106*6)/EF104)</f>
        <v>0</v>
      </c>
      <c r="EG102" s="368">
        <f>IF(EE102=0,0,(EF102-EE102)/EE102*100)</f>
        <v>0</v>
      </c>
      <c r="EH102" s="67">
        <f>IF(EH104=0,0,(EH103*EH104+EH105*EH106*6)/EH104)</f>
        <v>0</v>
      </c>
      <c r="EI102" s="67">
        <f>IF(EI104=0,0,(EI103*EI104+EI105*EI106*6)/EI104)</f>
        <v>0</v>
      </c>
      <c r="EJ102" s="368">
        <f>IF(EH102=0,0,(EI102-EH102)/EH102*100)</f>
        <v>0</v>
      </c>
      <c r="EK102" s="67">
        <f>IF(EK104=0,0,(EK103*EK104+EK105*EK106*6)/EK104)</f>
        <v>0</v>
      </c>
      <c r="EL102" s="67">
        <f>IF(EL104=0,0,(EL103*EL104+EL105*EL106*6)/EL104)</f>
        <v>0</v>
      </c>
      <c r="EM102" s="368">
        <f>IF(EK102=0,0,(EL102-EK102)/EK102*100)</f>
        <v>0</v>
      </c>
      <c r="EN102" s="67">
        <f>IF(EN104=0,0,(EN103*EN104+EN105*EN106*6)/EN104)</f>
        <v>0</v>
      </c>
      <c r="EO102" s="67">
        <f>IF(EO104=0,0,(EO103*EO104+EO105*EO106*6)/EO104)</f>
        <v>0</v>
      </c>
      <c r="EP102" s="368">
        <f>IF(EN102=0,0,(EO102-EN102)/EN102*100)</f>
        <v>0</v>
      </c>
      <c r="EQ102" s="67">
        <f>IF(EQ104=0,0,(EQ103*EQ104+EQ105*EQ106*6)/EQ104)</f>
        <v>0</v>
      </c>
      <c r="ER102" s="67">
        <f>IF(ER104=0,0,(ER103*ER104+ER105*ER106*6)/ER104)</f>
        <v>0</v>
      </c>
      <c r="ES102" s="368">
        <f>IF(EQ102=0,0,(ER102-EQ102)/EQ102*100)</f>
        <v>0</v>
      </c>
      <c r="ET102" s="67">
        <f>IF(ET104=0,0,(ET103*ET104+ET105*ET106*6)/ET104)</f>
        <v>0</v>
      </c>
      <c r="EU102" s="67">
        <f>IF(EU104=0,0,(EU103*EU104+EU105*EU106*6)/EU104)</f>
        <v>0</v>
      </c>
      <c r="EV102" s="368">
        <f>IF(ET102=0,0,(EU102-ET102)/ET102*100)</f>
        <v>0</v>
      </c>
      <c r="EW102" s="67">
        <f>IF(EW104=0,0,(EW103*EW104+EW105*EW106*6)/EW104)</f>
        <v>0</v>
      </c>
      <c r="EX102" s="67">
        <f>IF(EX104=0,0,(EX103*EX104+EX105*EX106*6)/EX104)</f>
        <v>0</v>
      </c>
      <c r="EY102" s="368">
        <f>IF(EW102=0,0,(EX102-EW102)/EW102*100)</f>
        <v>0</v>
      </c>
      <c r="EZ102" s="67">
        <f>IF(EZ104=0,0,(EZ103*EZ104+EZ105*EZ106*6)/EZ104)</f>
        <v>0</v>
      </c>
      <c r="FA102" s="67">
        <f>IF(FA104=0,0,(FA103*FA104+FA105*FA106*6)/FA104)</f>
        <v>0</v>
      </c>
      <c r="FB102" s="368">
        <f>IF(EZ102=0,0,(FA102-EZ102)/EZ102*100)</f>
        <v>0</v>
      </c>
      <c r="FC102" s="67">
        <f>IF(FC104=0,0,(FC103*FC104+FC105*FC106*6)/FC104)</f>
        <v>0</v>
      </c>
      <c r="FD102" s="67">
        <f>IF(FD104=0,0,(FD103*FD104+FD105*FD106*6)/FD104)</f>
        <v>0</v>
      </c>
      <c r="FE102" s="368">
        <f>IF(FC102=0,0,(FD102-FC102)/FC102*100)</f>
        <v>0</v>
      </c>
      <c r="FF102" s="67">
        <f>IF(FF104=0,0,(FF103*FF104+FF105*FF106*6)/FF104)</f>
        <v>0</v>
      </c>
      <c r="FG102" s="67">
        <f>IF(FG104=0,0,(FG103*FG104+FG105*FG106*6)/FG104)</f>
        <v>0</v>
      </c>
      <c r="FH102" s="368">
        <f>IF(FF102=0,0,(FG102-FF102)/FF102*100)</f>
        <v>0</v>
      </c>
      <c r="FI102" s="67">
        <f>IF(FI104=0,0,(FI103*FI104+FI105*FI106*6)/FI104)</f>
        <v>0</v>
      </c>
      <c r="FJ102" s="67">
        <f>IF(FJ104=0,0,(FJ103*FJ104+FJ105*FJ106*6)/FJ104)</f>
        <v>0</v>
      </c>
      <c r="FK102" s="368">
        <f>IF(FI102=0,0,(FJ102-FI102)/FI102*100)</f>
        <v>0</v>
      </c>
      <c r="FL102" s="67">
        <f>IF(FL104=0,0,(FL103*FL104+FL105*FL106*6)/FL104)</f>
        <v>0</v>
      </c>
      <c r="FM102" s="67">
        <f>IF(FM104=0,0,(FM103*FM104+FM105*FM106*6)/FM104)</f>
        <v>0</v>
      </c>
      <c r="FN102" s="368">
        <f>IF(FL102=0,0,(FM102-FL102)/FL102*100)</f>
        <v>0</v>
      </c>
      <c r="FO102" s="67">
        <f>IF(FO104=0,0,(FO103*FO104+FO105*FO106*6)/FO104)</f>
        <v>0</v>
      </c>
      <c r="FP102" s="67">
        <f>IF(FP104=0,0,(FP103*FP104+FP105*FP106*6)/FP104)</f>
        <v>0</v>
      </c>
      <c r="FQ102" s="368">
        <f>IF(FO102=0,0,(FP102-FO102)/FO102*100)</f>
        <v>0</v>
      </c>
      <c r="FR102" s="67">
        <f>IF(FR104=0,0,(FR103*FR104+FR105*FR106*6)/FR104)</f>
        <v>0</v>
      </c>
      <c r="FS102" s="67">
        <f>IF(FS104=0,0,(FS103*FS104+FS105*FS106*6)/FS104)</f>
        <v>0</v>
      </c>
      <c r="FT102" s="368">
        <f>IF(FR102=0,0,(FS102-FR102)/FR102*100)</f>
        <v>0</v>
      </c>
      <c r="FU102" s="67">
        <f>IF(FU104=0,0,(FU103*FU104+FU105*FU106*6)/FU104)</f>
        <v>0</v>
      </c>
      <c r="FV102" s="67">
        <f>IF(FV104=0,0,(FV103*FV104+FV105*FV106*6)/FV104)</f>
        <v>0</v>
      </c>
      <c r="FW102" s="368">
        <f>IF(FU102=0,0,(FV102-FU102)/FU102*100)</f>
        <v>0</v>
      </c>
      <c r="FX102" s="500"/>
      <c r="FY102" s="500"/>
      <c r="FZ102" s="1184" t="s">
        <v>2160</v>
      </c>
      <c r="GA102" s="1184"/>
      <c r="GB102" s="1184"/>
      <c r="GC102" s="1184"/>
      <c r="GD102" s="1184"/>
    </row>
    <row s="1632" customFormat="1" customHeight="1" ht="15" hidden="1">
      <c r="A103" s="1582"/>
      <c r="B103" s="964" cm="1" t="str">
        <f t="array" ref="B103:B103">B102</f>
        <v>false</v>
      </c>
      <c r="C103" s="1325" t="s">
        <v>2141</v>
      </c>
      <c r="D103" s="1294" t="s">
        <v>2142</v>
      </c>
      <c r="E103" s="797">
        <v>15.8</v>
      </c>
      <c r="F103" s="922" cm="1" t="str">
        <f t="array" ref="F103:F103">OFFSET(G103,-1,-1)</f>
        <v>1</v>
      </c>
      <c r="G103" s="739" t="s">
        <v>1767</v>
      </c>
      <c r="H103" s="213" t="s">
        <v>2143</v>
      </c>
      <c r="I103" s="213" t="s">
        <v>2097</v>
      </c>
      <c r="J103" s="1315"/>
      <c r="K103" s="1315" cm="1" t="str">
        <f t="array" ref="K103:K103">OFFSET(J103,-1,1)</f>
        <v>ТЭ.42.28873685.0002</v>
      </c>
      <c r="L103" s="1315"/>
      <c r="M103" s="1315" t="s">
        <v>1735</v>
      </c>
      <c r="N103" s="1315" t="s">
        <v>2093</v>
      </c>
      <c r="O103" s="1316" t="s">
        <v>2094</v>
      </c>
      <c r="P103" s="1315" t="s">
        <v>2144</v>
      </c>
      <c r="Q103" s="1315"/>
      <c r="R103" s="928"/>
      <c r="S103" s="500"/>
      <c r="T103" s="808" cm="1" t="str">
        <f t="array" ref="T103:T103">T102</f>
        <v>false</v>
      </c>
      <c r="U103" s="1582"/>
      <c r="V103" s="1582"/>
      <c r="W103" s="1582"/>
      <c r="X103" s="1582"/>
      <c r="Y103" s="1582"/>
      <c r="Z103" s="1582"/>
      <c r="AA103" s="500"/>
      <c r="AB103" s="276" t="s">
        <v>2145</v>
      </c>
      <c r="AC103" s="172" t="s">
        <v>900</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1069.8347577247</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1012.56539248562</v>
      </c>
      <c r="AF103" s="368">
        <f>IF(AD103=0,0,(AE103-AD103)/AD103*100)</f>
        <v>-5.35310381585276</v>
      </c>
      <c r="AG103" s="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8">
        <f>IF(AG103=0,0,(AH103-AG103)/AG103*100)</f>
        <v>0</v>
      </c>
      <c r="AJ103" s="67">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7">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8">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8">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8">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8">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8">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8">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8">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8">
        <f>IF(BE103=0,0,(BF103-BE103)/BE103*100)</f>
        <v>0</v>
      </c>
      <c r="BH103" s="67"/>
      <c r="BI103" s="67"/>
      <c r="BJ103" s="368">
        <f>IF(BH103=0,0,(BI103-BH103)/BH103*100)</f>
        <v>0</v>
      </c>
      <c r="BK103" s="67"/>
      <c r="BL103" s="67"/>
      <c r="BM103" s="368">
        <f>IF(BK103=0,0,(BL103-BK103)/BK103*100)</f>
        <v>0</v>
      </c>
      <c r="BN103" s="67"/>
      <c r="BO103" s="67"/>
      <c r="BP103" s="368">
        <f>IF(BN103=0,0,(BO103-BN103)/BN103*100)</f>
        <v>0</v>
      </c>
      <c r="BQ103" s="67"/>
      <c r="BR103" s="67"/>
      <c r="BS103" s="368">
        <f>IF(BQ103=0,0,(BR103-BQ103)/BQ103*100)</f>
        <v>0</v>
      </c>
      <c r="BT103" s="67"/>
      <c r="BU103" s="67"/>
      <c r="BV103" s="368">
        <f>IF(BT103=0,0,(BU103-BT103)/BT103*100)</f>
        <v>0</v>
      </c>
      <c r="BW103" s="67"/>
      <c r="BX103" s="67"/>
      <c r="BY103" s="368">
        <f>IF(BW103=0,0,(BX103-BW103)/BW103*100)</f>
        <v>0</v>
      </c>
      <c r="BZ103" s="67"/>
      <c r="CA103" s="67"/>
      <c r="CB103" s="368">
        <f>IF(BZ103=0,0,(CA103-BZ103)/BZ103*100)</f>
        <v>0</v>
      </c>
      <c r="CC103" s="67"/>
      <c r="CD103" s="67"/>
      <c r="CE103" s="368">
        <f>IF(CC103=0,0,(CD103-CC103)/CC103*100)</f>
        <v>0</v>
      </c>
      <c r="CF103" s="67"/>
      <c r="CG103" s="67"/>
      <c r="CH103" s="368">
        <f>IF(CF103=0,0,(CG103-CF103)/CF103*100)</f>
        <v>0</v>
      </c>
      <c r="CI103" s="67"/>
      <c r="CJ103" s="67"/>
      <c r="CK103" s="368">
        <f>IF(CI103=0,0,(CJ103-CI103)/CI103*100)</f>
        <v>0</v>
      </c>
      <c r="CL103" s="67"/>
      <c r="CM103" s="67"/>
      <c r="CN103" s="368">
        <f>IF(CL103=0,0,(CM103-CL103)/CL103*100)</f>
        <v>0</v>
      </c>
      <c r="CO103" s="67"/>
      <c r="CP103" s="67"/>
      <c r="CQ103" s="368">
        <f>IF(CO103=0,0,(CP103-CO103)/CO103*100)</f>
        <v>0</v>
      </c>
      <c r="CR103" s="67"/>
      <c r="CS103" s="67"/>
      <c r="CT103" s="368">
        <f>IF(CR103=0,0,(CS103-CR103)/CR103*100)</f>
        <v>0</v>
      </c>
      <c r="CU103" s="67"/>
      <c r="CV103" s="67"/>
      <c r="CW103" s="368">
        <f>IF(CU103=0,0,(CV103-CU103)/CU103*100)</f>
        <v>0</v>
      </c>
      <c r="CX103" s="67"/>
      <c r="CY103" s="67"/>
      <c r="CZ103" s="368">
        <f>IF(CX103=0,0,(CY103-CX103)/CX103*100)</f>
        <v>0</v>
      </c>
      <c r="DA103" s="67"/>
      <c r="DB103" s="67"/>
      <c r="DC103" s="368">
        <f>IF(DA103=0,0,(DB103-DA103)/DA103*100)</f>
        <v>0</v>
      </c>
      <c r="DD103" s="67"/>
      <c r="DE103" s="67"/>
      <c r="DF103" s="368">
        <f>IF(DD103=0,0,(DE103-DD103)/DD103*100)</f>
        <v>0</v>
      </c>
      <c r="DG103" s="67"/>
      <c r="DH103" s="67"/>
      <c r="DI103" s="368">
        <f>IF(DG103=0,0,(DH103-DG103)/DG103*100)</f>
        <v>0</v>
      </c>
      <c r="DJ103" s="67"/>
      <c r="DK103" s="67"/>
      <c r="DL103" s="368">
        <f>IF(DJ103=0,0,(DK103-DJ103)/DJ103*100)</f>
        <v>0</v>
      </c>
      <c r="DM103" s="67"/>
      <c r="DN103" s="67"/>
      <c r="DO103" s="368">
        <f>IF(DM103=0,0,(DN103-DM103)/DM103*100)</f>
        <v>0</v>
      </c>
      <c r="DP103" s="67"/>
      <c r="DQ103" s="67"/>
      <c r="DR103" s="368">
        <f>IF(DP103=0,0,(DQ103-DP103)/DP103*100)</f>
        <v>0</v>
      </c>
      <c r="DS103" s="67"/>
      <c r="DT103" s="67"/>
      <c r="DU103" s="368">
        <f>IF(DS103=0,0,(DT103-DS103)/DS103*100)</f>
        <v>0</v>
      </c>
      <c r="DV103" s="67"/>
      <c r="DW103" s="67"/>
      <c r="DX103" s="368">
        <f>IF(DV103=0,0,(DW103-DV103)/DV103*100)</f>
        <v>0</v>
      </c>
      <c r="DY103" s="67"/>
      <c r="DZ103" s="67"/>
      <c r="EA103" s="368">
        <f>IF(DY103=0,0,(DZ103-DY103)/DY103*100)</f>
        <v>0</v>
      </c>
      <c r="EB103" s="67"/>
      <c r="EC103" s="67"/>
      <c r="ED103" s="368">
        <f>IF(EB103=0,0,(EC103-EB103)/EB103*100)</f>
        <v>0</v>
      </c>
      <c r="EE103" s="67"/>
      <c r="EF103" s="67"/>
      <c r="EG103" s="368">
        <f>IF(EE103=0,0,(EF103-EE103)/EE103*100)</f>
        <v>0</v>
      </c>
      <c r="EH103" s="67"/>
      <c r="EI103" s="67"/>
      <c r="EJ103" s="368">
        <f>IF(EH103=0,0,(EI103-EH103)/EH103*100)</f>
        <v>0</v>
      </c>
      <c r="EK103" s="67"/>
      <c r="EL103" s="67"/>
      <c r="EM103" s="368">
        <f>IF(EK103=0,0,(EL103-EK103)/EK103*100)</f>
        <v>0</v>
      </c>
      <c r="EN103" s="67"/>
      <c r="EO103" s="67"/>
      <c r="EP103" s="368">
        <f>IF(EN103=0,0,(EO103-EN103)/EN103*100)</f>
        <v>0</v>
      </c>
      <c r="EQ103" s="67"/>
      <c r="ER103" s="67"/>
      <c r="ES103" s="368">
        <f>IF(EQ103=0,0,(ER103-EQ103)/EQ103*100)</f>
        <v>0</v>
      </c>
      <c r="ET103" s="67"/>
      <c r="EU103" s="67"/>
      <c r="EV103" s="368">
        <f>IF(ET103=0,0,(EU103-ET103)/ET103*100)</f>
        <v>0</v>
      </c>
      <c r="EW103" s="67"/>
      <c r="EX103" s="67"/>
      <c r="EY103" s="368">
        <f>IF(EW103=0,0,(EX103-EW103)/EW103*100)</f>
        <v>0</v>
      </c>
      <c r="EZ103" s="67"/>
      <c r="FA103" s="67"/>
      <c r="FB103" s="368">
        <f>IF(EZ103=0,0,(FA103-EZ103)/EZ103*100)</f>
        <v>0</v>
      </c>
      <c r="FC103" s="67"/>
      <c r="FD103" s="67"/>
      <c r="FE103" s="368">
        <f>IF(FC103=0,0,(FD103-FC103)/FC103*100)</f>
        <v>0</v>
      </c>
      <c r="FF103" s="67"/>
      <c r="FG103" s="67"/>
      <c r="FH103" s="368">
        <f>IF(FF103=0,0,(FG103-FF103)/FF103*100)</f>
        <v>0</v>
      </c>
      <c r="FI103" s="67"/>
      <c r="FJ103" s="67"/>
      <c r="FK103" s="368">
        <f>IF(FI103=0,0,(FJ103-FI103)/FI103*100)</f>
        <v>0</v>
      </c>
      <c r="FL103" s="67"/>
      <c r="FM103" s="67"/>
      <c r="FN103" s="368">
        <f>IF(FL103=0,0,(FM103-FL103)/FL103*100)</f>
        <v>0</v>
      </c>
      <c r="FO103" s="67"/>
      <c r="FP103" s="67"/>
      <c r="FQ103" s="368">
        <f>IF(FO103=0,0,(FP103-FO103)/FO103*100)</f>
        <v>0</v>
      </c>
      <c r="FR103" s="67"/>
      <c r="FS103" s="67"/>
      <c r="FT103" s="368">
        <f>IF(FR103=0,0,(FS103-FR103)/FR103*100)</f>
        <v>0</v>
      </c>
      <c r="FU103" s="67"/>
      <c r="FV103" s="67"/>
      <c r="FW103" s="368">
        <f>IF(FU103=0,0,(FV103-FU103)/FU103*100)</f>
        <v>0</v>
      </c>
      <c r="FX103" s="500"/>
      <c r="FY103" s="500"/>
      <c r="FZ103" s="1184" t="s">
        <v>2161</v>
      </c>
      <c r="GA103" s="1184"/>
      <c r="GB103" s="1184"/>
      <c r="GC103" s="1184"/>
      <c r="GD103" s="1184"/>
    </row>
    <row s="1632" customFormat="1" customHeight="1" ht="15" hidden="1">
      <c r="A104" s="1582"/>
      <c r="B104" s="964" cm="1" t="str">
        <f t="array" ref="B104:B104">B103</f>
        <v>false</v>
      </c>
      <c r="C104" s="1325" t="s">
        <v>1723</v>
      </c>
      <c r="D104" s="1294" t="s">
        <v>1724</v>
      </c>
      <c r="E104" s="797">
        <v>15.8</v>
      </c>
      <c r="F104" s="922" cm="1" t="str">
        <f t="array" ref="F104:F104">OFFSET(G104,-1,-1)</f>
        <v>1</v>
      </c>
      <c r="G104" s="193" t="s">
        <v>1734</v>
      </c>
      <c r="H104" s="213" t="s">
        <v>2147</v>
      </c>
      <c r="I104" s="213" t="s">
        <v>2097</v>
      </c>
      <c r="J104" s="1315"/>
      <c r="K104" s="1315" cm="1" t="str">
        <f t="array" ref="K104:K104">OFFSET(J104,-1,1)</f>
        <v>ТЭ.42.28873685.0002</v>
      </c>
      <c r="L104" s="1315"/>
      <c r="M104" s="1315" t="s">
        <v>1735</v>
      </c>
      <c r="N104" s="1315" t="s">
        <v>2093</v>
      </c>
      <c r="O104" s="1316" t="s">
        <v>2094</v>
      </c>
      <c r="P104" s="1315" t="s">
        <v>2148</v>
      </c>
      <c r="Q104" s="1315"/>
      <c r="R104" s="928"/>
      <c r="S104" s="500"/>
      <c r="T104" s="808" cm="1" t="str">
        <f t="array" ref="T104:T104">T103</f>
        <v>false</v>
      </c>
      <c r="U104" s="1582"/>
      <c r="V104" s="1582"/>
      <c r="W104" s="1582"/>
      <c r="X104" s="1582"/>
      <c r="Y104" s="1582"/>
      <c r="Z104" s="1582"/>
      <c r="AA104" s="500"/>
      <c r="AB104" s="276" t="s">
        <v>2149</v>
      </c>
      <c r="AC104" s="172" t="s">
        <v>599</v>
      </c>
      <c r="AD104" s="148">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2499.17</v>
      </c>
      <c r="AE104" s="148">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2499.07</v>
      </c>
      <c r="AF104" s="400">
        <f>IF(AD104=0,0,(AE104-AD104)/AD104*100)</f>
        <v>-0.00400132844103879</v>
      </c>
      <c r="AG104" s="148">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7003.54</v>
      </c>
      <c r="AH104" s="148">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0">
        <f>IF(AG104=0,0,(AH104-AG104)/AG104*100)</f>
        <v>-100</v>
      </c>
      <c r="AJ104" s="148">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8">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0">
        <f>IF(AJ104=0,0,(AK104-AJ104)/AJ104*100)</f>
        <v>0</v>
      </c>
      <c r="AM104" s="148">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8">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0">
        <f>IF(AM104=0,0,(AN104-AM104)/AM104*100)</f>
        <v>0</v>
      </c>
      <c r="AP104" s="148">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8">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0">
        <f>IF(AP104=0,0,(AQ104-AP104)/AP104*100)</f>
        <v>0</v>
      </c>
      <c r="AS104" s="148">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8">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0">
        <f>IF(AS104=0,0,(AT104-AS104)/AS104*100)</f>
        <v>0</v>
      </c>
      <c r="AV104" s="148">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8">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0">
        <f>IF(AV104=0,0,(AW104-AV104)/AV104*100)</f>
        <v>0</v>
      </c>
      <c r="AY104" s="148">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8">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0">
        <f>IF(AY104=0,0,(AZ104-AY104)/AY104*100)</f>
        <v>0</v>
      </c>
      <c r="BB104" s="148">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8">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0">
        <f>IF(BB104=0,0,(BC104-BB104)/BB104*100)</f>
        <v>0</v>
      </c>
      <c r="BE104" s="148">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8">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0">
        <f>IF(BE104=0,0,(BF104-BE104)/BE104*100)</f>
        <v>0</v>
      </c>
      <c r="BH104" s="148"/>
      <c r="BI104" s="148"/>
      <c r="BJ104" s="400">
        <f>IF(BH104=0,0,(BI104-BH104)/BH104*100)</f>
        <v>0</v>
      </c>
      <c r="BK104" s="148"/>
      <c r="BL104" s="148"/>
      <c r="BM104" s="400">
        <f>IF(BK104=0,0,(BL104-BK104)/BK104*100)</f>
        <v>0</v>
      </c>
      <c r="BN104" s="148"/>
      <c r="BO104" s="148"/>
      <c r="BP104" s="400">
        <f>IF(BN104=0,0,(BO104-BN104)/BN104*100)</f>
        <v>0</v>
      </c>
      <c r="BQ104" s="148"/>
      <c r="BR104" s="148"/>
      <c r="BS104" s="400">
        <f>IF(BQ104=0,0,(BR104-BQ104)/BQ104*100)</f>
        <v>0</v>
      </c>
      <c r="BT104" s="148"/>
      <c r="BU104" s="148"/>
      <c r="BV104" s="400">
        <f>IF(BT104=0,0,(BU104-BT104)/BT104*100)</f>
        <v>0</v>
      </c>
      <c r="BW104" s="148"/>
      <c r="BX104" s="148"/>
      <c r="BY104" s="400">
        <f>IF(BW104=0,0,(BX104-BW104)/BW104*100)</f>
        <v>0</v>
      </c>
      <c r="BZ104" s="148"/>
      <c r="CA104" s="148"/>
      <c r="CB104" s="400">
        <f>IF(BZ104=0,0,(CA104-BZ104)/BZ104*100)</f>
        <v>0</v>
      </c>
      <c r="CC104" s="148"/>
      <c r="CD104" s="148"/>
      <c r="CE104" s="400">
        <f>IF(CC104=0,0,(CD104-CC104)/CC104*100)</f>
        <v>0</v>
      </c>
      <c r="CF104" s="148"/>
      <c r="CG104" s="148"/>
      <c r="CH104" s="400">
        <f>IF(CF104=0,0,(CG104-CF104)/CF104*100)</f>
        <v>0</v>
      </c>
      <c r="CI104" s="148"/>
      <c r="CJ104" s="148"/>
      <c r="CK104" s="400">
        <f>IF(CI104=0,0,(CJ104-CI104)/CI104*100)</f>
        <v>0</v>
      </c>
      <c r="CL104" s="148"/>
      <c r="CM104" s="148"/>
      <c r="CN104" s="400">
        <f>IF(CL104=0,0,(CM104-CL104)/CL104*100)</f>
        <v>0</v>
      </c>
      <c r="CO104" s="148"/>
      <c r="CP104" s="148"/>
      <c r="CQ104" s="400">
        <f>IF(CO104=0,0,(CP104-CO104)/CO104*100)</f>
        <v>0</v>
      </c>
      <c r="CR104" s="148"/>
      <c r="CS104" s="148"/>
      <c r="CT104" s="400">
        <f>IF(CR104=0,0,(CS104-CR104)/CR104*100)</f>
        <v>0</v>
      </c>
      <c r="CU104" s="148"/>
      <c r="CV104" s="148"/>
      <c r="CW104" s="400">
        <f>IF(CU104=0,0,(CV104-CU104)/CU104*100)</f>
        <v>0</v>
      </c>
      <c r="CX104" s="148"/>
      <c r="CY104" s="148"/>
      <c r="CZ104" s="400">
        <f>IF(CX104=0,0,(CY104-CX104)/CX104*100)</f>
        <v>0</v>
      </c>
      <c r="DA104" s="148"/>
      <c r="DB104" s="148"/>
      <c r="DC104" s="400">
        <f>IF(DA104=0,0,(DB104-DA104)/DA104*100)</f>
        <v>0</v>
      </c>
      <c r="DD104" s="148"/>
      <c r="DE104" s="148"/>
      <c r="DF104" s="400">
        <f>IF(DD104=0,0,(DE104-DD104)/DD104*100)</f>
        <v>0</v>
      </c>
      <c r="DG104" s="148"/>
      <c r="DH104" s="148"/>
      <c r="DI104" s="400">
        <f>IF(DG104=0,0,(DH104-DG104)/DG104*100)</f>
        <v>0</v>
      </c>
      <c r="DJ104" s="148"/>
      <c r="DK104" s="148"/>
      <c r="DL104" s="400">
        <f>IF(DJ104=0,0,(DK104-DJ104)/DJ104*100)</f>
        <v>0</v>
      </c>
      <c r="DM104" s="148"/>
      <c r="DN104" s="148"/>
      <c r="DO104" s="400">
        <f>IF(DM104=0,0,(DN104-DM104)/DM104*100)</f>
        <v>0</v>
      </c>
      <c r="DP104" s="148"/>
      <c r="DQ104" s="148"/>
      <c r="DR104" s="400">
        <f>IF(DP104=0,0,(DQ104-DP104)/DP104*100)</f>
        <v>0</v>
      </c>
      <c r="DS104" s="148"/>
      <c r="DT104" s="148"/>
      <c r="DU104" s="400">
        <f>IF(DS104=0,0,(DT104-DS104)/DS104*100)</f>
        <v>0</v>
      </c>
      <c r="DV104" s="148"/>
      <c r="DW104" s="148"/>
      <c r="DX104" s="400">
        <f>IF(DV104=0,0,(DW104-DV104)/DV104*100)</f>
        <v>0</v>
      </c>
      <c r="DY104" s="148"/>
      <c r="DZ104" s="148"/>
      <c r="EA104" s="400">
        <f>IF(DY104=0,0,(DZ104-DY104)/DY104*100)</f>
        <v>0</v>
      </c>
      <c r="EB104" s="148"/>
      <c r="EC104" s="148"/>
      <c r="ED104" s="400">
        <f>IF(EB104=0,0,(EC104-EB104)/EB104*100)</f>
        <v>0</v>
      </c>
      <c r="EE104" s="148"/>
      <c r="EF104" s="148"/>
      <c r="EG104" s="400">
        <f>IF(EE104=0,0,(EF104-EE104)/EE104*100)</f>
        <v>0</v>
      </c>
      <c r="EH104" s="148"/>
      <c r="EI104" s="148"/>
      <c r="EJ104" s="400">
        <f>IF(EH104=0,0,(EI104-EH104)/EH104*100)</f>
        <v>0</v>
      </c>
      <c r="EK104" s="148"/>
      <c r="EL104" s="148"/>
      <c r="EM104" s="400">
        <f>IF(EK104=0,0,(EL104-EK104)/EK104*100)</f>
        <v>0</v>
      </c>
      <c r="EN104" s="148"/>
      <c r="EO104" s="148"/>
      <c r="EP104" s="400">
        <f>IF(EN104=0,0,(EO104-EN104)/EN104*100)</f>
        <v>0</v>
      </c>
      <c r="EQ104" s="148"/>
      <c r="ER104" s="148"/>
      <c r="ES104" s="400">
        <f>IF(EQ104=0,0,(ER104-EQ104)/EQ104*100)</f>
        <v>0</v>
      </c>
      <c r="ET104" s="148"/>
      <c r="EU104" s="148"/>
      <c r="EV104" s="400">
        <f>IF(ET104=0,0,(EU104-ET104)/ET104*100)</f>
        <v>0</v>
      </c>
      <c r="EW104" s="148"/>
      <c r="EX104" s="148"/>
      <c r="EY104" s="400">
        <f>IF(EW104=0,0,(EX104-EW104)/EW104*100)</f>
        <v>0</v>
      </c>
      <c r="EZ104" s="148"/>
      <c r="FA104" s="148"/>
      <c r="FB104" s="400">
        <f>IF(EZ104=0,0,(FA104-EZ104)/EZ104*100)</f>
        <v>0</v>
      </c>
      <c r="FC104" s="148"/>
      <c r="FD104" s="148"/>
      <c r="FE104" s="400">
        <f>IF(FC104=0,0,(FD104-FC104)/FC104*100)</f>
        <v>0</v>
      </c>
      <c r="FF104" s="148"/>
      <c r="FG104" s="148"/>
      <c r="FH104" s="400">
        <f>IF(FF104=0,0,(FG104-FF104)/FF104*100)</f>
        <v>0</v>
      </c>
      <c r="FI104" s="148"/>
      <c r="FJ104" s="148"/>
      <c r="FK104" s="400">
        <f>IF(FI104=0,0,(FJ104-FI104)/FI104*100)</f>
        <v>0</v>
      </c>
      <c r="FL104" s="148"/>
      <c r="FM104" s="148"/>
      <c r="FN104" s="400">
        <f>IF(FL104=0,0,(FM104-FL104)/FL104*100)</f>
        <v>0</v>
      </c>
      <c r="FO104" s="148"/>
      <c r="FP104" s="148"/>
      <c r="FQ104" s="400">
        <f>IF(FO104=0,0,(FP104-FO104)/FO104*100)</f>
        <v>0</v>
      </c>
      <c r="FR104" s="148"/>
      <c r="FS104" s="148"/>
      <c r="FT104" s="400">
        <f>IF(FR104=0,0,(FS104-FR104)/FR104*100)</f>
        <v>0</v>
      </c>
      <c r="FU104" s="148"/>
      <c r="FV104" s="148"/>
      <c r="FW104" s="400">
        <f>IF(FU104=0,0,(FV104-FU104)/FU104*100)</f>
        <v>0</v>
      </c>
      <c r="FX104" s="500"/>
      <c r="FY104" s="500"/>
      <c r="FZ104" s="1184" t="s">
        <v>2162</v>
      </c>
      <c r="GA104" s="1184"/>
      <c r="GB104" s="1184"/>
      <c r="GC104" s="1184"/>
      <c r="GD104" s="1184"/>
    </row>
    <row s="1632" customFormat="1" customHeight="1" ht="30" hidden="1">
      <c r="A105" s="1582"/>
      <c r="B105" s="964" cm="1" t="str">
        <f t="array" ref="B105:B105">B104</f>
        <v>false</v>
      </c>
      <c r="C105" s="1325" t="s">
        <v>1777</v>
      </c>
      <c r="D105" s="1294" t="s">
        <v>1778</v>
      </c>
      <c r="E105" s="797">
        <v>31.5</v>
      </c>
      <c r="F105" s="922" cm="1" t="str">
        <f t="array" ref="F105:F105">OFFSET(G105,-1,-1)</f>
        <v>1</v>
      </c>
      <c r="G105" s="739" t="s">
        <v>1783</v>
      </c>
      <c r="H105" s="213" t="s">
        <v>2151</v>
      </c>
      <c r="I105" s="213" t="s">
        <v>2097</v>
      </c>
      <c r="J105" s="1315"/>
      <c r="K105" s="1315" cm="1" t="str">
        <f t="array" ref="K105:K105">OFFSET(J105,-1,1)</f>
        <v>ТЭ.42.28873685.0002</v>
      </c>
      <c r="L105" s="1315"/>
      <c r="M105" s="1315" t="s">
        <v>1735</v>
      </c>
      <c r="N105" s="1315" t="s">
        <v>2093</v>
      </c>
      <c r="O105" s="1316" t="s">
        <v>2094</v>
      </c>
      <c r="P105" s="1315" t="s">
        <v>2152</v>
      </c>
      <c r="Q105" s="1315"/>
      <c r="R105" s="928"/>
      <c r="S105" s="500"/>
      <c r="T105" s="808" cm="1" t="str">
        <f t="array" ref="T105:T105">T104</f>
        <v>false</v>
      </c>
      <c r="U105" s="1582"/>
      <c r="V105" s="1582"/>
      <c r="W105" s="1582"/>
      <c r="X105" s="1582"/>
      <c r="Y105" s="1582"/>
      <c r="Z105" s="1582"/>
      <c r="AA105" s="500"/>
      <c r="AB105" s="276" t="s">
        <v>2153</v>
      </c>
      <c r="AC105" s="520" t="s">
        <v>1781</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8">
        <f>IF(AD105=0,0,(AE105-AD105)/AD105*100)</f>
        <v>0</v>
      </c>
      <c r="AG105" s="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8">
        <f>IF(AG105=0,0,(AH105-AG105)/AG105*100)</f>
        <v>0</v>
      </c>
      <c r="AJ105" s="67">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7">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8">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8">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8">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8">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8">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8">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8">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8">
        <f>IF(BE105=0,0,(BF105-BE105)/BE105*100)</f>
        <v>0</v>
      </c>
      <c r="BH105" s="67"/>
      <c r="BI105" s="67"/>
      <c r="BJ105" s="368">
        <f>IF(BH105=0,0,(BI105-BH105)/BH105*100)</f>
        <v>0</v>
      </c>
      <c r="BK105" s="67"/>
      <c r="BL105" s="67"/>
      <c r="BM105" s="368">
        <f>IF(BK105=0,0,(BL105-BK105)/BK105*100)</f>
        <v>0</v>
      </c>
      <c r="BN105" s="67"/>
      <c r="BO105" s="67"/>
      <c r="BP105" s="368">
        <f>IF(BN105=0,0,(BO105-BN105)/BN105*100)</f>
        <v>0</v>
      </c>
      <c r="BQ105" s="67"/>
      <c r="BR105" s="67"/>
      <c r="BS105" s="368">
        <f>IF(BQ105=0,0,(BR105-BQ105)/BQ105*100)</f>
        <v>0</v>
      </c>
      <c r="BT105" s="67"/>
      <c r="BU105" s="67"/>
      <c r="BV105" s="368">
        <f>IF(BT105=0,0,(BU105-BT105)/BT105*100)</f>
        <v>0</v>
      </c>
      <c r="BW105" s="67"/>
      <c r="BX105" s="67"/>
      <c r="BY105" s="368">
        <f>IF(BW105=0,0,(BX105-BW105)/BW105*100)</f>
        <v>0</v>
      </c>
      <c r="BZ105" s="67"/>
      <c r="CA105" s="67"/>
      <c r="CB105" s="368">
        <f>IF(BZ105=0,0,(CA105-BZ105)/BZ105*100)</f>
        <v>0</v>
      </c>
      <c r="CC105" s="67"/>
      <c r="CD105" s="67"/>
      <c r="CE105" s="368">
        <f>IF(CC105=0,0,(CD105-CC105)/CC105*100)</f>
        <v>0</v>
      </c>
      <c r="CF105" s="67"/>
      <c r="CG105" s="67"/>
      <c r="CH105" s="368">
        <f>IF(CF105=0,0,(CG105-CF105)/CF105*100)</f>
        <v>0</v>
      </c>
      <c r="CI105" s="67"/>
      <c r="CJ105" s="67"/>
      <c r="CK105" s="368">
        <f>IF(CI105=0,0,(CJ105-CI105)/CI105*100)</f>
        <v>0</v>
      </c>
      <c r="CL105" s="67"/>
      <c r="CM105" s="67"/>
      <c r="CN105" s="368">
        <f>IF(CL105=0,0,(CM105-CL105)/CL105*100)</f>
        <v>0</v>
      </c>
      <c r="CO105" s="67"/>
      <c r="CP105" s="67"/>
      <c r="CQ105" s="368">
        <f>IF(CO105=0,0,(CP105-CO105)/CO105*100)</f>
        <v>0</v>
      </c>
      <c r="CR105" s="67"/>
      <c r="CS105" s="67"/>
      <c r="CT105" s="368">
        <f>IF(CR105=0,0,(CS105-CR105)/CR105*100)</f>
        <v>0</v>
      </c>
      <c r="CU105" s="67"/>
      <c r="CV105" s="67"/>
      <c r="CW105" s="368">
        <f>IF(CU105=0,0,(CV105-CU105)/CU105*100)</f>
        <v>0</v>
      </c>
      <c r="CX105" s="67"/>
      <c r="CY105" s="67"/>
      <c r="CZ105" s="368">
        <f>IF(CX105=0,0,(CY105-CX105)/CX105*100)</f>
        <v>0</v>
      </c>
      <c r="DA105" s="67"/>
      <c r="DB105" s="67"/>
      <c r="DC105" s="368">
        <f>IF(DA105=0,0,(DB105-DA105)/DA105*100)</f>
        <v>0</v>
      </c>
      <c r="DD105" s="67"/>
      <c r="DE105" s="67"/>
      <c r="DF105" s="368">
        <f>IF(DD105=0,0,(DE105-DD105)/DD105*100)</f>
        <v>0</v>
      </c>
      <c r="DG105" s="67"/>
      <c r="DH105" s="67"/>
      <c r="DI105" s="368">
        <f>IF(DG105=0,0,(DH105-DG105)/DG105*100)</f>
        <v>0</v>
      </c>
      <c r="DJ105" s="67"/>
      <c r="DK105" s="67"/>
      <c r="DL105" s="368">
        <f>IF(DJ105=0,0,(DK105-DJ105)/DJ105*100)</f>
        <v>0</v>
      </c>
      <c r="DM105" s="67"/>
      <c r="DN105" s="67"/>
      <c r="DO105" s="368">
        <f>IF(DM105=0,0,(DN105-DM105)/DM105*100)</f>
        <v>0</v>
      </c>
      <c r="DP105" s="67"/>
      <c r="DQ105" s="67"/>
      <c r="DR105" s="368">
        <f>IF(DP105=0,0,(DQ105-DP105)/DP105*100)</f>
        <v>0</v>
      </c>
      <c r="DS105" s="67"/>
      <c r="DT105" s="67"/>
      <c r="DU105" s="368">
        <f>IF(DS105=0,0,(DT105-DS105)/DS105*100)</f>
        <v>0</v>
      </c>
      <c r="DV105" s="67"/>
      <c r="DW105" s="67"/>
      <c r="DX105" s="368">
        <f>IF(DV105=0,0,(DW105-DV105)/DV105*100)</f>
        <v>0</v>
      </c>
      <c r="DY105" s="67"/>
      <c r="DZ105" s="67"/>
      <c r="EA105" s="368">
        <f>IF(DY105=0,0,(DZ105-DY105)/DY105*100)</f>
        <v>0</v>
      </c>
      <c r="EB105" s="67"/>
      <c r="EC105" s="67"/>
      <c r="ED105" s="368">
        <f>IF(EB105=0,0,(EC105-EB105)/EB105*100)</f>
        <v>0</v>
      </c>
      <c r="EE105" s="67"/>
      <c r="EF105" s="67"/>
      <c r="EG105" s="368">
        <f>IF(EE105=0,0,(EF105-EE105)/EE105*100)</f>
        <v>0</v>
      </c>
      <c r="EH105" s="67"/>
      <c r="EI105" s="67"/>
      <c r="EJ105" s="368">
        <f>IF(EH105=0,0,(EI105-EH105)/EH105*100)</f>
        <v>0</v>
      </c>
      <c r="EK105" s="67"/>
      <c r="EL105" s="67"/>
      <c r="EM105" s="368">
        <f>IF(EK105=0,0,(EL105-EK105)/EK105*100)</f>
        <v>0</v>
      </c>
      <c r="EN105" s="67"/>
      <c r="EO105" s="67"/>
      <c r="EP105" s="368">
        <f>IF(EN105=0,0,(EO105-EN105)/EN105*100)</f>
        <v>0</v>
      </c>
      <c r="EQ105" s="67"/>
      <c r="ER105" s="67"/>
      <c r="ES105" s="368">
        <f>IF(EQ105=0,0,(ER105-EQ105)/EQ105*100)</f>
        <v>0</v>
      </c>
      <c r="ET105" s="67"/>
      <c r="EU105" s="67"/>
      <c r="EV105" s="368">
        <f>IF(ET105=0,0,(EU105-ET105)/ET105*100)</f>
        <v>0</v>
      </c>
      <c r="EW105" s="67"/>
      <c r="EX105" s="67"/>
      <c r="EY105" s="368">
        <f>IF(EW105=0,0,(EX105-EW105)/EW105*100)</f>
        <v>0</v>
      </c>
      <c r="EZ105" s="67"/>
      <c r="FA105" s="67"/>
      <c r="FB105" s="368">
        <f>IF(EZ105=0,0,(FA105-EZ105)/EZ105*100)</f>
        <v>0</v>
      </c>
      <c r="FC105" s="67"/>
      <c r="FD105" s="67"/>
      <c r="FE105" s="368">
        <f>IF(FC105=0,0,(FD105-FC105)/FC105*100)</f>
        <v>0</v>
      </c>
      <c r="FF105" s="67"/>
      <c r="FG105" s="67"/>
      <c r="FH105" s="368">
        <f>IF(FF105=0,0,(FG105-FF105)/FF105*100)</f>
        <v>0</v>
      </c>
      <c r="FI105" s="67"/>
      <c r="FJ105" s="67"/>
      <c r="FK105" s="368">
        <f>IF(FI105=0,0,(FJ105-FI105)/FI105*100)</f>
        <v>0</v>
      </c>
      <c r="FL105" s="67"/>
      <c r="FM105" s="67"/>
      <c r="FN105" s="368">
        <f>IF(FL105=0,0,(FM105-FL105)/FL105*100)</f>
        <v>0</v>
      </c>
      <c r="FO105" s="67"/>
      <c r="FP105" s="67"/>
      <c r="FQ105" s="368">
        <f>IF(FO105=0,0,(FP105-FO105)/FO105*100)</f>
        <v>0</v>
      </c>
      <c r="FR105" s="67"/>
      <c r="FS105" s="67"/>
      <c r="FT105" s="368">
        <f>IF(FR105=0,0,(FS105-FR105)/FR105*100)</f>
        <v>0</v>
      </c>
      <c r="FU105" s="67"/>
      <c r="FV105" s="67"/>
      <c r="FW105" s="368">
        <f>IF(FU105=0,0,(FV105-FU105)/FU105*100)</f>
        <v>0</v>
      </c>
      <c r="FX105" s="500"/>
      <c r="FY105" s="500"/>
      <c r="FZ105" s="1184" t="s">
        <v>2163</v>
      </c>
      <c r="GA105" s="1184"/>
      <c r="GB105" s="1184"/>
      <c r="GC105" s="1184"/>
      <c r="GD105" s="1184"/>
    </row>
    <row s="1632" customFormat="1" customHeight="1" ht="15" hidden="1">
      <c r="A106" s="1582"/>
      <c r="B106" s="964" cm="1" t="str">
        <f t="array" ref="B106:B106">B105</f>
        <v>false</v>
      </c>
      <c r="C106" s="1325" t="s">
        <v>1749</v>
      </c>
      <c r="D106" s="1294" t="s">
        <v>1750</v>
      </c>
      <c r="E106" s="797">
        <v>15.8</v>
      </c>
      <c r="F106" s="922" cm="1" t="str">
        <f t="array" ref="F106:F106">OFFSET(G106,-1,-1)</f>
        <v>1</v>
      </c>
      <c r="G106" s="739" t="s">
        <v>1756</v>
      </c>
      <c r="H106" s="213" t="s">
        <v>2155</v>
      </c>
      <c r="I106" s="213" t="s">
        <v>2097</v>
      </c>
      <c r="J106" s="1315"/>
      <c r="K106" s="1315" cm="1" t="str">
        <f t="array" ref="K106:K106">OFFSET(J106,-1,1)</f>
        <v>ТЭ.42.28873685.0002</v>
      </c>
      <c r="L106" s="1315"/>
      <c r="M106" s="1315" t="s">
        <v>1735</v>
      </c>
      <c r="N106" s="1315" t="s">
        <v>2093</v>
      </c>
      <c r="O106" s="1316" t="s">
        <v>2094</v>
      </c>
      <c r="P106" s="1315" t="s">
        <v>2156</v>
      </c>
      <c r="Q106" s="1315"/>
      <c r="R106" s="928"/>
      <c r="S106" s="500"/>
      <c r="T106" s="808" cm="1" t="str">
        <f t="array" ref="T106:T106">T105</f>
        <v>false</v>
      </c>
      <c r="U106" s="1582"/>
      <c r="V106" s="1582"/>
      <c r="W106" s="1582"/>
      <c r="X106" s="1582"/>
      <c r="Y106" s="1582"/>
      <c r="Z106" s="1582"/>
      <c r="AA106" s="500"/>
      <c r="AB106" s="276" t="s">
        <v>2157</v>
      </c>
      <c r="AC106" s="667" t="s">
        <v>695</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8">
        <f>IF(AD106=0,0,(AE106-AD106)/AD106*100)</f>
        <v>0</v>
      </c>
      <c r="AG106" s="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8">
        <f>IF(AG106=0,0,(AH106-AG106)/AG106*100)</f>
        <v>0</v>
      </c>
      <c r="AJ106" s="67">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7">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8">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8">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8">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8">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8">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8">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8">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8">
        <f>IF(BE106=0,0,(BF106-BE106)/BE106*100)</f>
        <v>0</v>
      </c>
      <c r="BH106" s="67"/>
      <c r="BI106" s="67"/>
      <c r="BJ106" s="368">
        <f>IF(BH106=0,0,(BI106-BH106)/BH106*100)</f>
        <v>0</v>
      </c>
      <c r="BK106" s="67"/>
      <c r="BL106" s="67"/>
      <c r="BM106" s="368">
        <f>IF(BK106=0,0,(BL106-BK106)/BK106*100)</f>
        <v>0</v>
      </c>
      <c r="BN106" s="67"/>
      <c r="BO106" s="67"/>
      <c r="BP106" s="368">
        <f>IF(BN106=0,0,(BO106-BN106)/BN106*100)</f>
        <v>0</v>
      </c>
      <c r="BQ106" s="67"/>
      <c r="BR106" s="67"/>
      <c r="BS106" s="368">
        <f>IF(BQ106=0,0,(BR106-BQ106)/BQ106*100)</f>
        <v>0</v>
      </c>
      <c r="BT106" s="67"/>
      <c r="BU106" s="67"/>
      <c r="BV106" s="368">
        <f>IF(BT106=0,0,(BU106-BT106)/BT106*100)</f>
        <v>0</v>
      </c>
      <c r="BW106" s="67"/>
      <c r="BX106" s="67"/>
      <c r="BY106" s="368">
        <f>IF(BW106=0,0,(BX106-BW106)/BW106*100)</f>
        <v>0</v>
      </c>
      <c r="BZ106" s="67"/>
      <c r="CA106" s="67"/>
      <c r="CB106" s="368">
        <f>IF(BZ106=0,0,(CA106-BZ106)/BZ106*100)</f>
        <v>0</v>
      </c>
      <c r="CC106" s="67"/>
      <c r="CD106" s="67"/>
      <c r="CE106" s="368">
        <f>IF(CC106=0,0,(CD106-CC106)/CC106*100)</f>
        <v>0</v>
      </c>
      <c r="CF106" s="67"/>
      <c r="CG106" s="67"/>
      <c r="CH106" s="368">
        <f>IF(CF106=0,0,(CG106-CF106)/CF106*100)</f>
        <v>0</v>
      </c>
      <c r="CI106" s="67"/>
      <c r="CJ106" s="67"/>
      <c r="CK106" s="368">
        <f>IF(CI106=0,0,(CJ106-CI106)/CI106*100)</f>
        <v>0</v>
      </c>
      <c r="CL106" s="67"/>
      <c r="CM106" s="67"/>
      <c r="CN106" s="368">
        <f>IF(CL106=0,0,(CM106-CL106)/CL106*100)</f>
        <v>0</v>
      </c>
      <c r="CO106" s="67"/>
      <c r="CP106" s="67"/>
      <c r="CQ106" s="368">
        <f>IF(CO106=0,0,(CP106-CO106)/CO106*100)</f>
        <v>0</v>
      </c>
      <c r="CR106" s="67"/>
      <c r="CS106" s="67"/>
      <c r="CT106" s="368">
        <f>IF(CR106=0,0,(CS106-CR106)/CR106*100)</f>
        <v>0</v>
      </c>
      <c r="CU106" s="67"/>
      <c r="CV106" s="67"/>
      <c r="CW106" s="368">
        <f>IF(CU106=0,0,(CV106-CU106)/CU106*100)</f>
        <v>0</v>
      </c>
      <c r="CX106" s="67"/>
      <c r="CY106" s="67"/>
      <c r="CZ106" s="368">
        <f>IF(CX106=0,0,(CY106-CX106)/CX106*100)</f>
        <v>0</v>
      </c>
      <c r="DA106" s="67"/>
      <c r="DB106" s="67"/>
      <c r="DC106" s="368">
        <f>IF(DA106=0,0,(DB106-DA106)/DA106*100)</f>
        <v>0</v>
      </c>
      <c r="DD106" s="67"/>
      <c r="DE106" s="67"/>
      <c r="DF106" s="368">
        <f>IF(DD106=0,0,(DE106-DD106)/DD106*100)</f>
        <v>0</v>
      </c>
      <c r="DG106" s="67"/>
      <c r="DH106" s="67"/>
      <c r="DI106" s="368">
        <f>IF(DG106=0,0,(DH106-DG106)/DG106*100)</f>
        <v>0</v>
      </c>
      <c r="DJ106" s="67"/>
      <c r="DK106" s="67"/>
      <c r="DL106" s="368">
        <f>IF(DJ106=0,0,(DK106-DJ106)/DJ106*100)</f>
        <v>0</v>
      </c>
      <c r="DM106" s="67"/>
      <c r="DN106" s="67"/>
      <c r="DO106" s="368">
        <f>IF(DM106=0,0,(DN106-DM106)/DM106*100)</f>
        <v>0</v>
      </c>
      <c r="DP106" s="67"/>
      <c r="DQ106" s="67"/>
      <c r="DR106" s="368">
        <f>IF(DP106=0,0,(DQ106-DP106)/DP106*100)</f>
        <v>0</v>
      </c>
      <c r="DS106" s="67"/>
      <c r="DT106" s="67"/>
      <c r="DU106" s="368">
        <f>IF(DS106=0,0,(DT106-DS106)/DS106*100)</f>
        <v>0</v>
      </c>
      <c r="DV106" s="67"/>
      <c r="DW106" s="67"/>
      <c r="DX106" s="368">
        <f>IF(DV106=0,0,(DW106-DV106)/DV106*100)</f>
        <v>0</v>
      </c>
      <c r="DY106" s="67"/>
      <c r="DZ106" s="67"/>
      <c r="EA106" s="368">
        <f>IF(DY106=0,0,(DZ106-DY106)/DY106*100)</f>
        <v>0</v>
      </c>
      <c r="EB106" s="67"/>
      <c r="EC106" s="67"/>
      <c r="ED106" s="368">
        <f>IF(EB106=0,0,(EC106-EB106)/EB106*100)</f>
        <v>0</v>
      </c>
      <c r="EE106" s="67"/>
      <c r="EF106" s="67"/>
      <c r="EG106" s="368">
        <f>IF(EE106=0,0,(EF106-EE106)/EE106*100)</f>
        <v>0</v>
      </c>
      <c r="EH106" s="67"/>
      <c r="EI106" s="67"/>
      <c r="EJ106" s="368">
        <f>IF(EH106=0,0,(EI106-EH106)/EH106*100)</f>
        <v>0</v>
      </c>
      <c r="EK106" s="67"/>
      <c r="EL106" s="67"/>
      <c r="EM106" s="368">
        <f>IF(EK106=0,0,(EL106-EK106)/EK106*100)</f>
        <v>0</v>
      </c>
      <c r="EN106" s="67"/>
      <c r="EO106" s="67"/>
      <c r="EP106" s="368">
        <f>IF(EN106=0,0,(EO106-EN106)/EN106*100)</f>
        <v>0</v>
      </c>
      <c r="EQ106" s="67"/>
      <c r="ER106" s="67"/>
      <c r="ES106" s="368">
        <f>IF(EQ106=0,0,(ER106-EQ106)/EQ106*100)</f>
        <v>0</v>
      </c>
      <c r="ET106" s="67"/>
      <c r="EU106" s="67"/>
      <c r="EV106" s="368">
        <f>IF(ET106=0,0,(EU106-ET106)/ET106*100)</f>
        <v>0</v>
      </c>
      <c r="EW106" s="67"/>
      <c r="EX106" s="67"/>
      <c r="EY106" s="368">
        <f>IF(EW106=0,0,(EX106-EW106)/EW106*100)</f>
        <v>0</v>
      </c>
      <c r="EZ106" s="67"/>
      <c r="FA106" s="67"/>
      <c r="FB106" s="368">
        <f>IF(EZ106=0,0,(FA106-EZ106)/EZ106*100)</f>
        <v>0</v>
      </c>
      <c r="FC106" s="67"/>
      <c r="FD106" s="67"/>
      <c r="FE106" s="368">
        <f>IF(FC106=0,0,(FD106-FC106)/FC106*100)</f>
        <v>0</v>
      </c>
      <c r="FF106" s="67"/>
      <c r="FG106" s="67"/>
      <c r="FH106" s="368">
        <f>IF(FF106=0,0,(FG106-FF106)/FF106*100)</f>
        <v>0</v>
      </c>
      <c r="FI106" s="67"/>
      <c r="FJ106" s="67"/>
      <c r="FK106" s="368">
        <f>IF(FI106=0,0,(FJ106-FI106)/FI106*100)</f>
        <v>0</v>
      </c>
      <c r="FL106" s="67"/>
      <c r="FM106" s="67"/>
      <c r="FN106" s="368">
        <f>IF(FL106=0,0,(FM106-FL106)/FL106*100)</f>
        <v>0</v>
      </c>
      <c r="FO106" s="67"/>
      <c r="FP106" s="67"/>
      <c r="FQ106" s="368">
        <f>IF(FO106=0,0,(FP106-FO106)/FO106*100)</f>
        <v>0</v>
      </c>
      <c r="FR106" s="67"/>
      <c r="FS106" s="67"/>
      <c r="FT106" s="368">
        <f>IF(FR106=0,0,(FS106-FR106)/FR106*100)</f>
        <v>0</v>
      </c>
      <c r="FU106" s="67"/>
      <c r="FV106" s="67"/>
      <c r="FW106" s="368">
        <f>IF(FU106=0,0,(FV106-FU106)/FU106*100)</f>
        <v>0</v>
      </c>
      <c r="FX106" s="500"/>
      <c r="FY106" s="500"/>
      <c r="FZ106" s="1184" t="s">
        <v>2164</v>
      </c>
      <c r="GA106" s="1184"/>
      <c r="GB106" s="1184"/>
      <c r="GC106" s="1184"/>
      <c r="GD106" s="1184"/>
    </row>
    <row s="1632" customFormat="1" customHeight="1" ht="15" hidden="1">
      <c r="A107" s="1582"/>
      <c r="B107" s="964" cm="1" t="str">
        <f t="array" ref="B107:B107">B106</f>
        <v>false</v>
      </c>
      <c r="C107" s="1325"/>
      <c r="D107" s="1294"/>
      <c r="E107" s="797">
        <v>15.8</v>
      </c>
      <c r="F107" s="922" cm="1" t="str">
        <f t="array" ref="F107:F107">OFFSET(G107,-1,-1)</f>
        <v>1</v>
      </c>
      <c r="G107" s="500"/>
      <c r="H107" s="500"/>
      <c r="I107" s="500"/>
      <c r="J107" s="1317"/>
      <c r="K107" s="1315" cm="1" t="str">
        <f t="array" ref="K107:K107">OFFSET(J107,-1,1)</f>
        <v>ТЭ.42.28873685.0002</v>
      </c>
      <c r="L107" s="1317"/>
      <c r="M107" s="1317"/>
      <c r="N107" s="1317"/>
      <c r="O107" s="1317"/>
      <c r="P107" s="1315"/>
      <c r="Q107" s="1315"/>
      <c r="R107" s="928"/>
      <c r="S107" s="500"/>
      <c r="T107" s="808" cm="1" t="str">
        <f t="array" ref="T107:T107">T106</f>
        <v>false</v>
      </c>
      <c r="U107" s="1582"/>
      <c r="V107" s="1582"/>
      <c r="W107" s="1582"/>
      <c r="X107" s="1582"/>
      <c r="Y107" s="1582"/>
      <c r="Z107" s="1582"/>
      <c r="AA107" s="500"/>
      <c r="AB107" s="1354" t="s">
        <v>2115</v>
      </c>
      <c r="AC107" s="370"/>
      <c r="AD107" s="371"/>
      <c r="AE107" s="371"/>
      <c r="AF107" s="371"/>
      <c r="AG107" s="371"/>
      <c r="AH107" s="371"/>
      <c r="AI107" s="371"/>
      <c r="AJ107" s="371"/>
      <c r="AK107" s="371"/>
      <c r="AL107" s="371"/>
      <c r="AM107" s="371"/>
      <c r="AN107" s="371"/>
      <c r="AO107" s="371"/>
      <c r="AP107" s="371"/>
      <c r="AQ107" s="371"/>
      <c r="AR107" s="371"/>
      <c r="AS107" s="371"/>
      <c r="AT107" s="371"/>
      <c r="AU107" s="371"/>
      <c r="AV107" s="371"/>
      <c r="AW107" s="371"/>
      <c r="AX107" s="371"/>
      <c r="AY107" s="371"/>
      <c r="AZ107" s="371"/>
      <c r="BA107" s="371"/>
      <c r="BB107" s="371"/>
      <c r="BC107" s="371"/>
      <c r="BD107" s="371"/>
      <c r="BE107" s="371"/>
      <c r="BF107" s="371"/>
      <c r="BG107" s="371"/>
      <c r="BH107" s="371"/>
      <c r="BI107" s="371"/>
      <c r="BJ107" s="371"/>
      <c r="BK107" s="371"/>
      <c r="BL107" s="371"/>
      <c r="BM107" s="371"/>
      <c r="BN107" s="371"/>
      <c r="BO107" s="371"/>
      <c r="BP107" s="371"/>
      <c r="BQ107" s="371"/>
      <c r="BR107" s="371"/>
      <c r="BS107" s="371"/>
      <c r="BT107" s="371"/>
      <c r="BU107" s="371"/>
      <c r="BV107" s="371"/>
      <c r="BW107" s="371"/>
      <c r="BX107" s="371"/>
      <c r="BY107" s="371"/>
      <c r="BZ107" s="371"/>
      <c r="CA107" s="371"/>
      <c r="CB107" s="371"/>
      <c r="CC107" s="371"/>
      <c r="CD107" s="371"/>
      <c r="CE107" s="371"/>
      <c r="CF107" s="371"/>
      <c r="CG107" s="371"/>
      <c r="CH107" s="371"/>
      <c r="CI107" s="371"/>
      <c r="CJ107" s="371"/>
      <c r="CK107" s="371"/>
      <c r="CL107" s="371"/>
      <c r="CM107" s="371"/>
      <c r="CN107" s="371"/>
      <c r="CO107" s="371"/>
      <c r="CP107" s="371"/>
      <c r="CQ107" s="371"/>
      <c r="CR107" s="371"/>
      <c r="CS107" s="371"/>
      <c r="CT107" s="371"/>
      <c r="CU107" s="371"/>
      <c r="CV107" s="371"/>
      <c r="CW107" s="371"/>
      <c r="CX107" s="371"/>
      <c r="CY107" s="371"/>
      <c r="CZ107" s="371"/>
      <c r="DA107" s="371"/>
      <c r="DB107" s="371"/>
      <c r="DC107" s="371"/>
      <c r="DD107" s="371"/>
      <c r="DE107" s="371"/>
      <c r="DF107" s="371"/>
      <c r="DG107" s="371"/>
      <c r="DH107" s="371"/>
      <c r="DI107" s="371"/>
      <c r="DJ107" s="371"/>
      <c r="DK107" s="371"/>
      <c r="DL107" s="371"/>
      <c r="DM107" s="371"/>
      <c r="DN107" s="371"/>
      <c r="DO107" s="371"/>
      <c r="DP107" s="371"/>
      <c r="DQ107" s="371"/>
      <c r="DR107" s="371"/>
      <c r="DS107" s="371"/>
      <c r="DT107" s="371"/>
      <c r="DU107" s="371"/>
      <c r="DV107" s="371"/>
      <c r="DW107" s="371"/>
      <c r="DX107" s="371"/>
      <c r="DY107" s="371"/>
      <c r="DZ107" s="371"/>
      <c r="EA107" s="371"/>
      <c r="EB107" s="371"/>
      <c r="EC107" s="371"/>
      <c r="ED107" s="371"/>
      <c r="EE107" s="371"/>
      <c r="EF107" s="371"/>
      <c r="EG107" s="371"/>
      <c r="EH107" s="371"/>
      <c r="EI107" s="371"/>
      <c r="EJ107" s="371"/>
      <c r="EK107" s="371"/>
      <c r="EL107" s="371"/>
      <c r="EM107" s="371"/>
      <c r="EN107" s="371"/>
      <c r="EO107" s="371"/>
      <c r="EP107" s="371"/>
      <c r="EQ107" s="371"/>
      <c r="ER107" s="371"/>
      <c r="ES107" s="371"/>
      <c r="ET107" s="371"/>
      <c r="EU107" s="371"/>
      <c r="EV107" s="371"/>
      <c r="EW107" s="371"/>
      <c r="EX107" s="371"/>
      <c r="EY107" s="371"/>
      <c r="EZ107" s="371"/>
      <c r="FA107" s="371"/>
      <c r="FB107" s="371"/>
      <c r="FC107" s="371"/>
      <c r="FD107" s="371"/>
      <c r="FE107" s="371"/>
      <c r="FF107" s="371"/>
      <c r="FG107" s="371"/>
      <c r="FH107" s="371"/>
      <c r="FI107" s="371"/>
      <c r="FJ107" s="371"/>
      <c r="FK107" s="371"/>
      <c r="FL107" s="371"/>
      <c r="FM107" s="371"/>
      <c r="FN107" s="371"/>
      <c r="FO107" s="371"/>
      <c r="FP107" s="371"/>
      <c r="FQ107" s="371"/>
      <c r="FR107" s="371"/>
      <c r="FS107" s="371"/>
      <c r="FT107" s="371"/>
      <c r="FU107" s="371"/>
      <c r="FV107" s="371"/>
      <c r="FW107" s="372"/>
      <c r="FX107" s="500"/>
      <c r="FY107" s="500"/>
      <c r="FZ107" s="1219"/>
      <c r="GA107" s="1184"/>
      <c r="GB107" s="1184"/>
      <c r="GC107" s="1184"/>
      <c r="GD107" s="1184"/>
    </row>
    <row s="1632" customFormat="1" customHeight="1" ht="15" hidden="1">
      <c r="A108" s="1582"/>
      <c r="B108" s="964" cm="1" t="str">
        <f t="array" ref="B108:B108">B107</f>
        <v>false</v>
      </c>
      <c r="C108" s="1325" t="s">
        <v>2165</v>
      </c>
      <c r="D108" s="1294" t="s">
        <v>2166</v>
      </c>
      <c r="E108" s="797">
        <v>15.8</v>
      </c>
      <c r="F108" s="922" cm="1" t="str">
        <f t="array" ref="F108:F108">OFFSET(G108,-1,-1)</f>
        <v>1</v>
      </c>
      <c r="G108" s="500"/>
      <c r="H108" s="213" t="s">
        <v>2137</v>
      </c>
      <c r="I108" s="213" t="s">
        <v>2112</v>
      </c>
      <c r="J108" s="1315"/>
      <c r="K108" s="1315" cm="1" t="str">
        <f t="array" ref="K108:K108">OFFSET(J108,-1,1)</f>
        <v>ТЭ.42.28873685.0002</v>
      </c>
      <c r="L108" s="1315"/>
      <c r="M108" s="1315" t="s">
        <v>1726</v>
      </c>
      <c r="N108" s="1315" t="s">
        <v>2113</v>
      </c>
      <c r="O108" s="1316" t="s">
        <v>2114</v>
      </c>
      <c r="P108" s="1315" t="s">
        <v>2138</v>
      </c>
      <c r="Q108" s="1315"/>
      <c r="R108" s="928"/>
      <c r="S108" s="500"/>
      <c r="T108" s="808" cm="1" t="str">
        <f t="array" ref="T108:T108">T107</f>
        <v>false</v>
      </c>
      <c r="U108" s="1582"/>
      <c r="V108" s="1582"/>
      <c r="W108" s="1582"/>
      <c r="X108" s="1582"/>
      <c r="Y108" s="1582"/>
      <c r="Z108" s="1582"/>
      <c r="AA108" s="500"/>
      <c r="AB108" s="276" t="s">
        <v>2139</v>
      </c>
      <c r="AC108" s="172" t="s">
        <v>900</v>
      </c>
      <c r="AD108" s="67">
        <f>IF(AD110=0,0,(AD109*AD110+AD111*AD112*IF(god=2026,9,6))/AD110)</f>
        <v>0</v>
      </c>
      <c r="AE108" s="67">
        <f>IF(AE110=0,0,(AE109*AE110+AE111*AE112*IF(god=2026,9,6))/AE110)</f>
        <v>0</v>
      </c>
      <c r="AF108" s="368">
        <f>IF(AD108=0,0,(AE108-AD108)/AD108*100)</f>
        <v>0</v>
      </c>
      <c r="AG108" s="67">
        <f>IF(AG110=0,0,(AG109*AG110+AG111*AG112*IF(god=2025,9,6))/AG110)</f>
        <v>0</v>
      </c>
      <c r="AH108" s="67">
        <f>IF(AH110=0,0,(AH109*AH110+AH111*AH112*IF(god=2025,9,6))/AH110)</f>
        <v>0</v>
      </c>
      <c r="AI108" s="368">
        <f>IF(AG108=0,0,(AH108-AG108)/AG108*100)</f>
        <v>0</v>
      </c>
      <c r="AJ108" s="67">
        <f>IF(AJ110=0,0,(AJ109*AJ110+AJ111*AJ112*6)/AJ110)</f>
        <v>0</v>
      </c>
      <c r="AK108" s="67">
        <f>IF(AK110=0,0,(AK109*AK110+AK111*AK112*6)/AK110)</f>
        <v>0</v>
      </c>
      <c r="AL108" s="368">
        <f>IF(AJ108=0,0,(AK108-AJ108)/AJ108*100)</f>
        <v>0</v>
      </c>
      <c r="AM108" s="67">
        <f>IF(AM110=0,0,(AM109*AM110+AM111*AM112*6)/AM110)</f>
        <v>0</v>
      </c>
      <c r="AN108" s="67">
        <f>IF(AN110=0,0,(AN109*AN110+AN111*AN112*6)/AN110)</f>
        <v>0</v>
      </c>
      <c r="AO108" s="368">
        <f>IF(AM108=0,0,(AN108-AM108)/AM108*100)</f>
        <v>0</v>
      </c>
      <c r="AP108" s="67">
        <f>IF(AP110=0,0,(AP109*AP110+AP111*AP112*6)/AP110)</f>
        <v>0</v>
      </c>
      <c r="AQ108" s="67">
        <f>IF(AQ110=0,0,(AQ109*AQ110+AQ111*AQ112*6)/AQ110)</f>
        <v>0</v>
      </c>
      <c r="AR108" s="368">
        <f>IF(AP108=0,0,(AQ108-AP108)/AP108*100)</f>
        <v>0</v>
      </c>
      <c r="AS108" s="67">
        <f>IF(AS110=0,0,(AS109*AS110+AS111*AS112*6)/AS110)</f>
        <v>0</v>
      </c>
      <c r="AT108" s="67">
        <f>IF(AT110=0,0,(AT109*AT110+AT111*AT112*6)/AT110)</f>
        <v>0</v>
      </c>
      <c r="AU108" s="368">
        <f>IF(AS108=0,0,(AT108-AS108)/AS108*100)</f>
        <v>0</v>
      </c>
      <c r="AV108" s="67">
        <f>IF(AV110=0,0,(AV109*AV110+AV111*AV112*6)/AV110)</f>
        <v>0</v>
      </c>
      <c r="AW108" s="67">
        <f>IF(AW110=0,0,(AW109*AW110+AW111*AW112*6)/AW110)</f>
        <v>0</v>
      </c>
      <c r="AX108" s="368">
        <f>IF(AV108=0,0,(AW108-AV108)/AV108*100)</f>
        <v>0</v>
      </c>
      <c r="AY108" s="67">
        <f>IF(AY110=0,0,(AY109*AY110+AY111*AY112*6)/AY110)</f>
        <v>0</v>
      </c>
      <c r="AZ108" s="67">
        <f>IF(AZ110=0,0,(AZ109*AZ110+AZ111*AZ112*6)/AZ110)</f>
        <v>0</v>
      </c>
      <c r="BA108" s="368">
        <f>IF(AY108=0,0,(AZ108-AY108)/AY108*100)</f>
        <v>0</v>
      </c>
      <c r="BB108" s="67">
        <f>IF(BB110=0,0,(BB109*BB110+BB111*BB112*6)/BB110)</f>
        <v>0</v>
      </c>
      <c r="BC108" s="67">
        <f>IF(BC110=0,0,(BC109*BC110+BC111*BC112*6)/BC110)</f>
        <v>0</v>
      </c>
      <c r="BD108" s="368">
        <f>IF(BB108=0,0,(BC108-BB108)/BB108*100)</f>
        <v>0</v>
      </c>
      <c r="BE108" s="67">
        <f>IF(BE110=0,0,(BE109*BE110+BE111*BE112*6)/BE110)</f>
        <v>0</v>
      </c>
      <c r="BF108" s="67">
        <f>IF(BF110=0,0,(BF109*BF110+BF111*BF112*6)/BF110)</f>
        <v>0</v>
      </c>
      <c r="BG108" s="368">
        <f>IF(BE108=0,0,(BF108-BE108)/BE108*100)</f>
        <v>0</v>
      </c>
      <c r="BH108" s="67">
        <f>IF(BH110=0,0,(BH109*BH110+BH111*BH112*6)/BH110)</f>
        <v>0</v>
      </c>
      <c r="BI108" s="67">
        <f>IF(BI110=0,0,(BI109*BI110+BI111*BI112*6)/BI110)</f>
        <v>0</v>
      </c>
      <c r="BJ108" s="368">
        <f>IF(BH108=0,0,(BI108-BH108)/BH108*100)</f>
        <v>0</v>
      </c>
      <c r="BK108" s="67">
        <f>IF(BK110=0,0,(BK109*BK110+BK111*BK112*6)/BK110)</f>
        <v>0</v>
      </c>
      <c r="BL108" s="67">
        <f>IF(BL110=0,0,(BL109*BL110+BL111*BL112*6)/BL110)</f>
        <v>0</v>
      </c>
      <c r="BM108" s="368">
        <f>IF(BK108=0,0,(BL108-BK108)/BK108*100)</f>
        <v>0</v>
      </c>
      <c r="BN108" s="67">
        <f>IF(BN110=0,0,(BN109*BN110+BN111*BN112*6)/BN110)</f>
        <v>0</v>
      </c>
      <c r="BO108" s="67">
        <f>IF(BO110=0,0,(BO109*BO110+BO111*BO112*6)/BO110)</f>
        <v>0</v>
      </c>
      <c r="BP108" s="368">
        <f>IF(BN108=0,0,(BO108-BN108)/BN108*100)</f>
        <v>0</v>
      </c>
      <c r="BQ108" s="67">
        <f>IF(BQ110=0,0,(BQ109*BQ110+BQ111*BQ112*6)/BQ110)</f>
        <v>0</v>
      </c>
      <c r="BR108" s="67">
        <f>IF(BR110=0,0,(BR109*BR110+BR111*BR112*6)/BR110)</f>
        <v>0</v>
      </c>
      <c r="BS108" s="368">
        <f>IF(BQ108=0,0,(BR108-BQ108)/BQ108*100)</f>
        <v>0</v>
      </c>
      <c r="BT108" s="67">
        <f>IF(BT110=0,0,(BT109*BT110+BT111*BT112*6)/BT110)</f>
        <v>0</v>
      </c>
      <c r="BU108" s="67">
        <f>IF(BU110=0,0,(BU109*BU110+BU111*BU112*6)/BU110)</f>
        <v>0</v>
      </c>
      <c r="BV108" s="368">
        <f>IF(BT108=0,0,(BU108-BT108)/BT108*100)</f>
        <v>0</v>
      </c>
      <c r="BW108" s="67">
        <f>IF(BW110=0,0,(BW109*BW110+BW111*BW112*6)/BW110)</f>
        <v>0</v>
      </c>
      <c r="BX108" s="67">
        <f>IF(BX110=0,0,(BX109*BX110+BX111*BX112*6)/BX110)</f>
        <v>0</v>
      </c>
      <c r="BY108" s="368">
        <f>IF(BW108=0,0,(BX108-BW108)/BW108*100)</f>
        <v>0</v>
      </c>
      <c r="BZ108" s="67">
        <f>IF(BZ110=0,0,(BZ109*BZ110+BZ111*BZ112*6)/BZ110)</f>
        <v>0</v>
      </c>
      <c r="CA108" s="67">
        <f>IF(CA110=0,0,(CA109*CA110+CA111*CA112*6)/CA110)</f>
        <v>0</v>
      </c>
      <c r="CB108" s="368">
        <f>IF(BZ108=0,0,(CA108-BZ108)/BZ108*100)</f>
        <v>0</v>
      </c>
      <c r="CC108" s="67">
        <f>IF(CC110=0,0,(CC109*CC110+CC111*CC112*6)/CC110)</f>
        <v>0</v>
      </c>
      <c r="CD108" s="67">
        <f>IF(CD110=0,0,(CD109*CD110+CD111*CD112*6)/CD110)</f>
        <v>0</v>
      </c>
      <c r="CE108" s="368">
        <f>IF(CC108=0,0,(CD108-CC108)/CC108*100)</f>
        <v>0</v>
      </c>
      <c r="CF108" s="67">
        <f>IF(CF110=0,0,(CF109*CF110+CF111*CF112*6)/CF110)</f>
        <v>0</v>
      </c>
      <c r="CG108" s="67">
        <f>IF(CG110=0,0,(CG109*CG110+CG111*CG112*6)/CG110)</f>
        <v>0</v>
      </c>
      <c r="CH108" s="368">
        <f>IF(CF108=0,0,(CG108-CF108)/CF108*100)</f>
        <v>0</v>
      </c>
      <c r="CI108" s="67">
        <f>IF(CI110=0,0,(CI109*CI110+CI111*CI112*6)/CI110)</f>
        <v>0</v>
      </c>
      <c r="CJ108" s="67">
        <f>IF(CJ110=0,0,(CJ109*CJ110+CJ111*CJ112*6)/CJ110)</f>
        <v>0</v>
      </c>
      <c r="CK108" s="368">
        <f>IF(CI108=0,0,(CJ108-CI108)/CI108*100)</f>
        <v>0</v>
      </c>
      <c r="CL108" s="67">
        <f>IF(CL110=0,0,(CL109*CL110+CL111*CL112*6)/CL110)</f>
        <v>0</v>
      </c>
      <c r="CM108" s="67">
        <f>IF(CM110=0,0,(CM109*CM110+CM111*CM112*6)/CM110)</f>
        <v>0</v>
      </c>
      <c r="CN108" s="368">
        <f>IF(CL108=0,0,(CM108-CL108)/CL108*100)</f>
        <v>0</v>
      </c>
      <c r="CO108" s="67">
        <f>IF(CO110=0,0,(CO109*CO110+CO111*CO112*6)/CO110)</f>
        <v>0</v>
      </c>
      <c r="CP108" s="67">
        <f>IF(CP110=0,0,(CP109*CP110+CP111*CP112*6)/CP110)</f>
        <v>0</v>
      </c>
      <c r="CQ108" s="368">
        <f>IF(CO108=0,0,(CP108-CO108)/CO108*100)</f>
        <v>0</v>
      </c>
      <c r="CR108" s="67">
        <f>IF(CR110=0,0,(CR109*CR110+CR111*CR112*6)/CR110)</f>
        <v>0</v>
      </c>
      <c r="CS108" s="67">
        <f>IF(CS110=0,0,(CS109*CS110+CS111*CS112*6)/CS110)</f>
        <v>0</v>
      </c>
      <c r="CT108" s="368">
        <f>IF(CR108=0,0,(CS108-CR108)/CR108*100)</f>
        <v>0</v>
      </c>
      <c r="CU108" s="67">
        <f>IF(CU110=0,0,(CU109*CU110+CU111*CU112*6)/CU110)</f>
        <v>0</v>
      </c>
      <c r="CV108" s="67">
        <f>IF(CV110=0,0,(CV109*CV110+CV111*CV112*6)/CV110)</f>
        <v>0</v>
      </c>
      <c r="CW108" s="368">
        <f>IF(CU108=0,0,(CV108-CU108)/CU108*100)</f>
        <v>0</v>
      </c>
      <c r="CX108" s="67">
        <f>IF(CX110=0,0,(CX109*CX110+CX111*CX112*6)/CX110)</f>
        <v>0</v>
      </c>
      <c r="CY108" s="67">
        <f>IF(CY110=0,0,(CY109*CY110+CY111*CY112*6)/CY110)</f>
        <v>0</v>
      </c>
      <c r="CZ108" s="368">
        <f>IF(CX108=0,0,(CY108-CX108)/CX108*100)</f>
        <v>0</v>
      </c>
      <c r="DA108" s="67">
        <f>IF(DA110=0,0,(DA109*DA110+DA111*DA112*6)/DA110)</f>
        <v>0</v>
      </c>
      <c r="DB108" s="67">
        <f>IF(DB110=0,0,(DB109*DB110+DB111*DB112*6)/DB110)</f>
        <v>0</v>
      </c>
      <c r="DC108" s="368">
        <f>IF(DA108=0,0,(DB108-DA108)/DA108*100)</f>
        <v>0</v>
      </c>
      <c r="DD108" s="67">
        <f>IF(DD110=0,0,(DD109*DD110+DD111*DD112*6)/DD110)</f>
        <v>0</v>
      </c>
      <c r="DE108" s="67">
        <f>IF(DE110=0,0,(DE109*DE110+DE111*DE112*6)/DE110)</f>
        <v>0</v>
      </c>
      <c r="DF108" s="368">
        <f>IF(DD108=0,0,(DE108-DD108)/DD108*100)</f>
        <v>0</v>
      </c>
      <c r="DG108" s="67">
        <f>IF(DG110=0,0,(DG109*DG110+DG111*DG112*6)/DG110)</f>
        <v>0</v>
      </c>
      <c r="DH108" s="67">
        <f>IF(DH110=0,0,(DH109*DH110+DH111*DH112*6)/DH110)</f>
        <v>0</v>
      </c>
      <c r="DI108" s="368">
        <f>IF(DG108=0,0,(DH108-DG108)/DG108*100)</f>
        <v>0</v>
      </c>
      <c r="DJ108" s="67">
        <f>IF(DJ110=0,0,(DJ109*DJ110+DJ111*DJ112*6)/DJ110)</f>
        <v>0</v>
      </c>
      <c r="DK108" s="67">
        <f>IF(DK110=0,0,(DK109*DK110+DK111*DK112*6)/DK110)</f>
        <v>0</v>
      </c>
      <c r="DL108" s="368">
        <f>IF(DJ108=0,0,(DK108-DJ108)/DJ108*100)</f>
        <v>0</v>
      </c>
      <c r="DM108" s="67">
        <f>IF(DM110=0,0,(DM109*DM110+DM111*DM112*6)/DM110)</f>
        <v>0</v>
      </c>
      <c r="DN108" s="67">
        <f>IF(DN110=0,0,(DN109*DN110+DN111*DN112*6)/DN110)</f>
        <v>0</v>
      </c>
      <c r="DO108" s="368">
        <f>IF(DM108=0,0,(DN108-DM108)/DM108*100)</f>
        <v>0</v>
      </c>
      <c r="DP108" s="67">
        <f>IF(DP110=0,0,(DP109*DP110+DP111*DP112*6)/DP110)</f>
        <v>0</v>
      </c>
      <c r="DQ108" s="67">
        <f>IF(DQ110=0,0,(DQ109*DQ110+DQ111*DQ112*6)/DQ110)</f>
        <v>0</v>
      </c>
      <c r="DR108" s="368">
        <f>IF(DP108=0,0,(DQ108-DP108)/DP108*100)</f>
        <v>0</v>
      </c>
      <c r="DS108" s="67">
        <f>IF(DS110=0,0,(DS109*DS110+DS111*DS112*6)/DS110)</f>
        <v>0</v>
      </c>
      <c r="DT108" s="67">
        <f>IF(DT110=0,0,(DT109*DT110+DT111*DT112*6)/DT110)</f>
        <v>0</v>
      </c>
      <c r="DU108" s="368">
        <f>IF(DS108=0,0,(DT108-DS108)/DS108*100)</f>
        <v>0</v>
      </c>
      <c r="DV108" s="67">
        <f>IF(DV110=0,0,(DV109*DV110+DV111*DV112*6)/DV110)</f>
        <v>0</v>
      </c>
      <c r="DW108" s="67">
        <f>IF(DW110=0,0,(DW109*DW110+DW111*DW112*6)/DW110)</f>
        <v>0</v>
      </c>
      <c r="DX108" s="368">
        <f>IF(DV108=0,0,(DW108-DV108)/DV108*100)</f>
        <v>0</v>
      </c>
      <c r="DY108" s="67">
        <f>IF(DY110=0,0,(DY109*DY110+DY111*DY112*6)/DY110)</f>
        <v>0</v>
      </c>
      <c r="DZ108" s="67">
        <f>IF(DZ110=0,0,(DZ109*DZ110+DZ111*DZ112*6)/DZ110)</f>
        <v>0</v>
      </c>
      <c r="EA108" s="368">
        <f>IF(DY108=0,0,(DZ108-DY108)/DY108*100)</f>
        <v>0</v>
      </c>
      <c r="EB108" s="67">
        <f>IF(EB110=0,0,(EB109*EB110+EB111*EB112*6)/EB110)</f>
        <v>0</v>
      </c>
      <c r="EC108" s="67">
        <f>IF(EC110=0,0,(EC109*EC110+EC111*EC112*6)/EC110)</f>
        <v>0</v>
      </c>
      <c r="ED108" s="368">
        <f>IF(EB108=0,0,(EC108-EB108)/EB108*100)</f>
        <v>0</v>
      </c>
      <c r="EE108" s="67">
        <f>IF(EE110=0,0,(EE109*EE110+EE111*EE112*6)/EE110)</f>
        <v>0</v>
      </c>
      <c r="EF108" s="67">
        <f>IF(EF110=0,0,(EF109*EF110+EF111*EF112*6)/EF110)</f>
        <v>0</v>
      </c>
      <c r="EG108" s="368">
        <f>IF(EE108=0,0,(EF108-EE108)/EE108*100)</f>
        <v>0</v>
      </c>
      <c r="EH108" s="67">
        <f>IF(EH110=0,0,(EH109*EH110+EH111*EH112*6)/EH110)</f>
        <v>0</v>
      </c>
      <c r="EI108" s="67">
        <f>IF(EI110=0,0,(EI109*EI110+EI111*EI112*6)/EI110)</f>
        <v>0</v>
      </c>
      <c r="EJ108" s="368">
        <f>IF(EH108=0,0,(EI108-EH108)/EH108*100)</f>
        <v>0</v>
      </c>
      <c r="EK108" s="67">
        <f>IF(EK110=0,0,(EK109*EK110+EK111*EK112*6)/EK110)</f>
        <v>0</v>
      </c>
      <c r="EL108" s="67">
        <f>IF(EL110=0,0,(EL109*EL110+EL111*EL112*6)/EL110)</f>
        <v>0</v>
      </c>
      <c r="EM108" s="368">
        <f>IF(EK108=0,0,(EL108-EK108)/EK108*100)</f>
        <v>0</v>
      </c>
      <c r="EN108" s="67">
        <f>IF(EN110=0,0,(EN109*EN110+EN111*EN112*6)/EN110)</f>
        <v>0</v>
      </c>
      <c r="EO108" s="67">
        <f>IF(EO110=0,0,(EO109*EO110+EO111*EO112*6)/EO110)</f>
        <v>0</v>
      </c>
      <c r="EP108" s="368">
        <f>IF(EN108=0,0,(EO108-EN108)/EN108*100)</f>
        <v>0</v>
      </c>
      <c r="EQ108" s="67">
        <f>IF(EQ110=0,0,(EQ109*EQ110+EQ111*EQ112*6)/EQ110)</f>
        <v>0</v>
      </c>
      <c r="ER108" s="67">
        <f>IF(ER110=0,0,(ER109*ER110+ER111*ER112*6)/ER110)</f>
        <v>0</v>
      </c>
      <c r="ES108" s="368">
        <f>IF(EQ108=0,0,(ER108-EQ108)/EQ108*100)</f>
        <v>0</v>
      </c>
      <c r="ET108" s="67">
        <f>IF(ET110=0,0,(ET109*ET110+ET111*ET112*6)/ET110)</f>
        <v>0</v>
      </c>
      <c r="EU108" s="67">
        <f>IF(EU110=0,0,(EU109*EU110+EU111*EU112*6)/EU110)</f>
        <v>0</v>
      </c>
      <c r="EV108" s="368">
        <f>IF(ET108=0,0,(EU108-ET108)/ET108*100)</f>
        <v>0</v>
      </c>
      <c r="EW108" s="67">
        <f>IF(EW110=0,0,(EW109*EW110+EW111*EW112*6)/EW110)</f>
        <v>0</v>
      </c>
      <c r="EX108" s="67">
        <f>IF(EX110=0,0,(EX109*EX110+EX111*EX112*6)/EX110)</f>
        <v>0</v>
      </c>
      <c r="EY108" s="368">
        <f>IF(EW108=0,0,(EX108-EW108)/EW108*100)</f>
        <v>0</v>
      </c>
      <c r="EZ108" s="67">
        <f>IF(EZ110=0,0,(EZ109*EZ110+EZ111*EZ112*6)/EZ110)</f>
        <v>0</v>
      </c>
      <c r="FA108" s="67">
        <f>IF(FA110=0,0,(FA109*FA110+FA111*FA112*6)/FA110)</f>
        <v>0</v>
      </c>
      <c r="FB108" s="368">
        <f>IF(EZ108=0,0,(FA108-EZ108)/EZ108*100)</f>
        <v>0</v>
      </c>
      <c r="FC108" s="67">
        <f>IF(FC110=0,0,(FC109*FC110+FC111*FC112*6)/FC110)</f>
        <v>0</v>
      </c>
      <c r="FD108" s="67">
        <f>IF(FD110=0,0,(FD109*FD110+FD111*FD112*6)/FD110)</f>
        <v>0</v>
      </c>
      <c r="FE108" s="368">
        <f>IF(FC108=0,0,(FD108-FC108)/FC108*100)</f>
        <v>0</v>
      </c>
      <c r="FF108" s="67">
        <f>IF(FF110=0,0,(FF109*FF110+FF111*FF112*6)/FF110)</f>
        <v>0</v>
      </c>
      <c r="FG108" s="67">
        <f>IF(FG110=0,0,(FG109*FG110+FG111*FG112*6)/FG110)</f>
        <v>0</v>
      </c>
      <c r="FH108" s="368">
        <f>IF(FF108=0,0,(FG108-FF108)/FF108*100)</f>
        <v>0</v>
      </c>
      <c r="FI108" s="67">
        <f>IF(FI110=0,0,(FI109*FI110+FI111*FI112*6)/FI110)</f>
        <v>0</v>
      </c>
      <c r="FJ108" s="67">
        <f>IF(FJ110=0,0,(FJ109*FJ110+FJ111*FJ112*6)/FJ110)</f>
        <v>0</v>
      </c>
      <c r="FK108" s="368">
        <f>IF(FI108=0,0,(FJ108-FI108)/FI108*100)</f>
        <v>0</v>
      </c>
      <c r="FL108" s="67">
        <f>IF(FL110=0,0,(FL109*FL110+FL111*FL112*6)/FL110)</f>
        <v>0</v>
      </c>
      <c r="FM108" s="67">
        <f>IF(FM110=0,0,(FM109*FM110+FM111*FM112*6)/FM110)</f>
        <v>0</v>
      </c>
      <c r="FN108" s="368">
        <f>IF(FL108=0,0,(FM108-FL108)/FL108*100)</f>
        <v>0</v>
      </c>
      <c r="FO108" s="67">
        <f>IF(FO110=0,0,(FO109*FO110+FO111*FO112*6)/FO110)</f>
        <v>0</v>
      </c>
      <c r="FP108" s="67">
        <f>IF(FP110=0,0,(FP109*FP110+FP111*FP112*6)/FP110)</f>
        <v>0</v>
      </c>
      <c r="FQ108" s="368">
        <f>IF(FO108=0,0,(FP108-FO108)/FO108*100)</f>
        <v>0</v>
      </c>
      <c r="FR108" s="67">
        <f>IF(FR110=0,0,(FR109*FR110+FR111*FR112*6)/FR110)</f>
        <v>0</v>
      </c>
      <c r="FS108" s="67">
        <f>IF(FS110=0,0,(FS109*FS110+FS111*FS112*6)/FS110)</f>
        <v>0</v>
      </c>
      <c r="FT108" s="368">
        <f>IF(FR108=0,0,(FS108-FR108)/FR108*100)</f>
        <v>0</v>
      </c>
      <c r="FU108" s="67">
        <f>IF(FU110=0,0,(FU109*FU110+FU111*FU112*6)/FU110)</f>
        <v>0</v>
      </c>
      <c r="FV108" s="67">
        <f>IF(FV110=0,0,(FV109*FV110+FV111*FV112*6)/FV110)</f>
        <v>0</v>
      </c>
      <c r="FW108" s="368">
        <f>IF(FU108=0,0,(FV108-FU108)/FU108*100)</f>
        <v>0</v>
      </c>
      <c r="FX108" s="500"/>
      <c r="FY108" s="500"/>
      <c r="FZ108" s="1184" t="s">
        <v>2167</v>
      </c>
      <c r="GA108" s="1184"/>
      <c r="GB108" s="1184"/>
      <c r="GC108" s="1184"/>
      <c r="GD108" s="1184"/>
    </row>
    <row s="1632" customFormat="1" customHeight="1" ht="15" hidden="1">
      <c r="A109" s="1582"/>
      <c r="B109" s="964" cm="1" t="str">
        <f t="array" ref="B109:B109">B108</f>
        <v>false</v>
      </c>
      <c r="C109" s="1325" t="s">
        <v>2168</v>
      </c>
      <c r="D109" s="1294" t="s">
        <v>2169</v>
      </c>
      <c r="E109" s="797">
        <v>15.8</v>
      </c>
      <c r="F109" s="922" cm="1" t="str">
        <f t="array" ref="F109:F109">OFFSET(G109,-1,-1)</f>
        <v>1</v>
      </c>
      <c r="G109" s="500"/>
      <c r="H109" s="213" t="s">
        <v>2143</v>
      </c>
      <c r="I109" s="213" t="s">
        <v>2112</v>
      </c>
      <c r="J109" s="1315"/>
      <c r="K109" s="1315" cm="1" t="str">
        <f t="array" ref="K109:K109">OFFSET(J109,-1,1)</f>
        <v>ТЭ.42.28873685.0002</v>
      </c>
      <c r="L109" s="1315"/>
      <c r="M109" s="1315" t="s">
        <v>1726</v>
      </c>
      <c r="N109" s="1315" t="s">
        <v>2113</v>
      </c>
      <c r="O109" s="1316" t="s">
        <v>2114</v>
      </c>
      <c r="P109" s="1315" t="s">
        <v>2144</v>
      </c>
      <c r="Q109" s="1315"/>
      <c r="R109" s="928"/>
      <c r="S109" s="500"/>
      <c r="T109" s="808" cm="1" t="str">
        <f t="array" ref="T109:T109">T108</f>
        <v>false</v>
      </c>
      <c r="U109" s="1582"/>
      <c r="V109" s="1582"/>
      <c r="W109" s="1582"/>
      <c r="X109" s="1582"/>
      <c r="Y109" s="1582"/>
      <c r="Z109" s="1582"/>
      <c r="AA109" s="500"/>
      <c r="AB109" s="276" t="s">
        <v>2145</v>
      </c>
      <c r="AC109" s="172" t="s">
        <v>900</v>
      </c>
      <c r="AD109" s="67"/>
      <c r="AE109" s="67"/>
      <c r="AF109" s="368">
        <f>IF(AD109=0,0,(AE109-AD109)/AD109*100)</f>
        <v>0</v>
      </c>
      <c r="AG109" s="67"/>
      <c r="AH109" s="67"/>
      <c r="AI109" s="368">
        <f>IF(AG109=0,0,(AH109-AG109)/AG109*100)</f>
        <v>0</v>
      </c>
      <c r="AJ109" s="67"/>
      <c r="AK109" s="67"/>
      <c r="AL109" s="368">
        <f>IF(AJ109=0,0,(AK109-AJ109)/AJ109*100)</f>
        <v>0</v>
      </c>
      <c r="AM109" s="67"/>
      <c r="AN109" s="67"/>
      <c r="AO109" s="368">
        <f>IF(AM109=0,0,(AN109-AM109)/AM109*100)</f>
        <v>0</v>
      </c>
      <c r="AP109" s="67"/>
      <c r="AQ109" s="67"/>
      <c r="AR109" s="368">
        <f>IF(AP109=0,0,(AQ109-AP109)/AP109*100)</f>
        <v>0</v>
      </c>
      <c r="AS109" s="67"/>
      <c r="AT109" s="67"/>
      <c r="AU109" s="368">
        <f>IF(AS109=0,0,(AT109-AS109)/AS109*100)</f>
        <v>0</v>
      </c>
      <c r="AV109" s="67"/>
      <c r="AW109" s="67"/>
      <c r="AX109" s="368">
        <f>IF(AV109=0,0,(AW109-AV109)/AV109*100)</f>
        <v>0</v>
      </c>
      <c r="AY109" s="67"/>
      <c r="AZ109" s="67"/>
      <c r="BA109" s="368">
        <f>IF(AY109=0,0,(AZ109-AY109)/AY109*100)</f>
        <v>0</v>
      </c>
      <c r="BB109" s="67"/>
      <c r="BC109" s="67"/>
      <c r="BD109" s="368">
        <f>IF(BB109=0,0,(BC109-BB109)/BB109*100)</f>
        <v>0</v>
      </c>
      <c r="BE109" s="67"/>
      <c r="BF109" s="67"/>
      <c r="BG109" s="368">
        <f>IF(BE109=0,0,(BF109-BE109)/BE109*100)</f>
        <v>0</v>
      </c>
      <c r="BH109" s="67"/>
      <c r="BI109" s="67"/>
      <c r="BJ109" s="368">
        <f>IF(BH109=0,0,(BI109-BH109)/BH109*100)</f>
        <v>0</v>
      </c>
      <c r="BK109" s="67"/>
      <c r="BL109" s="67"/>
      <c r="BM109" s="368">
        <f>IF(BK109=0,0,(BL109-BK109)/BK109*100)</f>
        <v>0</v>
      </c>
      <c r="BN109" s="67"/>
      <c r="BO109" s="67"/>
      <c r="BP109" s="368">
        <f>IF(BN109=0,0,(BO109-BN109)/BN109*100)</f>
        <v>0</v>
      </c>
      <c r="BQ109" s="67"/>
      <c r="BR109" s="67"/>
      <c r="BS109" s="368">
        <f>IF(BQ109=0,0,(BR109-BQ109)/BQ109*100)</f>
        <v>0</v>
      </c>
      <c r="BT109" s="67"/>
      <c r="BU109" s="67"/>
      <c r="BV109" s="368">
        <f>IF(BT109=0,0,(BU109-BT109)/BT109*100)</f>
        <v>0</v>
      </c>
      <c r="BW109" s="67"/>
      <c r="BX109" s="67"/>
      <c r="BY109" s="368">
        <f>IF(BW109=0,0,(BX109-BW109)/BW109*100)</f>
        <v>0</v>
      </c>
      <c r="BZ109" s="67"/>
      <c r="CA109" s="67"/>
      <c r="CB109" s="368">
        <f>IF(BZ109=0,0,(CA109-BZ109)/BZ109*100)</f>
        <v>0</v>
      </c>
      <c r="CC109" s="67"/>
      <c r="CD109" s="67"/>
      <c r="CE109" s="368">
        <f>IF(CC109=0,0,(CD109-CC109)/CC109*100)</f>
        <v>0</v>
      </c>
      <c r="CF109" s="67"/>
      <c r="CG109" s="67"/>
      <c r="CH109" s="368">
        <f>IF(CF109=0,0,(CG109-CF109)/CF109*100)</f>
        <v>0</v>
      </c>
      <c r="CI109" s="67"/>
      <c r="CJ109" s="67"/>
      <c r="CK109" s="368">
        <f>IF(CI109=0,0,(CJ109-CI109)/CI109*100)</f>
        <v>0</v>
      </c>
      <c r="CL109" s="67"/>
      <c r="CM109" s="67"/>
      <c r="CN109" s="368">
        <f>IF(CL109=0,0,(CM109-CL109)/CL109*100)</f>
        <v>0</v>
      </c>
      <c r="CO109" s="67"/>
      <c r="CP109" s="67"/>
      <c r="CQ109" s="368">
        <f>IF(CO109=0,0,(CP109-CO109)/CO109*100)</f>
        <v>0</v>
      </c>
      <c r="CR109" s="67"/>
      <c r="CS109" s="67"/>
      <c r="CT109" s="368">
        <f>IF(CR109=0,0,(CS109-CR109)/CR109*100)</f>
        <v>0</v>
      </c>
      <c r="CU109" s="67"/>
      <c r="CV109" s="67"/>
      <c r="CW109" s="368">
        <f>IF(CU109=0,0,(CV109-CU109)/CU109*100)</f>
        <v>0</v>
      </c>
      <c r="CX109" s="67"/>
      <c r="CY109" s="67"/>
      <c r="CZ109" s="368">
        <f>IF(CX109=0,0,(CY109-CX109)/CX109*100)</f>
        <v>0</v>
      </c>
      <c r="DA109" s="67"/>
      <c r="DB109" s="67"/>
      <c r="DC109" s="368">
        <f>IF(DA109=0,0,(DB109-DA109)/DA109*100)</f>
        <v>0</v>
      </c>
      <c r="DD109" s="67"/>
      <c r="DE109" s="67"/>
      <c r="DF109" s="368">
        <f>IF(DD109=0,0,(DE109-DD109)/DD109*100)</f>
        <v>0</v>
      </c>
      <c r="DG109" s="67"/>
      <c r="DH109" s="67"/>
      <c r="DI109" s="368">
        <f>IF(DG109=0,0,(DH109-DG109)/DG109*100)</f>
        <v>0</v>
      </c>
      <c r="DJ109" s="67"/>
      <c r="DK109" s="67"/>
      <c r="DL109" s="368">
        <f>IF(DJ109=0,0,(DK109-DJ109)/DJ109*100)</f>
        <v>0</v>
      </c>
      <c r="DM109" s="67"/>
      <c r="DN109" s="67"/>
      <c r="DO109" s="368">
        <f>IF(DM109=0,0,(DN109-DM109)/DM109*100)</f>
        <v>0</v>
      </c>
      <c r="DP109" s="67"/>
      <c r="DQ109" s="67"/>
      <c r="DR109" s="368">
        <f>IF(DP109=0,0,(DQ109-DP109)/DP109*100)</f>
        <v>0</v>
      </c>
      <c r="DS109" s="67"/>
      <c r="DT109" s="67"/>
      <c r="DU109" s="368">
        <f>IF(DS109=0,0,(DT109-DS109)/DS109*100)</f>
        <v>0</v>
      </c>
      <c r="DV109" s="67"/>
      <c r="DW109" s="67"/>
      <c r="DX109" s="368">
        <f>IF(DV109=0,0,(DW109-DV109)/DV109*100)</f>
        <v>0</v>
      </c>
      <c r="DY109" s="67"/>
      <c r="DZ109" s="67"/>
      <c r="EA109" s="368">
        <f>IF(DY109=0,0,(DZ109-DY109)/DY109*100)</f>
        <v>0</v>
      </c>
      <c r="EB109" s="67"/>
      <c r="EC109" s="67"/>
      <c r="ED109" s="368">
        <f>IF(EB109=0,0,(EC109-EB109)/EB109*100)</f>
        <v>0</v>
      </c>
      <c r="EE109" s="67"/>
      <c r="EF109" s="67"/>
      <c r="EG109" s="368">
        <f>IF(EE109=0,0,(EF109-EE109)/EE109*100)</f>
        <v>0</v>
      </c>
      <c r="EH109" s="67"/>
      <c r="EI109" s="67"/>
      <c r="EJ109" s="368">
        <f>IF(EH109=0,0,(EI109-EH109)/EH109*100)</f>
        <v>0</v>
      </c>
      <c r="EK109" s="67"/>
      <c r="EL109" s="67"/>
      <c r="EM109" s="368">
        <f>IF(EK109=0,0,(EL109-EK109)/EK109*100)</f>
        <v>0</v>
      </c>
      <c r="EN109" s="67"/>
      <c r="EO109" s="67"/>
      <c r="EP109" s="368">
        <f>IF(EN109=0,0,(EO109-EN109)/EN109*100)</f>
        <v>0</v>
      </c>
      <c r="EQ109" s="67"/>
      <c r="ER109" s="67"/>
      <c r="ES109" s="368">
        <f>IF(EQ109=0,0,(ER109-EQ109)/EQ109*100)</f>
        <v>0</v>
      </c>
      <c r="ET109" s="67"/>
      <c r="EU109" s="67"/>
      <c r="EV109" s="368">
        <f>IF(ET109=0,0,(EU109-ET109)/ET109*100)</f>
        <v>0</v>
      </c>
      <c r="EW109" s="67"/>
      <c r="EX109" s="67"/>
      <c r="EY109" s="368">
        <f>IF(EW109=0,0,(EX109-EW109)/EW109*100)</f>
        <v>0</v>
      </c>
      <c r="EZ109" s="67"/>
      <c r="FA109" s="67"/>
      <c r="FB109" s="368">
        <f>IF(EZ109=0,0,(FA109-EZ109)/EZ109*100)</f>
        <v>0</v>
      </c>
      <c r="FC109" s="67"/>
      <c r="FD109" s="67"/>
      <c r="FE109" s="368">
        <f>IF(FC109=0,0,(FD109-FC109)/FC109*100)</f>
        <v>0</v>
      </c>
      <c r="FF109" s="67"/>
      <c r="FG109" s="67"/>
      <c r="FH109" s="368">
        <f>IF(FF109=0,0,(FG109-FF109)/FF109*100)</f>
        <v>0</v>
      </c>
      <c r="FI109" s="67"/>
      <c r="FJ109" s="67"/>
      <c r="FK109" s="368">
        <f>IF(FI109=0,0,(FJ109-FI109)/FI109*100)</f>
        <v>0</v>
      </c>
      <c r="FL109" s="67"/>
      <c r="FM109" s="67"/>
      <c r="FN109" s="368">
        <f>IF(FL109=0,0,(FM109-FL109)/FL109*100)</f>
        <v>0</v>
      </c>
      <c r="FO109" s="67"/>
      <c r="FP109" s="67"/>
      <c r="FQ109" s="368">
        <f>IF(FO109=0,0,(FP109-FO109)/FO109*100)</f>
        <v>0</v>
      </c>
      <c r="FR109" s="67"/>
      <c r="FS109" s="67"/>
      <c r="FT109" s="368">
        <f>IF(FR109=0,0,(FS109-FR109)/FR109*100)</f>
        <v>0</v>
      </c>
      <c r="FU109" s="67"/>
      <c r="FV109" s="67"/>
      <c r="FW109" s="368">
        <f>IF(FU109=0,0,(FV109-FU109)/FU109*100)</f>
        <v>0</v>
      </c>
      <c r="FX109" s="500"/>
      <c r="FY109" s="500"/>
      <c r="FZ109" s="1184" t="s">
        <v>2170</v>
      </c>
      <c r="GA109" s="1184"/>
      <c r="GB109" s="1184"/>
      <c r="GC109" s="1184"/>
      <c r="GD109" s="1184"/>
    </row>
    <row s="1632" customFormat="1" customHeight="1" ht="15" hidden="1">
      <c r="A110" s="1582"/>
      <c r="B110" s="964" cm="1" t="str">
        <f t="array" ref="B110:B110">B109</f>
        <v>false</v>
      </c>
      <c r="C110" s="1325" t="s">
        <v>1723</v>
      </c>
      <c r="D110" s="1294" t="s">
        <v>1724</v>
      </c>
      <c r="E110" s="797">
        <v>15.8</v>
      </c>
      <c r="F110" s="922" cm="1" t="str">
        <f t="array" ref="F110:F110">OFFSET(G110,-1,-1)</f>
        <v>1</v>
      </c>
      <c r="G110" s="500"/>
      <c r="H110" s="213" t="s">
        <v>2147</v>
      </c>
      <c r="I110" s="213" t="s">
        <v>2112</v>
      </c>
      <c r="J110" s="1315"/>
      <c r="K110" s="1315" cm="1" t="str">
        <f t="array" ref="K110:K110">OFFSET(J110,-1,1)</f>
        <v>ТЭ.42.28873685.0002</v>
      </c>
      <c r="L110" s="1315"/>
      <c r="M110" s="1315" t="s">
        <v>1726</v>
      </c>
      <c r="N110" s="1315" t="s">
        <v>2113</v>
      </c>
      <c r="O110" s="1316" t="s">
        <v>2114</v>
      </c>
      <c r="P110" s="1315" t="s">
        <v>2148</v>
      </c>
      <c r="Q110" s="1315"/>
      <c r="R110" s="928"/>
      <c r="S110" s="500"/>
      <c r="T110" s="808" cm="1" t="str">
        <f t="array" ref="T110:T110">T109</f>
        <v>false</v>
      </c>
      <c r="U110" s="1582"/>
      <c r="V110" s="1582"/>
      <c r="W110" s="1582"/>
      <c r="X110" s="1582"/>
      <c r="Y110" s="1582"/>
      <c r="Z110" s="1582"/>
      <c r="AA110" s="500"/>
      <c r="AB110" s="276" t="s">
        <v>2149</v>
      </c>
      <c r="AC110" s="172" t="s">
        <v>599</v>
      </c>
      <c r="AD110" s="148"/>
      <c r="AE110" s="148"/>
      <c r="AF110" s="400">
        <f>IF(AD110=0,0,(AE110-AD110)/AD110*100)</f>
        <v>0</v>
      </c>
      <c r="AG110" s="148"/>
      <c r="AH110" s="148"/>
      <c r="AI110" s="400">
        <f>IF(AG110=0,0,(AH110-AG110)/AG110*100)</f>
        <v>0</v>
      </c>
      <c r="AJ110" s="148"/>
      <c r="AK110" s="148"/>
      <c r="AL110" s="400">
        <f>IF(AJ110=0,0,(AK110-AJ110)/AJ110*100)</f>
        <v>0</v>
      </c>
      <c r="AM110" s="148"/>
      <c r="AN110" s="148"/>
      <c r="AO110" s="400">
        <f>IF(AM110=0,0,(AN110-AM110)/AM110*100)</f>
        <v>0</v>
      </c>
      <c r="AP110" s="148"/>
      <c r="AQ110" s="148"/>
      <c r="AR110" s="400">
        <f>IF(AP110=0,0,(AQ110-AP110)/AP110*100)</f>
        <v>0</v>
      </c>
      <c r="AS110" s="148"/>
      <c r="AT110" s="148"/>
      <c r="AU110" s="400">
        <f>IF(AS110=0,0,(AT110-AS110)/AS110*100)</f>
        <v>0</v>
      </c>
      <c r="AV110" s="148"/>
      <c r="AW110" s="148"/>
      <c r="AX110" s="400">
        <f>IF(AV110=0,0,(AW110-AV110)/AV110*100)</f>
        <v>0</v>
      </c>
      <c r="AY110" s="148"/>
      <c r="AZ110" s="148"/>
      <c r="BA110" s="400">
        <f>IF(AY110=0,0,(AZ110-AY110)/AY110*100)</f>
        <v>0</v>
      </c>
      <c r="BB110" s="148"/>
      <c r="BC110" s="148"/>
      <c r="BD110" s="400">
        <f>IF(BB110=0,0,(BC110-BB110)/BB110*100)</f>
        <v>0</v>
      </c>
      <c r="BE110" s="148"/>
      <c r="BF110" s="148"/>
      <c r="BG110" s="400">
        <f>IF(BE110=0,0,(BF110-BE110)/BE110*100)</f>
        <v>0</v>
      </c>
      <c r="BH110" s="148"/>
      <c r="BI110" s="148"/>
      <c r="BJ110" s="400">
        <f>IF(BH110=0,0,(BI110-BH110)/BH110*100)</f>
        <v>0</v>
      </c>
      <c r="BK110" s="148"/>
      <c r="BL110" s="148"/>
      <c r="BM110" s="400">
        <f>IF(BK110=0,0,(BL110-BK110)/BK110*100)</f>
        <v>0</v>
      </c>
      <c r="BN110" s="148"/>
      <c r="BO110" s="148"/>
      <c r="BP110" s="400">
        <f>IF(BN110=0,0,(BO110-BN110)/BN110*100)</f>
        <v>0</v>
      </c>
      <c r="BQ110" s="148"/>
      <c r="BR110" s="148"/>
      <c r="BS110" s="400">
        <f>IF(BQ110=0,0,(BR110-BQ110)/BQ110*100)</f>
        <v>0</v>
      </c>
      <c r="BT110" s="148"/>
      <c r="BU110" s="148"/>
      <c r="BV110" s="400">
        <f>IF(BT110=0,0,(BU110-BT110)/BT110*100)</f>
        <v>0</v>
      </c>
      <c r="BW110" s="148"/>
      <c r="BX110" s="148"/>
      <c r="BY110" s="400">
        <f>IF(BW110=0,0,(BX110-BW110)/BW110*100)</f>
        <v>0</v>
      </c>
      <c r="BZ110" s="148"/>
      <c r="CA110" s="148"/>
      <c r="CB110" s="400">
        <f>IF(BZ110=0,0,(CA110-BZ110)/BZ110*100)</f>
        <v>0</v>
      </c>
      <c r="CC110" s="148"/>
      <c r="CD110" s="148"/>
      <c r="CE110" s="400">
        <f>IF(CC110=0,0,(CD110-CC110)/CC110*100)</f>
        <v>0</v>
      </c>
      <c r="CF110" s="148"/>
      <c r="CG110" s="148"/>
      <c r="CH110" s="400">
        <f>IF(CF110=0,0,(CG110-CF110)/CF110*100)</f>
        <v>0</v>
      </c>
      <c r="CI110" s="148"/>
      <c r="CJ110" s="148"/>
      <c r="CK110" s="400">
        <f>IF(CI110=0,0,(CJ110-CI110)/CI110*100)</f>
        <v>0</v>
      </c>
      <c r="CL110" s="148"/>
      <c r="CM110" s="148"/>
      <c r="CN110" s="400">
        <f>IF(CL110=0,0,(CM110-CL110)/CL110*100)</f>
        <v>0</v>
      </c>
      <c r="CO110" s="148"/>
      <c r="CP110" s="148"/>
      <c r="CQ110" s="400">
        <f>IF(CO110=0,0,(CP110-CO110)/CO110*100)</f>
        <v>0</v>
      </c>
      <c r="CR110" s="148"/>
      <c r="CS110" s="148"/>
      <c r="CT110" s="400">
        <f>IF(CR110=0,0,(CS110-CR110)/CR110*100)</f>
        <v>0</v>
      </c>
      <c r="CU110" s="148"/>
      <c r="CV110" s="148"/>
      <c r="CW110" s="400">
        <f>IF(CU110=0,0,(CV110-CU110)/CU110*100)</f>
        <v>0</v>
      </c>
      <c r="CX110" s="148"/>
      <c r="CY110" s="148"/>
      <c r="CZ110" s="400">
        <f>IF(CX110=0,0,(CY110-CX110)/CX110*100)</f>
        <v>0</v>
      </c>
      <c r="DA110" s="148"/>
      <c r="DB110" s="148"/>
      <c r="DC110" s="400">
        <f>IF(DA110=0,0,(DB110-DA110)/DA110*100)</f>
        <v>0</v>
      </c>
      <c r="DD110" s="148"/>
      <c r="DE110" s="148"/>
      <c r="DF110" s="400">
        <f>IF(DD110=0,0,(DE110-DD110)/DD110*100)</f>
        <v>0</v>
      </c>
      <c r="DG110" s="148"/>
      <c r="DH110" s="148"/>
      <c r="DI110" s="400">
        <f>IF(DG110=0,0,(DH110-DG110)/DG110*100)</f>
        <v>0</v>
      </c>
      <c r="DJ110" s="148"/>
      <c r="DK110" s="148"/>
      <c r="DL110" s="400">
        <f>IF(DJ110=0,0,(DK110-DJ110)/DJ110*100)</f>
        <v>0</v>
      </c>
      <c r="DM110" s="148"/>
      <c r="DN110" s="148"/>
      <c r="DO110" s="400">
        <f>IF(DM110=0,0,(DN110-DM110)/DM110*100)</f>
        <v>0</v>
      </c>
      <c r="DP110" s="148"/>
      <c r="DQ110" s="148"/>
      <c r="DR110" s="400">
        <f>IF(DP110=0,0,(DQ110-DP110)/DP110*100)</f>
        <v>0</v>
      </c>
      <c r="DS110" s="148"/>
      <c r="DT110" s="148"/>
      <c r="DU110" s="400">
        <f>IF(DS110=0,0,(DT110-DS110)/DS110*100)</f>
        <v>0</v>
      </c>
      <c r="DV110" s="148"/>
      <c r="DW110" s="148"/>
      <c r="DX110" s="400">
        <f>IF(DV110=0,0,(DW110-DV110)/DV110*100)</f>
        <v>0</v>
      </c>
      <c r="DY110" s="148"/>
      <c r="DZ110" s="148"/>
      <c r="EA110" s="400">
        <f>IF(DY110=0,0,(DZ110-DY110)/DY110*100)</f>
        <v>0</v>
      </c>
      <c r="EB110" s="148"/>
      <c r="EC110" s="148"/>
      <c r="ED110" s="400">
        <f>IF(EB110=0,0,(EC110-EB110)/EB110*100)</f>
        <v>0</v>
      </c>
      <c r="EE110" s="148"/>
      <c r="EF110" s="148"/>
      <c r="EG110" s="400">
        <f>IF(EE110=0,0,(EF110-EE110)/EE110*100)</f>
        <v>0</v>
      </c>
      <c r="EH110" s="148"/>
      <c r="EI110" s="148"/>
      <c r="EJ110" s="400">
        <f>IF(EH110=0,0,(EI110-EH110)/EH110*100)</f>
        <v>0</v>
      </c>
      <c r="EK110" s="148"/>
      <c r="EL110" s="148"/>
      <c r="EM110" s="400">
        <f>IF(EK110=0,0,(EL110-EK110)/EK110*100)</f>
        <v>0</v>
      </c>
      <c r="EN110" s="148"/>
      <c r="EO110" s="148"/>
      <c r="EP110" s="400">
        <f>IF(EN110=0,0,(EO110-EN110)/EN110*100)</f>
        <v>0</v>
      </c>
      <c r="EQ110" s="148"/>
      <c r="ER110" s="148"/>
      <c r="ES110" s="400">
        <f>IF(EQ110=0,0,(ER110-EQ110)/EQ110*100)</f>
        <v>0</v>
      </c>
      <c r="ET110" s="148"/>
      <c r="EU110" s="148"/>
      <c r="EV110" s="400">
        <f>IF(ET110=0,0,(EU110-ET110)/ET110*100)</f>
        <v>0</v>
      </c>
      <c r="EW110" s="148"/>
      <c r="EX110" s="148"/>
      <c r="EY110" s="400">
        <f>IF(EW110=0,0,(EX110-EW110)/EW110*100)</f>
        <v>0</v>
      </c>
      <c r="EZ110" s="148"/>
      <c r="FA110" s="148"/>
      <c r="FB110" s="400">
        <f>IF(EZ110=0,0,(FA110-EZ110)/EZ110*100)</f>
        <v>0</v>
      </c>
      <c r="FC110" s="148"/>
      <c r="FD110" s="148"/>
      <c r="FE110" s="400">
        <f>IF(FC110=0,0,(FD110-FC110)/FC110*100)</f>
        <v>0</v>
      </c>
      <c r="FF110" s="148"/>
      <c r="FG110" s="148"/>
      <c r="FH110" s="400">
        <f>IF(FF110=0,0,(FG110-FF110)/FF110*100)</f>
        <v>0</v>
      </c>
      <c r="FI110" s="148"/>
      <c r="FJ110" s="148"/>
      <c r="FK110" s="400">
        <f>IF(FI110=0,0,(FJ110-FI110)/FI110*100)</f>
        <v>0</v>
      </c>
      <c r="FL110" s="148"/>
      <c r="FM110" s="148"/>
      <c r="FN110" s="400">
        <f>IF(FL110=0,0,(FM110-FL110)/FL110*100)</f>
        <v>0</v>
      </c>
      <c r="FO110" s="148"/>
      <c r="FP110" s="148"/>
      <c r="FQ110" s="400">
        <f>IF(FO110=0,0,(FP110-FO110)/FO110*100)</f>
        <v>0</v>
      </c>
      <c r="FR110" s="148"/>
      <c r="FS110" s="148"/>
      <c r="FT110" s="400">
        <f>IF(FR110=0,0,(FS110-FR110)/FR110*100)</f>
        <v>0</v>
      </c>
      <c r="FU110" s="148"/>
      <c r="FV110" s="148"/>
      <c r="FW110" s="400">
        <f>IF(FU110=0,0,(FV110-FU110)/FU110*100)</f>
        <v>0</v>
      </c>
      <c r="FX110" s="500"/>
      <c r="FY110" s="500"/>
      <c r="FZ110" s="1184" t="s">
        <v>2171</v>
      </c>
      <c r="GA110" s="1184"/>
      <c r="GB110" s="1184"/>
      <c r="GC110" s="1184"/>
      <c r="GD110" s="1184"/>
    </row>
    <row s="1632" customFormat="1" customHeight="1" ht="30" hidden="1">
      <c r="A111" s="1582"/>
      <c r="B111" s="964" cm="1" t="str">
        <f t="array" ref="B111:B111">B110</f>
        <v>false</v>
      </c>
      <c r="C111" s="1325" t="s">
        <v>1777</v>
      </c>
      <c r="D111" s="1294" t="s">
        <v>1778</v>
      </c>
      <c r="E111" s="797">
        <v>31.5</v>
      </c>
      <c r="F111" s="922" cm="1" t="str">
        <f t="array" ref="F111:F111">OFFSET(G111,-1,-1)</f>
        <v>1</v>
      </c>
      <c r="G111" s="500"/>
      <c r="H111" s="213" t="s">
        <v>2151</v>
      </c>
      <c r="I111" s="213" t="s">
        <v>2112</v>
      </c>
      <c r="J111" s="1315"/>
      <c r="K111" s="1315" cm="1" t="str">
        <f t="array" ref="K111:K111">OFFSET(J111,-1,1)</f>
        <v>ТЭ.42.28873685.0002</v>
      </c>
      <c r="L111" s="1315"/>
      <c r="M111" s="1315" t="s">
        <v>1726</v>
      </c>
      <c r="N111" s="1315" t="s">
        <v>2113</v>
      </c>
      <c r="O111" s="1316" t="s">
        <v>2114</v>
      </c>
      <c r="P111" s="1315" t="s">
        <v>2152</v>
      </c>
      <c r="Q111" s="1315"/>
      <c r="R111" s="928"/>
      <c r="S111" s="500"/>
      <c r="T111" s="808" cm="1" t="str">
        <f t="array" ref="T111:T111">T110</f>
        <v>false</v>
      </c>
      <c r="U111" s="1582"/>
      <c r="V111" s="1582"/>
      <c r="W111" s="1582"/>
      <c r="X111" s="1582"/>
      <c r="Y111" s="1582"/>
      <c r="Z111" s="1582"/>
      <c r="AA111" s="500"/>
      <c r="AB111" s="276" t="s">
        <v>2153</v>
      </c>
      <c r="AC111" s="520" t="s">
        <v>1781</v>
      </c>
      <c r="AD111" s="67"/>
      <c r="AE111" s="67"/>
      <c r="AF111" s="368">
        <f>IF(AD111=0,0,(AE111-AD111)/AD111*100)</f>
        <v>0</v>
      </c>
      <c r="AG111" s="67"/>
      <c r="AH111" s="67"/>
      <c r="AI111" s="368">
        <f>IF(AG111=0,0,(AH111-AG111)/AG111*100)</f>
        <v>0</v>
      </c>
      <c r="AJ111" s="67"/>
      <c r="AK111" s="67"/>
      <c r="AL111" s="368">
        <f>IF(AJ111=0,0,(AK111-AJ111)/AJ111*100)</f>
        <v>0</v>
      </c>
      <c r="AM111" s="67"/>
      <c r="AN111" s="67"/>
      <c r="AO111" s="368">
        <f>IF(AM111=0,0,(AN111-AM111)/AM111*100)</f>
        <v>0</v>
      </c>
      <c r="AP111" s="67"/>
      <c r="AQ111" s="67"/>
      <c r="AR111" s="368">
        <f>IF(AP111=0,0,(AQ111-AP111)/AP111*100)</f>
        <v>0</v>
      </c>
      <c r="AS111" s="67"/>
      <c r="AT111" s="67"/>
      <c r="AU111" s="368">
        <f>IF(AS111=0,0,(AT111-AS111)/AS111*100)</f>
        <v>0</v>
      </c>
      <c r="AV111" s="67"/>
      <c r="AW111" s="67"/>
      <c r="AX111" s="368">
        <f>IF(AV111=0,0,(AW111-AV111)/AV111*100)</f>
        <v>0</v>
      </c>
      <c r="AY111" s="67"/>
      <c r="AZ111" s="67"/>
      <c r="BA111" s="368">
        <f>IF(AY111=0,0,(AZ111-AY111)/AY111*100)</f>
        <v>0</v>
      </c>
      <c r="BB111" s="67"/>
      <c r="BC111" s="67"/>
      <c r="BD111" s="368">
        <f>IF(BB111=0,0,(BC111-BB111)/BB111*100)</f>
        <v>0</v>
      </c>
      <c r="BE111" s="67"/>
      <c r="BF111" s="67"/>
      <c r="BG111" s="368">
        <f>IF(BE111=0,0,(BF111-BE111)/BE111*100)</f>
        <v>0</v>
      </c>
      <c r="BH111" s="67"/>
      <c r="BI111" s="67"/>
      <c r="BJ111" s="368">
        <f>IF(BH111=0,0,(BI111-BH111)/BH111*100)</f>
        <v>0</v>
      </c>
      <c r="BK111" s="67"/>
      <c r="BL111" s="67"/>
      <c r="BM111" s="368">
        <f>IF(BK111=0,0,(BL111-BK111)/BK111*100)</f>
        <v>0</v>
      </c>
      <c r="BN111" s="67"/>
      <c r="BO111" s="67"/>
      <c r="BP111" s="368">
        <f>IF(BN111=0,0,(BO111-BN111)/BN111*100)</f>
        <v>0</v>
      </c>
      <c r="BQ111" s="67"/>
      <c r="BR111" s="67"/>
      <c r="BS111" s="368">
        <f>IF(BQ111=0,0,(BR111-BQ111)/BQ111*100)</f>
        <v>0</v>
      </c>
      <c r="BT111" s="67"/>
      <c r="BU111" s="67"/>
      <c r="BV111" s="368">
        <f>IF(BT111=0,0,(BU111-BT111)/BT111*100)</f>
        <v>0</v>
      </c>
      <c r="BW111" s="67"/>
      <c r="BX111" s="67"/>
      <c r="BY111" s="368">
        <f>IF(BW111=0,0,(BX111-BW111)/BW111*100)</f>
        <v>0</v>
      </c>
      <c r="BZ111" s="67"/>
      <c r="CA111" s="67"/>
      <c r="CB111" s="368">
        <f>IF(BZ111=0,0,(CA111-BZ111)/BZ111*100)</f>
        <v>0</v>
      </c>
      <c r="CC111" s="67"/>
      <c r="CD111" s="67"/>
      <c r="CE111" s="368">
        <f>IF(CC111=0,0,(CD111-CC111)/CC111*100)</f>
        <v>0</v>
      </c>
      <c r="CF111" s="67"/>
      <c r="CG111" s="67"/>
      <c r="CH111" s="368">
        <f>IF(CF111=0,0,(CG111-CF111)/CF111*100)</f>
        <v>0</v>
      </c>
      <c r="CI111" s="67"/>
      <c r="CJ111" s="67"/>
      <c r="CK111" s="368">
        <f>IF(CI111=0,0,(CJ111-CI111)/CI111*100)</f>
        <v>0</v>
      </c>
      <c r="CL111" s="67"/>
      <c r="CM111" s="67"/>
      <c r="CN111" s="368">
        <f>IF(CL111=0,0,(CM111-CL111)/CL111*100)</f>
        <v>0</v>
      </c>
      <c r="CO111" s="67"/>
      <c r="CP111" s="67"/>
      <c r="CQ111" s="368">
        <f>IF(CO111=0,0,(CP111-CO111)/CO111*100)</f>
        <v>0</v>
      </c>
      <c r="CR111" s="67"/>
      <c r="CS111" s="67"/>
      <c r="CT111" s="368">
        <f>IF(CR111=0,0,(CS111-CR111)/CR111*100)</f>
        <v>0</v>
      </c>
      <c r="CU111" s="67"/>
      <c r="CV111" s="67"/>
      <c r="CW111" s="368">
        <f>IF(CU111=0,0,(CV111-CU111)/CU111*100)</f>
        <v>0</v>
      </c>
      <c r="CX111" s="67"/>
      <c r="CY111" s="67"/>
      <c r="CZ111" s="368">
        <f>IF(CX111=0,0,(CY111-CX111)/CX111*100)</f>
        <v>0</v>
      </c>
      <c r="DA111" s="67"/>
      <c r="DB111" s="67"/>
      <c r="DC111" s="368">
        <f>IF(DA111=0,0,(DB111-DA111)/DA111*100)</f>
        <v>0</v>
      </c>
      <c r="DD111" s="67"/>
      <c r="DE111" s="67"/>
      <c r="DF111" s="368">
        <f>IF(DD111=0,0,(DE111-DD111)/DD111*100)</f>
        <v>0</v>
      </c>
      <c r="DG111" s="67"/>
      <c r="DH111" s="67"/>
      <c r="DI111" s="368">
        <f>IF(DG111=0,0,(DH111-DG111)/DG111*100)</f>
        <v>0</v>
      </c>
      <c r="DJ111" s="67"/>
      <c r="DK111" s="67"/>
      <c r="DL111" s="368">
        <f>IF(DJ111=0,0,(DK111-DJ111)/DJ111*100)</f>
        <v>0</v>
      </c>
      <c r="DM111" s="67"/>
      <c r="DN111" s="67"/>
      <c r="DO111" s="368">
        <f>IF(DM111=0,0,(DN111-DM111)/DM111*100)</f>
        <v>0</v>
      </c>
      <c r="DP111" s="67"/>
      <c r="DQ111" s="67"/>
      <c r="DR111" s="368">
        <f>IF(DP111=0,0,(DQ111-DP111)/DP111*100)</f>
        <v>0</v>
      </c>
      <c r="DS111" s="67"/>
      <c r="DT111" s="67"/>
      <c r="DU111" s="368">
        <f>IF(DS111=0,0,(DT111-DS111)/DS111*100)</f>
        <v>0</v>
      </c>
      <c r="DV111" s="67"/>
      <c r="DW111" s="67"/>
      <c r="DX111" s="368">
        <f>IF(DV111=0,0,(DW111-DV111)/DV111*100)</f>
        <v>0</v>
      </c>
      <c r="DY111" s="67"/>
      <c r="DZ111" s="67"/>
      <c r="EA111" s="368">
        <f>IF(DY111=0,0,(DZ111-DY111)/DY111*100)</f>
        <v>0</v>
      </c>
      <c r="EB111" s="67"/>
      <c r="EC111" s="67"/>
      <c r="ED111" s="368">
        <f>IF(EB111=0,0,(EC111-EB111)/EB111*100)</f>
        <v>0</v>
      </c>
      <c r="EE111" s="67"/>
      <c r="EF111" s="67"/>
      <c r="EG111" s="368">
        <f>IF(EE111=0,0,(EF111-EE111)/EE111*100)</f>
        <v>0</v>
      </c>
      <c r="EH111" s="67"/>
      <c r="EI111" s="67"/>
      <c r="EJ111" s="368">
        <f>IF(EH111=0,0,(EI111-EH111)/EH111*100)</f>
        <v>0</v>
      </c>
      <c r="EK111" s="67"/>
      <c r="EL111" s="67"/>
      <c r="EM111" s="368">
        <f>IF(EK111=0,0,(EL111-EK111)/EK111*100)</f>
        <v>0</v>
      </c>
      <c r="EN111" s="67"/>
      <c r="EO111" s="67"/>
      <c r="EP111" s="368">
        <f>IF(EN111=0,0,(EO111-EN111)/EN111*100)</f>
        <v>0</v>
      </c>
      <c r="EQ111" s="67"/>
      <c r="ER111" s="67"/>
      <c r="ES111" s="368">
        <f>IF(EQ111=0,0,(ER111-EQ111)/EQ111*100)</f>
        <v>0</v>
      </c>
      <c r="ET111" s="67"/>
      <c r="EU111" s="67"/>
      <c r="EV111" s="368">
        <f>IF(ET111=0,0,(EU111-ET111)/ET111*100)</f>
        <v>0</v>
      </c>
      <c r="EW111" s="67"/>
      <c r="EX111" s="67"/>
      <c r="EY111" s="368">
        <f>IF(EW111=0,0,(EX111-EW111)/EW111*100)</f>
        <v>0</v>
      </c>
      <c r="EZ111" s="67"/>
      <c r="FA111" s="67"/>
      <c r="FB111" s="368">
        <f>IF(EZ111=0,0,(FA111-EZ111)/EZ111*100)</f>
        <v>0</v>
      </c>
      <c r="FC111" s="67"/>
      <c r="FD111" s="67"/>
      <c r="FE111" s="368">
        <f>IF(FC111=0,0,(FD111-FC111)/FC111*100)</f>
        <v>0</v>
      </c>
      <c r="FF111" s="67"/>
      <c r="FG111" s="67"/>
      <c r="FH111" s="368">
        <f>IF(FF111=0,0,(FG111-FF111)/FF111*100)</f>
        <v>0</v>
      </c>
      <c r="FI111" s="67"/>
      <c r="FJ111" s="67"/>
      <c r="FK111" s="368">
        <f>IF(FI111=0,0,(FJ111-FI111)/FI111*100)</f>
        <v>0</v>
      </c>
      <c r="FL111" s="67"/>
      <c r="FM111" s="67"/>
      <c r="FN111" s="368">
        <f>IF(FL111=0,0,(FM111-FL111)/FL111*100)</f>
        <v>0</v>
      </c>
      <c r="FO111" s="67"/>
      <c r="FP111" s="67"/>
      <c r="FQ111" s="368">
        <f>IF(FO111=0,0,(FP111-FO111)/FO111*100)</f>
        <v>0</v>
      </c>
      <c r="FR111" s="67"/>
      <c r="FS111" s="67"/>
      <c r="FT111" s="368">
        <f>IF(FR111=0,0,(FS111-FR111)/FR111*100)</f>
        <v>0</v>
      </c>
      <c r="FU111" s="67"/>
      <c r="FV111" s="67"/>
      <c r="FW111" s="368">
        <f>IF(FU111=0,0,(FV111-FU111)/FU111*100)</f>
        <v>0</v>
      </c>
      <c r="FX111" s="500"/>
      <c r="FY111" s="500"/>
      <c r="FZ111" s="1184" t="s">
        <v>2172</v>
      </c>
      <c r="GA111" s="1184"/>
      <c r="GB111" s="1184"/>
      <c r="GC111" s="1184"/>
      <c r="GD111" s="1184"/>
    </row>
    <row s="1632" customFormat="1" customHeight="1" ht="15" hidden="1">
      <c r="A112" s="1582"/>
      <c r="B112" s="964" cm="1" t="str">
        <f t="array" ref="B112:B112">B111</f>
        <v>false</v>
      </c>
      <c r="C112" s="1325" t="s">
        <v>1749</v>
      </c>
      <c r="D112" s="1294" t="s">
        <v>1750</v>
      </c>
      <c r="E112" s="797">
        <v>15.8</v>
      </c>
      <c r="F112" s="922" cm="1" t="str">
        <f t="array" ref="F112:F112">OFFSET(G112,-1,-1)</f>
        <v>1</v>
      </c>
      <c r="G112" s="500"/>
      <c r="H112" s="213" t="s">
        <v>2155</v>
      </c>
      <c r="I112" s="213" t="s">
        <v>2112</v>
      </c>
      <c r="J112" s="1315"/>
      <c r="K112" s="1315" cm="1" t="str">
        <f t="array" ref="K112:K112">OFFSET(J112,-1,1)</f>
        <v>ТЭ.42.28873685.0002</v>
      </c>
      <c r="L112" s="1315"/>
      <c r="M112" s="1315" t="s">
        <v>1726</v>
      </c>
      <c r="N112" s="1315" t="s">
        <v>2113</v>
      </c>
      <c r="O112" s="1316" t="s">
        <v>2114</v>
      </c>
      <c r="P112" s="1315" t="s">
        <v>2156</v>
      </c>
      <c r="Q112" s="1315"/>
      <c r="R112" s="928"/>
      <c r="S112" s="500"/>
      <c r="T112" s="808" cm="1" t="str">
        <f t="array" ref="T112:T112">T111</f>
        <v>false</v>
      </c>
      <c r="U112" s="1582"/>
      <c r="V112" s="1582"/>
      <c r="W112" s="1582"/>
      <c r="X112" s="1582"/>
      <c r="Y112" s="1582"/>
      <c r="Z112" s="1582"/>
      <c r="AA112" s="500"/>
      <c r="AB112" s="276" t="s">
        <v>2157</v>
      </c>
      <c r="AC112" s="667" t="s">
        <v>695</v>
      </c>
      <c r="AD112" s="67"/>
      <c r="AE112" s="67"/>
      <c r="AF112" s="368">
        <f>IF(AD112=0,0,(AE112-AD112)/AD112*100)</f>
        <v>0</v>
      </c>
      <c r="AG112" s="67"/>
      <c r="AH112" s="67"/>
      <c r="AI112" s="368">
        <f>IF(AG112=0,0,(AH112-AG112)/AG112*100)</f>
        <v>0</v>
      </c>
      <c r="AJ112" s="67"/>
      <c r="AK112" s="67"/>
      <c r="AL112" s="368">
        <f>IF(AJ112=0,0,(AK112-AJ112)/AJ112*100)</f>
        <v>0</v>
      </c>
      <c r="AM112" s="67"/>
      <c r="AN112" s="67"/>
      <c r="AO112" s="368">
        <f>IF(AM112=0,0,(AN112-AM112)/AM112*100)</f>
        <v>0</v>
      </c>
      <c r="AP112" s="67"/>
      <c r="AQ112" s="67"/>
      <c r="AR112" s="368">
        <f>IF(AP112=0,0,(AQ112-AP112)/AP112*100)</f>
        <v>0</v>
      </c>
      <c r="AS112" s="67"/>
      <c r="AT112" s="67"/>
      <c r="AU112" s="368">
        <f>IF(AS112=0,0,(AT112-AS112)/AS112*100)</f>
        <v>0</v>
      </c>
      <c r="AV112" s="67"/>
      <c r="AW112" s="67"/>
      <c r="AX112" s="368">
        <f>IF(AV112=0,0,(AW112-AV112)/AV112*100)</f>
        <v>0</v>
      </c>
      <c r="AY112" s="67"/>
      <c r="AZ112" s="67"/>
      <c r="BA112" s="368">
        <f>IF(AY112=0,0,(AZ112-AY112)/AY112*100)</f>
        <v>0</v>
      </c>
      <c r="BB112" s="67"/>
      <c r="BC112" s="67"/>
      <c r="BD112" s="368">
        <f>IF(BB112=0,0,(BC112-BB112)/BB112*100)</f>
        <v>0</v>
      </c>
      <c r="BE112" s="67"/>
      <c r="BF112" s="67"/>
      <c r="BG112" s="368">
        <f>IF(BE112=0,0,(BF112-BE112)/BE112*100)</f>
        <v>0</v>
      </c>
      <c r="BH112" s="67"/>
      <c r="BI112" s="67"/>
      <c r="BJ112" s="368">
        <f>IF(BH112=0,0,(BI112-BH112)/BH112*100)</f>
        <v>0</v>
      </c>
      <c r="BK112" s="67"/>
      <c r="BL112" s="67"/>
      <c r="BM112" s="368">
        <f>IF(BK112=0,0,(BL112-BK112)/BK112*100)</f>
        <v>0</v>
      </c>
      <c r="BN112" s="67"/>
      <c r="BO112" s="67"/>
      <c r="BP112" s="368">
        <f>IF(BN112=0,0,(BO112-BN112)/BN112*100)</f>
        <v>0</v>
      </c>
      <c r="BQ112" s="67"/>
      <c r="BR112" s="67"/>
      <c r="BS112" s="368">
        <f>IF(BQ112=0,0,(BR112-BQ112)/BQ112*100)</f>
        <v>0</v>
      </c>
      <c r="BT112" s="67"/>
      <c r="BU112" s="67"/>
      <c r="BV112" s="368">
        <f>IF(BT112=0,0,(BU112-BT112)/BT112*100)</f>
        <v>0</v>
      </c>
      <c r="BW112" s="67"/>
      <c r="BX112" s="67"/>
      <c r="BY112" s="368">
        <f>IF(BW112=0,0,(BX112-BW112)/BW112*100)</f>
        <v>0</v>
      </c>
      <c r="BZ112" s="67"/>
      <c r="CA112" s="67"/>
      <c r="CB112" s="368">
        <f>IF(BZ112=0,0,(CA112-BZ112)/BZ112*100)</f>
        <v>0</v>
      </c>
      <c r="CC112" s="67"/>
      <c r="CD112" s="67"/>
      <c r="CE112" s="368">
        <f>IF(CC112=0,0,(CD112-CC112)/CC112*100)</f>
        <v>0</v>
      </c>
      <c r="CF112" s="67"/>
      <c r="CG112" s="67"/>
      <c r="CH112" s="368">
        <f>IF(CF112=0,0,(CG112-CF112)/CF112*100)</f>
        <v>0</v>
      </c>
      <c r="CI112" s="67"/>
      <c r="CJ112" s="67"/>
      <c r="CK112" s="368">
        <f>IF(CI112=0,0,(CJ112-CI112)/CI112*100)</f>
        <v>0</v>
      </c>
      <c r="CL112" s="67"/>
      <c r="CM112" s="67"/>
      <c r="CN112" s="368">
        <f>IF(CL112=0,0,(CM112-CL112)/CL112*100)</f>
        <v>0</v>
      </c>
      <c r="CO112" s="67"/>
      <c r="CP112" s="67"/>
      <c r="CQ112" s="368">
        <f>IF(CO112=0,0,(CP112-CO112)/CO112*100)</f>
        <v>0</v>
      </c>
      <c r="CR112" s="67"/>
      <c r="CS112" s="67"/>
      <c r="CT112" s="368">
        <f>IF(CR112=0,0,(CS112-CR112)/CR112*100)</f>
        <v>0</v>
      </c>
      <c r="CU112" s="67"/>
      <c r="CV112" s="67"/>
      <c r="CW112" s="368">
        <f>IF(CU112=0,0,(CV112-CU112)/CU112*100)</f>
        <v>0</v>
      </c>
      <c r="CX112" s="67"/>
      <c r="CY112" s="67"/>
      <c r="CZ112" s="368">
        <f>IF(CX112=0,0,(CY112-CX112)/CX112*100)</f>
        <v>0</v>
      </c>
      <c r="DA112" s="67"/>
      <c r="DB112" s="67"/>
      <c r="DC112" s="368">
        <f>IF(DA112=0,0,(DB112-DA112)/DA112*100)</f>
        <v>0</v>
      </c>
      <c r="DD112" s="67"/>
      <c r="DE112" s="67"/>
      <c r="DF112" s="368">
        <f>IF(DD112=0,0,(DE112-DD112)/DD112*100)</f>
        <v>0</v>
      </c>
      <c r="DG112" s="67"/>
      <c r="DH112" s="67"/>
      <c r="DI112" s="368">
        <f>IF(DG112=0,0,(DH112-DG112)/DG112*100)</f>
        <v>0</v>
      </c>
      <c r="DJ112" s="67"/>
      <c r="DK112" s="67"/>
      <c r="DL112" s="368">
        <f>IF(DJ112=0,0,(DK112-DJ112)/DJ112*100)</f>
        <v>0</v>
      </c>
      <c r="DM112" s="67"/>
      <c r="DN112" s="67"/>
      <c r="DO112" s="368">
        <f>IF(DM112=0,0,(DN112-DM112)/DM112*100)</f>
        <v>0</v>
      </c>
      <c r="DP112" s="67"/>
      <c r="DQ112" s="67"/>
      <c r="DR112" s="368">
        <f>IF(DP112=0,0,(DQ112-DP112)/DP112*100)</f>
        <v>0</v>
      </c>
      <c r="DS112" s="67"/>
      <c r="DT112" s="67"/>
      <c r="DU112" s="368">
        <f>IF(DS112=0,0,(DT112-DS112)/DS112*100)</f>
        <v>0</v>
      </c>
      <c r="DV112" s="67"/>
      <c r="DW112" s="67"/>
      <c r="DX112" s="368">
        <f>IF(DV112=0,0,(DW112-DV112)/DV112*100)</f>
        <v>0</v>
      </c>
      <c r="DY112" s="67"/>
      <c r="DZ112" s="67"/>
      <c r="EA112" s="368">
        <f>IF(DY112=0,0,(DZ112-DY112)/DY112*100)</f>
        <v>0</v>
      </c>
      <c r="EB112" s="67"/>
      <c r="EC112" s="67"/>
      <c r="ED112" s="368">
        <f>IF(EB112=0,0,(EC112-EB112)/EB112*100)</f>
        <v>0</v>
      </c>
      <c r="EE112" s="67"/>
      <c r="EF112" s="67"/>
      <c r="EG112" s="368">
        <f>IF(EE112=0,0,(EF112-EE112)/EE112*100)</f>
        <v>0</v>
      </c>
      <c r="EH112" s="67"/>
      <c r="EI112" s="67"/>
      <c r="EJ112" s="368">
        <f>IF(EH112=0,0,(EI112-EH112)/EH112*100)</f>
        <v>0</v>
      </c>
      <c r="EK112" s="67"/>
      <c r="EL112" s="67"/>
      <c r="EM112" s="368">
        <f>IF(EK112=0,0,(EL112-EK112)/EK112*100)</f>
        <v>0</v>
      </c>
      <c r="EN112" s="67"/>
      <c r="EO112" s="67"/>
      <c r="EP112" s="368">
        <f>IF(EN112=0,0,(EO112-EN112)/EN112*100)</f>
        <v>0</v>
      </c>
      <c r="EQ112" s="67"/>
      <c r="ER112" s="67"/>
      <c r="ES112" s="368">
        <f>IF(EQ112=0,0,(ER112-EQ112)/EQ112*100)</f>
        <v>0</v>
      </c>
      <c r="ET112" s="67"/>
      <c r="EU112" s="67"/>
      <c r="EV112" s="368">
        <f>IF(ET112=0,0,(EU112-ET112)/ET112*100)</f>
        <v>0</v>
      </c>
      <c r="EW112" s="67"/>
      <c r="EX112" s="67"/>
      <c r="EY112" s="368">
        <f>IF(EW112=0,0,(EX112-EW112)/EW112*100)</f>
        <v>0</v>
      </c>
      <c r="EZ112" s="67"/>
      <c r="FA112" s="67"/>
      <c r="FB112" s="368">
        <f>IF(EZ112=0,0,(FA112-EZ112)/EZ112*100)</f>
        <v>0</v>
      </c>
      <c r="FC112" s="67"/>
      <c r="FD112" s="67"/>
      <c r="FE112" s="368">
        <f>IF(FC112=0,0,(FD112-FC112)/FC112*100)</f>
        <v>0</v>
      </c>
      <c r="FF112" s="67"/>
      <c r="FG112" s="67"/>
      <c r="FH112" s="368">
        <f>IF(FF112=0,0,(FG112-FF112)/FF112*100)</f>
        <v>0</v>
      </c>
      <c r="FI112" s="67"/>
      <c r="FJ112" s="67"/>
      <c r="FK112" s="368">
        <f>IF(FI112=0,0,(FJ112-FI112)/FI112*100)</f>
        <v>0</v>
      </c>
      <c r="FL112" s="67"/>
      <c r="FM112" s="67"/>
      <c r="FN112" s="368">
        <f>IF(FL112=0,0,(FM112-FL112)/FL112*100)</f>
        <v>0</v>
      </c>
      <c r="FO112" s="67"/>
      <c r="FP112" s="67"/>
      <c r="FQ112" s="368">
        <f>IF(FO112=0,0,(FP112-FO112)/FO112*100)</f>
        <v>0</v>
      </c>
      <c r="FR112" s="67"/>
      <c r="FS112" s="67"/>
      <c r="FT112" s="368">
        <f>IF(FR112=0,0,(FS112-FR112)/FR112*100)</f>
        <v>0</v>
      </c>
      <c r="FU112" s="67"/>
      <c r="FV112" s="67"/>
      <c r="FW112" s="368">
        <f>IF(FU112=0,0,(FV112-FU112)/FU112*100)</f>
        <v>0</v>
      </c>
      <c r="FX112" s="500"/>
      <c r="FY112" s="500"/>
      <c r="FZ112" s="1184" t="s">
        <v>2173</v>
      </c>
      <c r="GA112" s="1184"/>
      <c r="GB112" s="1184"/>
      <c r="GC112" s="1184"/>
      <c r="GD112" s="1184"/>
    </row>
    <row s="1632" customFormat="1" customHeight="1" ht="15" hidden="1">
      <c r="A113" s="1582"/>
      <c r="B113" s="964" cm="1" t="str">
        <f t="array" ref="B113:B113">B112</f>
        <v>false</v>
      </c>
      <c r="C113" s="1325"/>
      <c r="D113" s="1294"/>
      <c r="E113" s="797">
        <v>15.8</v>
      </c>
      <c r="F113" s="922" cm="1" t="str">
        <f t="array" ref="F113:F113">OFFSET(G113,-1,-1)</f>
        <v>1</v>
      </c>
      <c r="G113" s="500"/>
      <c r="H113" s="500"/>
      <c r="I113" s="500"/>
      <c r="J113" s="1317"/>
      <c r="K113" s="1315" cm="1" t="str">
        <f t="array" ref="K113:K113">OFFSET(J113,-1,1)</f>
        <v>ТЭ.42.28873685.0002</v>
      </c>
      <c r="L113" s="1317"/>
      <c r="M113" s="1317"/>
      <c r="N113" s="1317"/>
      <c r="O113" s="1317"/>
      <c r="P113" s="1315"/>
      <c r="Q113" s="1315"/>
      <c r="R113" s="928"/>
      <c r="S113" s="500"/>
      <c r="T113" s="808" cm="1" t="str">
        <f t="array" ref="T113:T113">T112</f>
        <v>false</v>
      </c>
      <c r="U113" s="1582"/>
      <c r="V113" s="1582"/>
      <c r="W113" s="1582"/>
      <c r="X113" s="1582"/>
      <c r="Y113" s="1582"/>
      <c r="Z113" s="1582"/>
      <c r="AA113" s="500"/>
      <c r="AB113" s="1354" t="s">
        <v>2118</v>
      </c>
      <c r="AC113" s="370"/>
      <c r="AD113" s="371"/>
      <c r="AE113" s="371"/>
      <c r="AF113" s="371"/>
      <c r="AG113" s="371"/>
      <c r="AH113" s="371"/>
      <c r="AI113" s="371"/>
      <c r="AJ113" s="371"/>
      <c r="AK113" s="371"/>
      <c r="AL113" s="371"/>
      <c r="AM113" s="371"/>
      <c r="AN113" s="371"/>
      <c r="AO113" s="371"/>
      <c r="AP113" s="371"/>
      <c r="AQ113" s="371"/>
      <c r="AR113" s="371"/>
      <c r="AS113" s="371"/>
      <c r="AT113" s="371"/>
      <c r="AU113" s="371"/>
      <c r="AV113" s="371"/>
      <c r="AW113" s="371"/>
      <c r="AX113" s="371"/>
      <c r="AY113" s="371"/>
      <c r="AZ113" s="371"/>
      <c r="BA113" s="371"/>
      <c r="BB113" s="371"/>
      <c r="BC113" s="371"/>
      <c r="BD113" s="371"/>
      <c r="BE113" s="371"/>
      <c r="BF113" s="371"/>
      <c r="BG113" s="371"/>
      <c r="BH113" s="371"/>
      <c r="BI113" s="371"/>
      <c r="BJ113" s="371"/>
      <c r="BK113" s="371"/>
      <c r="BL113" s="371"/>
      <c r="BM113" s="371"/>
      <c r="BN113" s="371"/>
      <c r="BO113" s="371"/>
      <c r="BP113" s="371"/>
      <c r="BQ113" s="371"/>
      <c r="BR113" s="371"/>
      <c r="BS113" s="371"/>
      <c r="BT113" s="371"/>
      <c r="BU113" s="371"/>
      <c r="BV113" s="371"/>
      <c r="BW113" s="371"/>
      <c r="BX113" s="371"/>
      <c r="BY113" s="371"/>
      <c r="BZ113" s="371"/>
      <c r="CA113" s="371"/>
      <c r="CB113" s="371"/>
      <c r="CC113" s="371"/>
      <c r="CD113" s="371"/>
      <c r="CE113" s="371"/>
      <c r="CF113" s="371"/>
      <c r="CG113" s="371"/>
      <c r="CH113" s="371"/>
      <c r="CI113" s="371"/>
      <c r="CJ113" s="371"/>
      <c r="CK113" s="371"/>
      <c r="CL113" s="371"/>
      <c r="CM113" s="371"/>
      <c r="CN113" s="371"/>
      <c r="CO113" s="371"/>
      <c r="CP113" s="371"/>
      <c r="CQ113" s="371"/>
      <c r="CR113" s="371"/>
      <c r="CS113" s="371"/>
      <c r="CT113" s="371"/>
      <c r="CU113" s="371"/>
      <c r="CV113" s="371"/>
      <c r="CW113" s="371"/>
      <c r="CX113" s="371"/>
      <c r="CY113" s="371"/>
      <c r="CZ113" s="371"/>
      <c r="DA113" s="371"/>
      <c r="DB113" s="371"/>
      <c r="DC113" s="371"/>
      <c r="DD113" s="371"/>
      <c r="DE113" s="371"/>
      <c r="DF113" s="371"/>
      <c r="DG113" s="371"/>
      <c r="DH113" s="371"/>
      <c r="DI113" s="371"/>
      <c r="DJ113" s="371"/>
      <c r="DK113" s="371"/>
      <c r="DL113" s="371"/>
      <c r="DM113" s="371"/>
      <c r="DN113" s="371"/>
      <c r="DO113" s="371"/>
      <c r="DP113" s="371"/>
      <c r="DQ113" s="371"/>
      <c r="DR113" s="371"/>
      <c r="DS113" s="371"/>
      <c r="DT113" s="371"/>
      <c r="DU113" s="371"/>
      <c r="DV113" s="371"/>
      <c r="DW113" s="371"/>
      <c r="DX113" s="371"/>
      <c r="DY113" s="371"/>
      <c r="DZ113" s="371"/>
      <c r="EA113" s="371"/>
      <c r="EB113" s="371"/>
      <c r="EC113" s="371"/>
      <c r="ED113" s="371"/>
      <c r="EE113" s="371"/>
      <c r="EF113" s="371"/>
      <c r="EG113" s="371"/>
      <c r="EH113" s="371"/>
      <c r="EI113" s="371"/>
      <c r="EJ113" s="371"/>
      <c r="EK113" s="371"/>
      <c r="EL113" s="371"/>
      <c r="EM113" s="371"/>
      <c r="EN113" s="371"/>
      <c r="EO113" s="371"/>
      <c r="EP113" s="371"/>
      <c r="EQ113" s="371"/>
      <c r="ER113" s="371"/>
      <c r="ES113" s="371"/>
      <c r="ET113" s="371"/>
      <c r="EU113" s="371"/>
      <c r="EV113" s="371"/>
      <c r="EW113" s="371"/>
      <c r="EX113" s="371"/>
      <c r="EY113" s="371"/>
      <c r="EZ113" s="371"/>
      <c r="FA113" s="371"/>
      <c r="FB113" s="371"/>
      <c r="FC113" s="371"/>
      <c r="FD113" s="371"/>
      <c r="FE113" s="371"/>
      <c r="FF113" s="371"/>
      <c r="FG113" s="371"/>
      <c r="FH113" s="371"/>
      <c r="FI113" s="371"/>
      <c r="FJ113" s="371"/>
      <c r="FK113" s="371"/>
      <c r="FL113" s="371"/>
      <c r="FM113" s="371"/>
      <c r="FN113" s="371"/>
      <c r="FO113" s="371"/>
      <c r="FP113" s="371"/>
      <c r="FQ113" s="371"/>
      <c r="FR113" s="371"/>
      <c r="FS113" s="371"/>
      <c r="FT113" s="371"/>
      <c r="FU113" s="371"/>
      <c r="FV113" s="371"/>
      <c r="FW113" s="372"/>
      <c r="FX113" s="500"/>
      <c r="FY113" s="500"/>
      <c r="FZ113" s="1219"/>
      <c r="GA113" s="1184"/>
      <c r="GB113" s="1184"/>
      <c r="GC113" s="1184"/>
      <c r="GD113" s="1184"/>
    </row>
    <row s="1632" customFormat="1" customHeight="1" ht="15" hidden="1">
      <c r="A114" s="1582"/>
      <c r="B114" s="964" cm="1" t="str">
        <f t="array" ref="B114:B114">B113</f>
        <v>false</v>
      </c>
      <c r="C114" s="1325" t="s">
        <v>2165</v>
      </c>
      <c r="D114" s="1294" t="s">
        <v>2166</v>
      </c>
      <c r="E114" s="797">
        <v>15.8</v>
      </c>
      <c r="F114" s="922" cm="1" t="str">
        <f t="array" ref="F114:F114">OFFSET(G114,-1,-1)</f>
        <v>1</v>
      </c>
      <c r="G114" s="500"/>
      <c r="H114" s="213" t="s">
        <v>2137</v>
      </c>
      <c r="I114" s="213" t="s">
        <v>2117</v>
      </c>
      <c r="J114" s="1315"/>
      <c r="K114" s="1315" cm="1" t="str">
        <f t="array" ref="K114:K114">OFFSET(J114,-1,1)</f>
        <v>ТЭ.42.28873685.0002</v>
      </c>
      <c r="L114" s="1315"/>
      <c r="M114" s="1315" t="s">
        <v>1735</v>
      </c>
      <c r="N114" s="1315" t="s">
        <v>2113</v>
      </c>
      <c r="O114" s="1316" t="s">
        <v>2114</v>
      </c>
      <c r="P114" s="1315" t="s">
        <v>2138</v>
      </c>
      <c r="Q114" s="1315"/>
      <c r="R114" s="928"/>
      <c r="S114" s="500"/>
      <c r="T114" s="808" cm="1" t="str">
        <f t="array" ref="T114:T114">T113</f>
        <v>false</v>
      </c>
      <c r="U114" s="1582"/>
      <c r="V114" s="1582"/>
      <c r="W114" s="1582"/>
      <c r="X114" s="1582"/>
      <c r="Y114" s="1582"/>
      <c r="Z114" s="1582"/>
      <c r="AA114" s="500"/>
      <c r="AB114" s="276" t="s">
        <v>2139</v>
      </c>
      <c r="AC114" s="172" t="s">
        <v>900</v>
      </c>
      <c r="AD114" s="67">
        <f>IF(AD116=0,0,(AD115*AD116+AD117*AD118*IF(god=2026,3,6))/AD116)</f>
        <v>0</v>
      </c>
      <c r="AE114" s="67">
        <f>IF(AE116=0,0,(AE115*AE116+AE117*AE118*IF(god=2026,3,6))/AE116)</f>
        <v>0</v>
      </c>
      <c r="AF114" s="368">
        <f>IF(AD114=0,0,(AE114-AD114)/AD114*100)</f>
        <v>0</v>
      </c>
      <c r="AG114" s="67">
        <f>IF(AG116=0,0,(AG115*AG116+AG117*AG118*IF(god=2025,3,6))/AG116)</f>
        <v>0</v>
      </c>
      <c r="AH114" s="67">
        <f>IF(AH116=0,0,(AH115*AH116+AH117*AH118*IF(god=2025,3,6))/AH116)</f>
        <v>0</v>
      </c>
      <c r="AI114" s="368">
        <f>IF(AG114=0,0,(AH114-AG114)/AG114*100)</f>
        <v>0</v>
      </c>
      <c r="AJ114" s="67">
        <f>IF(AJ116=0,0,(AJ115*AJ116+AJ117*AJ118*6)/AJ116)</f>
        <v>0</v>
      </c>
      <c r="AK114" s="67">
        <f>IF(AK116=0,0,(AK115*AK116+AK117*AK118*6)/AK116)</f>
        <v>0</v>
      </c>
      <c r="AL114" s="368">
        <f>IF(AJ114=0,0,(AK114-AJ114)/AJ114*100)</f>
        <v>0</v>
      </c>
      <c r="AM114" s="67">
        <f>IF(AM116=0,0,(AM115*AM116+AM117*AM118*6)/AM116)</f>
        <v>0</v>
      </c>
      <c r="AN114" s="67">
        <f>IF(AN116=0,0,(AN115*AN116+AN117*AN118*6)/AN116)</f>
        <v>0</v>
      </c>
      <c r="AO114" s="368">
        <f>IF(AM114=0,0,(AN114-AM114)/AM114*100)</f>
        <v>0</v>
      </c>
      <c r="AP114" s="67">
        <f>IF(AP116=0,0,(AP115*AP116+AP117*AP118*6)/AP116)</f>
        <v>0</v>
      </c>
      <c r="AQ114" s="67">
        <f>IF(AQ116=0,0,(AQ115*AQ116+AQ117*AQ118*6)/AQ116)</f>
        <v>0</v>
      </c>
      <c r="AR114" s="368">
        <f>IF(AP114=0,0,(AQ114-AP114)/AP114*100)</f>
        <v>0</v>
      </c>
      <c r="AS114" s="67">
        <f>IF(AS116=0,0,(AS115*AS116+AS117*AS118*6)/AS116)</f>
        <v>0</v>
      </c>
      <c r="AT114" s="67">
        <f>IF(AT116=0,0,(AT115*AT116+AT117*AT118*6)/AT116)</f>
        <v>0</v>
      </c>
      <c r="AU114" s="368">
        <f>IF(AS114=0,0,(AT114-AS114)/AS114*100)</f>
        <v>0</v>
      </c>
      <c r="AV114" s="67">
        <f>IF(AV116=0,0,(AV115*AV116+AV117*AV118*6)/AV116)</f>
        <v>0</v>
      </c>
      <c r="AW114" s="67">
        <f>IF(AW116=0,0,(AW115*AW116+AW117*AW118*6)/AW116)</f>
        <v>0</v>
      </c>
      <c r="AX114" s="368">
        <f>IF(AV114=0,0,(AW114-AV114)/AV114*100)</f>
        <v>0</v>
      </c>
      <c r="AY114" s="67">
        <f>IF(AY116=0,0,(AY115*AY116+AY117*AY118*6)/AY116)</f>
        <v>0</v>
      </c>
      <c r="AZ114" s="67">
        <f>IF(AZ116=0,0,(AZ115*AZ116+AZ117*AZ118*6)/AZ116)</f>
        <v>0</v>
      </c>
      <c r="BA114" s="368">
        <f>IF(AY114=0,0,(AZ114-AY114)/AY114*100)</f>
        <v>0</v>
      </c>
      <c r="BB114" s="67">
        <f>IF(BB116=0,0,(BB115*BB116+BB117*BB118*6)/BB116)</f>
        <v>0</v>
      </c>
      <c r="BC114" s="67">
        <f>IF(BC116=0,0,(BC115*BC116+BC117*BC118*6)/BC116)</f>
        <v>0</v>
      </c>
      <c r="BD114" s="368">
        <f>IF(BB114=0,0,(BC114-BB114)/BB114*100)</f>
        <v>0</v>
      </c>
      <c r="BE114" s="67">
        <f>IF(BE116=0,0,(BE115*BE116+BE117*BE118*6)/BE116)</f>
        <v>0</v>
      </c>
      <c r="BF114" s="67">
        <f>IF(BF116=0,0,(BF115*BF116+BF117*BF118*6)/BF116)</f>
        <v>0</v>
      </c>
      <c r="BG114" s="368">
        <f>IF(BE114=0,0,(BF114-BE114)/BE114*100)</f>
        <v>0</v>
      </c>
      <c r="BH114" s="67">
        <f>IF(BH116=0,0,(BH115*BH116+BH117*BH118*6)/BH116)</f>
        <v>0</v>
      </c>
      <c r="BI114" s="67">
        <f>IF(BI116=0,0,(BI115*BI116+BI117*BI118*6)/BI116)</f>
        <v>0</v>
      </c>
      <c r="BJ114" s="368">
        <f>IF(BH114=0,0,(BI114-BH114)/BH114*100)</f>
        <v>0</v>
      </c>
      <c r="BK114" s="67">
        <f>IF(BK116=0,0,(BK115*BK116+BK117*BK118*6)/BK116)</f>
        <v>0</v>
      </c>
      <c r="BL114" s="67">
        <f>IF(BL116=0,0,(BL115*BL116+BL117*BL118*6)/BL116)</f>
        <v>0</v>
      </c>
      <c r="BM114" s="368">
        <f>IF(BK114=0,0,(BL114-BK114)/BK114*100)</f>
        <v>0</v>
      </c>
      <c r="BN114" s="67">
        <f>IF(BN116=0,0,(BN115*BN116+BN117*BN118*6)/BN116)</f>
        <v>0</v>
      </c>
      <c r="BO114" s="67">
        <f>IF(BO116=0,0,(BO115*BO116+BO117*BO118*6)/BO116)</f>
        <v>0</v>
      </c>
      <c r="BP114" s="368">
        <f>IF(BN114=0,0,(BO114-BN114)/BN114*100)</f>
        <v>0</v>
      </c>
      <c r="BQ114" s="67">
        <f>IF(BQ116=0,0,(BQ115*BQ116+BQ117*BQ118*6)/BQ116)</f>
        <v>0</v>
      </c>
      <c r="BR114" s="67">
        <f>IF(BR116=0,0,(BR115*BR116+BR117*BR118*6)/BR116)</f>
        <v>0</v>
      </c>
      <c r="BS114" s="368">
        <f>IF(BQ114=0,0,(BR114-BQ114)/BQ114*100)</f>
        <v>0</v>
      </c>
      <c r="BT114" s="67">
        <f>IF(BT116=0,0,(BT115*BT116+BT117*BT118*6)/BT116)</f>
        <v>0</v>
      </c>
      <c r="BU114" s="67">
        <f>IF(BU116=0,0,(BU115*BU116+BU117*BU118*6)/BU116)</f>
        <v>0</v>
      </c>
      <c r="BV114" s="368">
        <f>IF(BT114=0,0,(BU114-BT114)/BT114*100)</f>
        <v>0</v>
      </c>
      <c r="BW114" s="67">
        <f>IF(BW116=0,0,(BW115*BW116+BW117*BW118*6)/BW116)</f>
        <v>0</v>
      </c>
      <c r="BX114" s="67">
        <f>IF(BX116=0,0,(BX115*BX116+BX117*BX118*6)/BX116)</f>
        <v>0</v>
      </c>
      <c r="BY114" s="368">
        <f>IF(BW114=0,0,(BX114-BW114)/BW114*100)</f>
        <v>0</v>
      </c>
      <c r="BZ114" s="67">
        <f>IF(BZ116=0,0,(BZ115*BZ116+BZ117*BZ118*6)/BZ116)</f>
        <v>0</v>
      </c>
      <c r="CA114" s="67">
        <f>IF(CA116=0,0,(CA115*CA116+CA117*CA118*6)/CA116)</f>
        <v>0</v>
      </c>
      <c r="CB114" s="368">
        <f>IF(BZ114=0,0,(CA114-BZ114)/BZ114*100)</f>
        <v>0</v>
      </c>
      <c r="CC114" s="67">
        <f>IF(CC116=0,0,(CC115*CC116+CC117*CC118*6)/CC116)</f>
        <v>0</v>
      </c>
      <c r="CD114" s="67">
        <f>IF(CD116=0,0,(CD115*CD116+CD117*CD118*6)/CD116)</f>
        <v>0</v>
      </c>
      <c r="CE114" s="368">
        <f>IF(CC114=0,0,(CD114-CC114)/CC114*100)</f>
        <v>0</v>
      </c>
      <c r="CF114" s="67">
        <f>IF(CF116=0,0,(CF115*CF116+CF117*CF118*6)/CF116)</f>
        <v>0</v>
      </c>
      <c r="CG114" s="67">
        <f>IF(CG116=0,0,(CG115*CG116+CG117*CG118*6)/CG116)</f>
        <v>0</v>
      </c>
      <c r="CH114" s="368">
        <f>IF(CF114=0,0,(CG114-CF114)/CF114*100)</f>
        <v>0</v>
      </c>
      <c r="CI114" s="67">
        <f>IF(CI116=0,0,(CI115*CI116+CI117*CI118*6)/CI116)</f>
        <v>0</v>
      </c>
      <c r="CJ114" s="67">
        <f>IF(CJ116=0,0,(CJ115*CJ116+CJ117*CJ118*6)/CJ116)</f>
        <v>0</v>
      </c>
      <c r="CK114" s="368">
        <f>IF(CI114=0,0,(CJ114-CI114)/CI114*100)</f>
        <v>0</v>
      </c>
      <c r="CL114" s="67">
        <f>IF(CL116=0,0,(CL115*CL116+CL117*CL118*6)/CL116)</f>
        <v>0</v>
      </c>
      <c r="CM114" s="67">
        <f>IF(CM116=0,0,(CM115*CM116+CM117*CM118*6)/CM116)</f>
        <v>0</v>
      </c>
      <c r="CN114" s="368">
        <f>IF(CL114=0,0,(CM114-CL114)/CL114*100)</f>
        <v>0</v>
      </c>
      <c r="CO114" s="67">
        <f>IF(CO116=0,0,(CO115*CO116+CO117*CO118*6)/CO116)</f>
        <v>0</v>
      </c>
      <c r="CP114" s="67">
        <f>IF(CP116=0,0,(CP115*CP116+CP117*CP118*6)/CP116)</f>
        <v>0</v>
      </c>
      <c r="CQ114" s="368">
        <f>IF(CO114=0,0,(CP114-CO114)/CO114*100)</f>
        <v>0</v>
      </c>
      <c r="CR114" s="67">
        <f>IF(CR116=0,0,(CR115*CR116+CR117*CR118*6)/CR116)</f>
        <v>0</v>
      </c>
      <c r="CS114" s="67">
        <f>IF(CS116=0,0,(CS115*CS116+CS117*CS118*6)/CS116)</f>
        <v>0</v>
      </c>
      <c r="CT114" s="368">
        <f>IF(CR114=0,0,(CS114-CR114)/CR114*100)</f>
        <v>0</v>
      </c>
      <c r="CU114" s="67">
        <f>IF(CU116=0,0,(CU115*CU116+CU117*CU118*6)/CU116)</f>
        <v>0</v>
      </c>
      <c r="CV114" s="67">
        <f>IF(CV116=0,0,(CV115*CV116+CV117*CV118*6)/CV116)</f>
        <v>0</v>
      </c>
      <c r="CW114" s="368">
        <f>IF(CU114=0,0,(CV114-CU114)/CU114*100)</f>
        <v>0</v>
      </c>
      <c r="CX114" s="67">
        <f>IF(CX116=0,0,(CX115*CX116+CX117*CX118*6)/CX116)</f>
        <v>0</v>
      </c>
      <c r="CY114" s="67">
        <f>IF(CY116=0,0,(CY115*CY116+CY117*CY118*6)/CY116)</f>
        <v>0</v>
      </c>
      <c r="CZ114" s="368">
        <f>IF(CX114=0,0,(CY114-CX114)/CX114*100)</f>
        <v>0</v>
      </c>
      <c r="DA114" s="67">
        <f>IF(DA116=0,0,(DA115*DA116+DA117*DA118*6)/DA116)</f>
        <v>0</v>
      </c>
      <c r="DB114" s="67">
        <f>IF(DB116=0,0,(DB115*DB116+DB117*DB118*6)/DB116)</f>
        <v>0</v>
      </c>
      <c r="DC114" s="368">
        <f>IF(DA114=0,0,(DB114-DA114)/DA114*100)</f>
        <v>0</v>
      </c>
      <c r="DD114" s="67">
        <f>IF(DD116=0,0,(DD115*DD116+DD117*DD118*6)/DD116)</f>
        <v>0</v>
      </c>
      <c r="DE114" s="67">
        <f>IF(DE116=0,0,(DE115*DE116+DE117*DE118*6)/DE116)</f>
        <v>0</v>
      </c>
      <c r="DF114" s="368">
        <f>IF(DD114=0,0,(DE114-DD114)/DD114*100)</f>
        <v>0</v>
      </c>
      <c r="DG114" s="67">
        <f>IF(DG116=0,0,(DG115*DG116+DG117*DG118*6)/DG116)</f>
        <v>0</v>
      </c>
      <c r="DH114" s="67">
        <f>IF(DH116=0,0,(DH115*DH116+DH117*DH118*6)/DH116)</f>
        <v>0</v>
      </c>
      <c r="DI114" s="368">
        <f>IF(DG114=0,0,(DH114-DG114)/DG114*100)</f>
        <v>0</v>
      </c>
      <c r="DJ114" s="67">
        <f>IF(DJ116=0,0,(DJ115*DJ116+DJ117*DJ118*6)/DJ116)</f>
        <v>0</v>
      </c>
      <c r="DK114" s="67">
        <f>IF(DK116=0,0,(DK115*DK116+DK117*DK118*6)/DK116)</f>
        <v>0</v>
      </c>
      <c r="DL114" s="368">
        <f>IF(DJ114=0,0,(DK114-DJ114)/DJ114*100)</f>
        <v>0</v>
      </c>
      <c r="DM114" s="67">
        <f>IF(DM116=0,0,(DM115*DM116+DM117*DM118*6)/DM116)</f>
        <v>0</v>
      </c>
      <c r="DN114" s="67">
        <f>IF(DN116=0,0,(DN115*DN116+DN117*DN118*6)/DN116)</f>
        <v>0</v>
      </c>
      <c r="DO114" s="368">
        <f>IF(DM114=0,0,(DN114-DM114)/DM114*100)</f>
        <v>0</v>
      </c>
      <c r="DP114" s="67">
        <f>IF(DP116=0,0,(DP115*DP116+DP117*DP118*6)/DP116)</f>
        <v>0</v>
      </c>
      <c r="DQ114" s="67">
        <f>IF(DQ116=0,0,(DQ115*DQ116+DQ117*DQ118*6)/DQ116)</f>
        <v>0</v>
      </c>
      <c r="DR114" s="368">
        <f>IF(DP114=0,0,(DQ114-DP114)/DP114*100)</f>
        <v>0</v>
      </c>
      <c r="DS114" s="67">
        <f>IF(DS116=0,0,(DS115*DS116+DS117*DS118*6)/DS116)</f>
        <v>0</v>
      </c>
      <c r="DT114" s="67">
        <f>IF(DT116=0,0,(DT115*DT116+DT117*DT118*6)/DT116)</f>
        <v>0</v>
      </c>
      <c r="DU114" s="368">
        <f>IF(DS114=0,0,(DT114-DS114)/DS114*100)</f>
        <v>0</v>
      </c>
      <c r="DV114" s="67">
        <f>IF(DV116=0,0,(DV115*DV116+DV117*DV118*6)/DV116)</f>
        <v>0</v>
      </c>
      <c r="DW114" s="67">
        <f>IF(DW116=0,0,(DW115*DW116+DW117*DW118*6)/DW116)</f>
        <v>0</v>
      </c>
      <c r="DX114" s="368">
        <f>IF(DV114=0,0,(DW114-DV114)/DV114*100)</f>
        <v>0</v>
      </c>
      <c r="DY114" s="67">
        <f>IF(DY116=0,0,(DY115*DY116+DY117*DY118*6)/DY116)</f>
        <v>0</v>
      </c>
      <c r="DZ114" s="67">
        <f>IF(DZ116=0,0,(DZ115*DZ116+DZ117*DZ118*6)/DZ116)</f>
        <v>0</v>
      </c>
      <c r="EA114" s="368">
        <f>IF(DY114=0,0,(DZ114-DY114)/DY114*100)</f>
        <v>0</v>
      </c>
      <c r="EB114" s="67">
        <f>IF(EB116=0,0,(EB115*EB116+EB117*EB118*6)/EB116)</f>
        <v>0</v>
      </c>
      <c r="EC114" s="67">
        <f>IF(EC116=0,0,(EC115*EC116+EC117*EC118*6)/EC116)</f>
        <v>0</v>
      </c>
      <c r="ED114" s="368">
        <f>IF(EB114=0,0,(EC114-EB114)/EB114*100)</f>
        <v>0</v>
      </c>
      <c r="EE114" s="67">
        <f>IF(EE116=0,0,(EE115*EE116+EE117*EE118*6)/EE116)</f>
        <v>0</v>
      </c>
      <c r="EF114" s="67">
        <f>IF(EF116=0,0,(EF115*EF116+EF117*EF118*6)/EF116)</f>
        <v>0</v>
      </c>
      <c r="EG114" s="368">
        <f>IF(EE114=0,0,(EF114-EE114)/EE114*100)</f>
        <v>0</v>
      </c>
      <c r="EH114" s="67">
        <f>IF(EH116=0,0,(EH115*EH116+EH117*EH118*6)/EH116)</f>
        <v>0</v>
      </c>
      <c r="EI114" s="67">
        <f>IF(EI116=0,0,(EI115*EI116+EI117*EI118*6)/EI116)</f>
        <v>0</v>
      </c>
      <c r="EJ114" s="368">
        <f>IF(EH114=0,0,(EI114-EH114)/EH114*100)</f>
        <v>0</v>
      </c>
      <c r="EK114" s="67">
        <f>IF(EK116=0,0,(EK115*EK116+EK117*EK118*6)/EK116)</f>
        <v>0</v>
      </c>
      <c r="EL114" s="67">
        <f>IF(EL116=0,0,(EL115*EL116+EL117*EL118*6)/EL116)</f>
        <v>0</v>
      </c>
      <c r="EM114" s="368">
        <f>IF(EK114=0,0,(EL114-EK114)/EK114*100)</f>
        <v>0</v>
      </c>
      <c r="EN114" s="67">
        <f>IF(EN116=0,0,(EN115*EN116+EN117*EN118*6)/EN116)</f>
        <v>0</v>
      </c>
      <c r="EO114" s="67">
        <f>IF(EO116=0,0,(EO115*EO116+EO117*EO118*6)/EO116)</f>
        <v>0</v>
      </c>
      <c r="EP114" s="368">
        <f>IF(EN114=0,0,(EO114-EN114)/EN114*100)</f>
        <v>0</v>
      </c>
      <c r="EQ114" s="67">
        <f>IF(EQ116=0,0,(EQ115*EQ116+EQ117*EQ118*6)/EQ116)</f>
        <v>0</v>
      </c>
      <c r="ER114" s="67">
        <f>IF(ER116=0,0,(ER115*ER116+ER117*ER118*6)/ER116)</f>
        <v>0</v>
      </c>
      <c r="ES114" s="368">
        <f>IF(EQ114=0,0,(ER114-EQ114)/EQ114*100)</f>
        <v>0</v>
      </c>
      <c r="ET114" s="67">
        <f>IF(ET116=0,0,(ET115*ET116+ET117*ET118*6)/ET116)</f>
        <v>0</v>
      </c>
      <c r="EU114" s="67">
        <f>IF(EU116=0,0,(EU115*EU116+EU117*EU118*6)/EU116)</f>
        <v>0</v>
      </c>
      <c r="EV114" s="368">
        <f>IF(ET114=0,0,(EU114-ET114)/ET114*100)</f>
        <v>0</v>
      </c>
      <c r="EW114" s="67">
        <f>IF(EW116=0,0,(EW115*EW116+EW117*EW118*6)/EW116)</f>
        <v>0</v>
      </c>
      <c r="EX114" s="67">
        <f>IF(EX116=0,0,(EX115*EX116+EX117*EX118*6)/EX116)</f>
        <v>0</v>
      </c>
      <c r="EY114" s="368">
        <f>IF(EW114=0,0,(EX114-EW114)/EW114*100)</f>
        <v>0</v>
      </c>
      <c r="EZ114" s="67">
        <f>IF(EZ116=0,0,(EZ115*EZ116+EZ117*EZ118*6)/EZ116)</f>
        <v>0</v>
      </c>
      <c r="FA114" s="67">
        <f>IF(FA116=0,0,(FA115*FA116+FA117*FA118*6)/FA116)</f>
        <v>0</v>
      </c>
      <c r="FB114" s="368">
        <f>IF(EZ114=0,0,(FA114-EZ114)/EZ114*100)</f>
        <v>0</v>
      </c>
      <c r="FC114" s="67">
        <f>IF(FC116=0,0,(FC115*FC116+FC117*FC118*6)/FC116)</f>
        <v>0</v>
      </c>
      <c r="FD114" s="67">
        <f>IF(FD116=0,0,(FD115*FD116+FD117*FD118*6)/FD116)</f>
        <v>0</v>
      </c>
      <c r="FE114" s="368">
        <f>IF(FC114=0,0,(FD114-FC114)/FC114*100)</f>
        <v>0</v>
      </c>
      <c r="FF114" s="67">
        <f>IF(FF116=0,0,(FF115*FF116+FF117*FF118*6)/FF116)</f>
        <v>0</v>
      </c>
      <c r="FG114" s="67">
        <f>IF(FG116=0,0,(FG115*FG116+FG117*FG118*6)/FG116)</f>
        <v>0</v>
      </c>
      <c r="FH114" s="368">
        <f>IF(FF114=0,0,(FG114-FF114)/FF114*100)</f>
        <v>0</v>
      </c>
      <c r="FI114" s="67">
        <f>IF(FI116=0,0,(FI115*FI116+FI117*FI118*6)/FI116)</f>
        <v>0</v>
      </c>
      <c r="FJ114" s="67">
        <f>IF(FJ116=0,0,(FJ115*FJ116+FJ117*FJ118*6)/FJ116)</f>
        <v>0</v>
      </c>
      <c r="FK114" s="368">
        <f>IF(FI114=0,0,(FJ114-FI114)/FI114*100)</f>
        <v>0</v>
      </c>
      <c r="FL114" s="67">
        <f>IF(FL116=0,0,(FL115*FL116+FL117*FL118*6)/FL116)</f>
        <v>0</v>
      </c>
      <c r="FM114" s="67">
        <f>IF(FM116=0,0,(FM115*FM116+FM117*FM118*6)/FM116)</f>
        <v>0</v>
      </c>
      <c r="FN114" s="368">
        <f>IF(FL114=0,0,(FM114-FL114)/FL114*100)</f>
        <v>0</v>
      </c>
      <c r="FO114" s="67">
        <f>IF(FO116=0,0,(FO115*FO116+FO117*FO118*6)/FO116)</f>
        <v>0</v>
      </c>
      <c r="FP114" s="67">
        <f>IF(FP116=0,0,(FP115*FP116+FP117*FP118*6)/FP116)</f>
        <v>0</v>
      </c>
      <c r="FQ114" s="368">
        <f>IF(FO114=0,0,(FP114-FO114)/FO114*100)</f>
        <v>0</v>
      </c>
      <c r="FR114" s="67">
        <f>IF(FR116=0,0,(FR115*FR116+FR117*FR118*6)/FR116)</f>
        <v>0</v>
      </c>
      <c r="FS114" s="67">
        <f>IF(FS116=0,0,(FS115*FS116+FS117*FS118*6)/FS116)</f>
        <v>0</v>
      </c>
      <c r="FT114" s="368">
        <f>IF(FR114=0,0,(FS114-FR114)/FR114*100)</f>
        <v>0</v>
      </c>
      <c r="FU114" s="67">
        <f>IF(FU116=0,0,(FU115*FU116+FU117*FU118*6)/FU116)</f>
        <v>0</v>
      </c>
      <c r="FV114" s="67">
        <f>IF(FV116=0,0,(FV115*FV116+FV117*FV118*6)/FV116)</f>
        <v>0</v>
      </c>
      <c r="FW114" s="368">
        <f>IF(FU114=0,0,(FV114-FU114)/FU114*100)</f>
        <v>0</v>
      </c>
      <c r="FX114" s="500"/>
      <c r="FY114" s="500"/>
      <c r="FZ114" s="1184" t="s">
        <v>2174</v>
      </c>
      <c r="GA114" s="1184"/>
      <c r="GB114" s="1184"/>
      <c r="GC114" s="1184"/>
      <c r="GD114" s="1184"/>
    </row>
    <row s="1632" customFormat="1" customHeight="1" ht="15" hidden="1">
      <c r="A115" s="1582"/>
      <c r="B115" s="964" cm="1" t="str">
        <f t="array" ref="B115:B115">B114</f>
        <v>false</v>
      </c>
      <c r="C115" s="1325" t="s">
        <v>2168</v>
      </c>
      <c r="D115" s="1294" t="s">
        <v>2169</v>
      </c>
      <c r="E115" s="797">
        <v>15.8</v>
      </c>
      <c r="F115" s="922" cm="1" t="str">
        <f t="array" ref="F115:F115">OFFSET(G115,-1,-1)</f>
        <v>1</v>
      </c>
      <c r="G115" s="500"/>
      <c r="H115" s="213" t="s">
        <v>2143</v>
      </c>
      <c r="I115" s="213" t="s">
        <v>2117</v>
      </c>
      <c r="J115" s="1315"/>
      <c r="K115" s="1315" cm="1" t="str">
        <f t="array" ref="K115:K115">OFFSET(J115,-1,1)</f>
        <v>ТЭ.42.28873685.0002</v>
      </c>
      <c r="L115" s="1315"/>
      <c r="M115" s="1315" t="s">
        <v>1735</v>
      </c>
      <c r="N115" s="1315" t="s">
        <v>2113</v>
      </c>
      <c r="O115" s="1316" t="s">
        <v>2114</v>
      </c>
      <c r="P115" s="1315" t="s">
        <v>2144</v>
      </c>
      <c r="Q115" s="1315"/>
      <c r="R115" s="928"/>
      <c r="S115" s="500"/>
      <c r="T115" s="808" cm="1" t="str">
        <f t="array" ref="T115:T115">T114</f>
        <v>false</v>
      </c>
      <c r="U115" s="1582"/>
      <c r="V115" s="1582"/>
      <c r="W115" s="1582"/>
      <c r="X115" s="1582"/>
      <c r="Y115" s="1582"/>
      <c r="Z115" s="1582"/>
      <c r="AA115" s="500"/>
      <c r="AB115" s="276" t="s">
        <v>2145</v>
      </c>
      <c r="AC115" s="172" t="s">
        <v>900</v>
      </c>
      <c r="AD115" s="67"/>
      <c r="AE115" s="67"/>
      <c r="AF115" s="368">
        <f>IF(AD115=0,0,(AE115-AD115)/AD115*100)</f>
        <v>0</v>
      </c>
      <c r="AG115" s="67"/>
      <c r="AH115" s="67"/>
      <c r="AI115" s="368">
        <f>IF(AG115=0,0,(AH115-AG115)/AG115*100)</f>
        <v>0</v>
      </c>
      <c r="AJ115" s="67"/>
      <c r="AK115" s="67"/>
      <c r="AL115" s="368">
        <f>IF(AJ115=0,0,(AK115-AJ115)/AJ115*100)</f>
        <v>0</v>
      </c>
      <c r="AM115" s="67"/>
      <c r="AN115" s="67"/>
      <c r="AO115" s="368">
        <f>IF(AM115=0,0,(AN115-AM115)/AM115*100)</f>
        <v>0</v>
      </c>
      <c r="AP115" s="67"/>
      <c r="AQ115" s="67"/>
      <c r="AR115" s="368">
        <f>IF(AP115=0,0,(AQ115-AP115)/AP115*100)</f>
        <v>0</v>
      </c>
      <c r="AS115" s="67"/>
      <c r="AT115" s="67"/>
      <c r="AU115" s="368">
        <f>IF(AS115=0,0,(AT115-AS115)/AS115*100)</f>
        <v>0</v>
      </c>
      <c r="AV115" s="67"/>
      <c r="AW115" s="67"/>
      <c r="AX115" s="368">
        <f>IF(AV115=0,0,(AW115-AV115)/AV115*100)</f>
        <v>0</v>
      </c>
      <c r="AY115" s="67"/>
      <c r="AZ115" s="67"/>
      <c r="BA115" s="368">
        <f>IF(AY115=0,0,(AZ115-AY115)/AY115*100)</f>
        <v>0</v>
      </c>
      <c r="BB115" s="67"/>
      <c r="BC115" s="67"/>
      <c r="BD115" s="368">
        <f>IF(BB115=0,0,(BC115-BB115)/BB115*100)</f>
        <v>0</v>
      </c>
      <c r="BE115" s="67"/>
      <c r="BF115" s="67"/>
      <c r="BG115" s="368">
        <f>IF(BE115=0,0,(BF115-BE115)/BE115*100)</f>
        <v>0</v>
      </c>
      <c r="BH115" s="67"/>
      <c r="BI115" s="67"/>
      <c r="BJ115" s="368">
        <f>IF(BH115=0,0,(BI115-BH115)/BH115*100)</f>
        <v>0</v>
      </c>
      <c r="BK115" s="67"/>
      <c r="BL115" s="67"/>
      <c r="BM115" s="368">
        <f>IF(BK115=0,0,(BL115-BK115)/BK115*100)</f>
        <v>0</v>
      </c>
      <c r="BN115" s="67"/>
      <c r="BO115" s="67"/>
      <c r="BP115" s="368">
        <f>IF(BN115=0,0,(BO115-BN115)/BN115*100)</f>
        <v>0</v>
      </c>
      <c r="BQ115" s="67"/>
      <c r="BR115" s="67"/>
      <c r="BS115" s="368">
        <f>IF(BQ115=0,0,(BR115-BQ115)/BQ115*100)</f>
        <v>0</v>
      </c>
      <c r="BT115" s="67"/>
      <c r="BU115" s="67"/>
      <c r="BV115" s="368">
        <f>IF(BT115=0,0,(BU115-BT115)/BT115*100)</f>
        <v>0</v>
      </c>
      <c r="BW115" s="67"/>
      <c r="BX115" s="67"/>
      <c r="BY115" s="368">
        <f>IF(BW115=0,0,(BX115-BW115)/BW115*100)</f>
        <v>0</v>
      </c>
      <c r="BZ115" s="67"/>
      <c r="CA115" s="67"/>
      <c r="CB115" s="368">
        <f>IF(BZ115=0,0,(CA115-BZ115)/BZ115*100)</f>
        <v>0</v>
      </c>
      <c r="CC115" s="67"/>
      <c r="CD115" s="67"/>
      <c r="CE115" s="368">
        <f>IF(CC115=0,0,(CD115-CC115)/CC115*100)</f>
        <v>0</v>
      </c>
      <c r="CF115" s="67"/>
      <c r="CG115" s="67"/>
      <c r="CH115" s="368">
        <f>IF(CF115=0,0,(CG115-CF115)/CF115*100)</f>
        <v>0</v>
      </c>
      <c r="CI115" s="67"/>
      <c r="CJ115" s="67"/>
      <c r="CK115" s="368">
        <f>IF(CI115=0,0,(CJ115-CI115)/CI115*100)</f>
        <v>0</v>
      </c>
      <c r="CL115" s="67"/>
      <c r="CM115" s="67"/>
      <c r="CN115" s="368">
        <f>IF(CL115=0,0,(CM115-CL115)/CL115*100)</f>
        <v>0</v>
      </c>
      <c r="CO115" s="67"/>
      <c r="CP115" s="67"/>
      <c r="CQ115" s="368">
        <f>IF(CO115=0,0,(CP115-CO115)/CO115*100)</f>
        <v>0</v>
      </c>
      <c r="CR115" s="67"/>
      <c r="CS115" s="67"/>
      <c r="CT115" s="368">
        <f>IF(CR115=0,0,(CS115-CR115)/CR115*100)</f>
        <v>0</v>
      </c>
      <c r="CU115" s="67"/>
      <c r="CV115" s="67"/>
      <c r="CW115" s="368">
        <f>IF(CU115=0,0,(CV115-CU115)/CU115*100)</f>
        <v>0</v>
      </c>
      <c r="CX115" s="67"/>
      <c r="CY115" s="67"/>
      <c r="CZ115" s="368">
        <f>IF(CX115=0,0,(CY115-CX115)/CX115*100)</f>
        <v>0</v>
      </c>
      <c r="DA115" s="67"/>
      <c r="DB115" s="67"/>
      <c r="DC115" s="368">
        <f>IF(DA115=0,0,(DB115-DA115)/DA115*100)</f>
        <v>0</v>
      </c>
      <c r="DD115" s="67"/>
      <c r="DE115" s="67"/>
      <c r="DF115" s="368">
        <f>IF(DD115=0,0,(DE115-DD115)/DD115*100)</f>
        <v>0</v>
      </c>
      <c r="DG115" s="67"/>
      <c r="DH115" s="67"/>
      <c r="DI115" s="368">
        <f>IF(DG115=0,0,(DH115-DG115)/DG115*100)</f>
        <v>0</v>
      </c>
      <c r="DJ115" s="67"/>
      <c r="DK115" s="67"/>
      <c r="DL115" s="368">
        <f>IF(DJ115=0,0,(DK115-DJ115)/DJ115*100)</f>
        <v>0</v>
      </c>
      <c r="DM115" s="67"/>
      <c r="DN115" s="67"/>
      <c r="DO115" s="368">
        <f>IF(DM115=0,0,(DN115-DM115)/DM115*100)</f>
        <v>0</v>
      </c>
      <c r="DP115" s="67"/>
      <c r="DQ115" s="67"/>
      <c r="DR115" s="368">
        <f>IF(DP115=0,0,(DQ115-DP115)/DP115*100)</f>
        <v>0</v>
      </c>
      <c r="DS115" s="67"/>
      <c r="DT115" s="67"/>
      <c r="DU115" s="368">
        <f>IF(DS115=0,0,(DT115-DS115)/DS115*100)</f>
        <v>0</v>
      </c>
      <c r="DV115" s="67"/>
      <c r="DW115" s="67"/>
      <c r="DX115" s="368">
        <f>IF(DV115=0,0,(DW115-DV115)/DV115*100)</f>
        <v>0</v>
      </c>
      <c r="DY115" s="67"/>
      <c r="DZ115" s="67"/>
      <c r="EA115" s="368">
        <f>IF(DY115=0,0,(DZ115-DY115)/DY115*100)</f>
        <v>0</v>
      </c>
      <c r="EB115" s="67"/>
      <c r="EC115" s="67"/>
      <c r="ED115" s="368">
        <f>IF(EB115=0,0,(EC115-EB115)/EB115*100)</f>
        <v>0</v>
      </c>
      <c r="EE115" s="67"/>
      <c r="EF115" s="67"/>
      <c r="EG115" s="368">
        <f>IF(EE115=0,0,(EF115-EE115)/EE115*100)</f>
        <v>0</v>
      </c>
      <c r="EH115" s="67"/>
      <c r="EI115" s="67"/>
      <c r="EJ115" s="368">
        <f>IF(EH115=0,0,(EI115-EH115)/EH115*100)</f>
        <v>0</v>
      </c>
      <c r="EK115" s="67"/>
      <c r="EL115" s="67"/>
      <c r="EM115" s="368">
        <f>IF(EK115=0,0,(EL115-EK115)/EK115*100)</f>
        <v>0</v>
      </c>
      <c r="EN115" s="67"/>
      <c r="EO115" s="67"/>
      <c r="EP115" s="368">
        <f>IF(EN115=0,0,(EO115-EN115)/EN115*100)</f>
        <v>0</v>
      </c>
      <c r="EQ115" s="67"/>
      <c r="ER115" s="67"/>
      <c r="ES115" s="368">
        <f>IF(EQ115=0,0,(ER115-EQ115)/EQ115*100)</f>
        <v>0</v>
      </c>
      <c r="ET115" s="67"/>
      <c r="EU115" s="67"/>
      <c r="EV115" s="368">
        <f>IF(ET115=0,0,(EU115-ET115)/ET115*100)</f>
        <v>0</v>
      </c>
      <c r="EW115" s="67"/>
      <c r="EX115" s="67"/>
      <c r="EY115" s="368">
        <f>IF(EW115=0,0,(EX115-EW115)/EW115*100)</f>
        <v>0</v>
      </c>
      <c r="EZ115" s="67"/>
      <c r="FA115" s="67"/>
      <c r="FB115" s="368">
        <f>IF(EZ115=0,0,(FA115-EZ115)/EZ115*100)</f>
        <v>0</v>
      </c>
      <c r="FC115" s="67"/>
      <c r="FD115" s="67"/>
      <c r="FE115" s="368">
        <f>IF(FC115=0,0,(FD115-FC115)/FC115*100)</f>
        <v>0</v>
      </c>
      <c r="FF115" s="67"/>
      <c r="FG115" s="67"/>
      <c r="FH115" s="368">
        <f>IF(FF115=0,0,(FG115-FF115)/FF115*100)</f>
        <v>0</v>
      </c>
      <c r="FI115" s="67"/>
      <c r="FJ115" s="67"/>
      <c r="FK115" s="368">
        <f>IF(FI115=0,0,(FJ115-FI115)/FI115*100)</f>
        <v>0</v>
      </c>
      <c r="FL115" s="67"/>
      <c r="FM115" s="67"/>
      <c r="FN115" s="368">
        <f>IF(FL115=0,0,(FM115-FL115)/FL115*100)</f>
        <v>0</v>
      </c>
      <c r="FO115" s="67"/>
      <c r="FP115" s="67"/>
      <c r="FQ115" s="368">
        <f>IF(FO115=0,0,(FP115-FO115)/FO115*100)</f>
        <v>0</v>
      </c>
      <c r="FR115" s="67"/>
      <c r="FS115" s="67"/>
      <c r="FT115" s="368">
        <f>IF(FR115=0,0,(FS115-FR115)/FR115*100)</f>
        <v>0</v>
      </c>
      <c r="FU115" s="67"/>
      <c r="FV115" s="67"/>
      <c r="FW115" s="368">
        <f>IF(FU115=0,0,(FV115-FU115)/FU115*100)</f>
        <v>0</v>
      </c>
      <c r="FX115" s="500"/>
      <c r="FY115" s="500"/>
      <c r="FZ115" s="1184" t="s">
        <v>2175</v>
      </c>
      <c r="GA115" s="1184"/>
      <c r="GB115" s="1184"/>
      <c r="GC115" s="1184"/>
      <c r="GD115" s="1184"/>
    </row>
    <row s="1632" customFormat="1" customHeight="1" ht="15" hidden="1">
      <c r="A116" s="1582"/>
      <c r="B116" s="964" cm="1" t="str">
        <f t="array" ref="B116:B116">B115</f>
        <v>false</v>
      </c>
      <c r="C116" s="1325" t="s">
        <v>1723</v>
      </c>
      <c r="D116" s="1294" t="s">
        <v>1724</v>
      </c>
      <c r="E116" s="797">
        <v>15.8</v>
      </c>
      <c r="F116" s="922" cm="1" t="str">
        <f t="array" ref="F116:F116">OFFSET(G116,-1,-1)</f>
        <v>1</v>
      </c>
      <c r="G116" s="500"/>
      <c r="H116" s="213" t="s">
        <v>2147</v>
      </c>
      <c r="I116" s="213" t="s">
        <v>2117</v>
      </c>
      <c r="J116" s="1315"/>
      <c r="K116" s="1315" cm="1" t="str">
        <f t="array" ref="K116:K116">OFFSET(J116,-1,1)</f>
        <v>ТЭ.42.28873685.0002</v>
      </c>
      <c r="L116" s="1315"/>
      <c r="M116" s="1315" t="s">
        <v>1735</v>
      </c>
      <c r="N116" s="1315" t="s">
        <v>2113</v>
      </c>
      <c r="O116" s="1316" t="s">
        <v>2114</v>
      </c>
      <c r="P116" s="1315" t="s">
        <v>2148</v>
      </c>
      <c r="Q116" s="1315"/>
      <c r="R116" s="928"/>
      <c r="S116" s="500"/>
      <c r="T116" s="808" cm="1" t="str">
        <f t="array" ref="T116:T116">T115</f>
        <v>false</v>
      </c>
      <c r="U116" s="1582"/>
      <c r="V116" s="1582"/>
      <c r="W116" s="1582"/>
      <c r="X116" s="1582"/>
      <c r="Y116" s="1582"/>
      <c r="Z116" s="1582"/>
      <c r="AA116" s="500"/>
      <c r="AB116" s="276" t="s">
        <v>2149</v>
      </c>
      <c r="AC116" s="172" t="s">
        <v>599</v>
      </c>
      <c r="AD116" s="148"/>
      <c r="AE116" s="148"/>
      <c r="AF116" s="400">
        <f>IF(AD116=0,0,(AE116-AD116)/AD116*100)</f>
        <v>0</v>
      </c>
      <c r="AG116" s="148"/>
      <c r="AH116" s="148"/>
      <c r="AI116" s="400">
        <f>IF(AG116=0,0,(AH116-AG116)/AG116*100)</f>
        <v>0</v>
      </c>
      <c r="AJ116" s="148"/>
      <c r="AK116" s="148"/>
      <c r="AL116" s="400">
        <f>IF(AJ116=0,0,(AK116-AJ116)/AJ116*100)</f>
        <v>0</v>
      </c>
      <c r="AM116" s="148"/>
      <c r="AN116" s="148"/>
      <c r="AO116" s="400">
        <f>IF(AM116=0,0,(AN116-AM116)/AM116*100)</f>
        <v>0</v>
      </c>
      <c r="AP116" s="148"/>
      <c r="AQ116" s="148"/>
      <c r="AR116" s="400">
        <f>IF(AP116=0,0,(AQ116-AP116)/AP116*100)</f>
        <v>0</v>
      </c>
      <c r="AS116" s="148"/>
      <c r="AT116" s="148"/>
      <c r="AU116" s="400">
        <f>IF(AS116=0,0,(AT116-AS116)/AS116*100)</f>
        <v>0</v>
      </c>
      <c r="AV116" s="148"/>
      <c r="AW116" s="148"/>
      <c r="AX116" s="400">
        <f>IF(AV116=0,0,(AW116-AV116)/AV116*100)</f>
        <v>0</v>
      </c>
      <c r="AY116" s="148"/>
      <c r="AZ116" s="148"/>
      <c r="BA116" s="400">
        <f>IF(AY116=0,0,(AZ116-AY116)/AY116*100)</f>
        <v>0</v>
      </c>
      <c r="BB116" s="148"/>
      <c r="BC116" s="148"/>
      <c r="BD116" s="400">
        <f>IF(BB116=0,0,(BC116-BB116)/BB116*100)</f>
        <v>0</v>
      </c>
      <c r="BE116" s="148"/>
      <c r="BF116" s="148"/>
      <c r="BG116" s="400">
        <f>IF(BE116=0,0,(BF116-BE116)/BE116*100)</f>
        <v>0</v>
      </c>
      <c r="BH116" s="148"/>
      <c r="BI116" s="148"/>
      <c r="BJ116" s="400">
        <f>IF(BH116=0,0,(BI116-BH116)/BH116*100)</f>
        <v>0</v>
      </c>
      <c r="BK116" s="148"/>
      <c r="BL116" s="148"/>
      <c r="BM116" s="400">
        <f>IF(BK116=0,0,(BL116-BK116)/BK116*100)</f>
        <v>0</v>
      </c>
      <c r="BN116" s="148"/>
      <c r="BO116" s="148"/>
      <c r="BP116" s="400">
        <f>IF(BN116=0,0,(BO116-BN116)/BN116*100)</f>
        <v>0</v>
      </c>
      <c r="BQ116" s="148"/>
      <c r="BR116" s="148"/>
      <c r="BS116" s="400">
        <f>IF(BQ116=0,0,(BR116-BQ116)/BQ116*100)</f>
        <v>0</v>
      </c>
      <c r="BT116" s="148"/>
      <c r="BU116" s="148"/>
      <c r="BV116" s="400">
        <f>IF(BT116=0,0,(BU116-BT116)/BT116*100)</f>
        <v>0</v>
      </c>
      <c r="BW116" s="148"/>
      <c r="BX116" s="148"/>
      <c r="BY116" s="400">
        <f>IF(BW116=0,0,(BX116-BW116)/BW116*100)</f>
        <v>0</v>
      </c>
      <c r="BZ116" s="148"/>
      <c r="CA116" s="148"/>
      <c r="CB116" s="400">
        <f>IF(BZ116=0,0,(CA116-BZ116)/BZ116*100)</f>
        <v>0</v>
      </c>
      <c r="CC116" s="148"/>
      <c r="CD116" s="148"/>
      <c r="CE116" s="400">
        <f>IF(CC116=0,0,(CD116-CC116)/CC116*100)</f>
        <v>0</v>
      </c>
      <c r="CF116" s="148"/>
      <c r="CG116" s="148"/>
      <c r="CH116" s="400">
        <f>IF(CF116=0,0,(CG116-CF116)/CF116*100)</f>
        <v>0</v>
      </c>
      <c r="CI116" s="148"/>
      <c r="CJ116" s="148"/>
      <c r="CK116" s="400">
        <f>IF(CI116=0,0,(CJ116-CI116)/CI116*100)</f>
        <v>0</v>
      </c>
      <c r="CL116" s="148"/>
      <c r="CM116" s="148"/>
      <c r="CN116" s="400">
        <f>IF(CL116=0,0,(CM116-CL116)/CL116*100)</f>
        <v>0</v>
      </c>
      <c r="CO116" s="148"/>
      <c r="CP116" s="148"/>
      <c r="CQ116" s="400">
        <f>IF(CO116=0,0,(CP116-CO116)/CO116*100)</f>
        <v>0</v>
      </c>
      <c r="CR116" s="148"/>
      <c r="CS116" s="148"/>
      <c r="CT116" s="400">
        <f>IF(CR116=0,0,(CS116-CR116)/CR116*100)</f>
        <v>0</v>
      </c>
      <c r="CU116" s="148"/>
      <c r="CV116" s="148"/>
      <c r="CW116" s="400">
        <f>IF(CU116=0,0,(CV116-CU116)/CU116*100)</f>
        <v>0</v>
      </c>
      <c r="CX116" s="148"/>
      <c r="CY116" s="148"/>
      <c r="CZ116" s="400">
        <f>IF(CX116=0,0,(CY116-CX116)/CX116*100)</f>
        <v>0</v>
      </c>
      <c r="DA116" s="148"/>
      <c r="DB116" s="148"/>
      <c r="DC116" s="400">
        <f>IF(DA116=0,0,(DB116-DA116)/DA116*100)</f>
        <v>0</v>
      </c>
      <c r="DD116" s="148"/>
      <c r="DE116" s="148"/>
      <c r="DF116" s="400">
        <f>IF(DD116=0,0,(DE116-DD116)/DD116*100)</f>
        <v>0</v>
      </c>
      <c r="DG116" s="148"/>
      <c r="DH116" s="148"/>
      <c r="DI116" s="400">
        <f>IF(DG116=0,0,(DH116-DG116)/DG116*100)</f>
        <v>0</v>
      </c>
      <c r="DJ116" s="148"/>
      <c r="DK116" s="148"/>
      <c r="DL116" s="400">
        <f>IF(DJ116=0,0,(DK116-DJ116)/DJ116*100)</f>
        <v>0</v>
      </c>
      <c r="DM116" s="148"/>
      <c r="DN116" s="148"/>
      <c r="DO116" s="400">
        <f>IF(DM116=0,0,(DN116-DM116)/DM116*100)</f>
        <v>0</v>
      </c>
      <c r="DP116" s="148"/>
      <c r="DQ116" s="148"/>
      <c r="DR116" s="400">
        <f>IF(DP116=0,0,(DQ116-DP116)/DP116*100)</f>
        <v>0</v>
      </c>
      <c r="DS116" s="148"/>
      <c r="DT116" s="148"/>
      <c r="DU116" s="400">
        <f>IF(DS116=0,0,(DT116-DS116)/DS116*100)</f>
        <v>0</v>
      </c>
      <c r="DV116" s="148"/>
      <c r="DW116" s="148"/>
      <c r="DX116" s="400">
        <f>IF(DV116=0,0,(DW116-DV116)/DV116*100)</f>
        <v>0</v>
      </c>
      <c r="DY116" s="148"/>
      <c r="DZ116" s="148"/>
      <c r="EA116" s="400">
        <f>IF(DY116=0,0,(DZ116-DY116)/DY116*100)</f>
        <v>0</v>
      </c>
      <c r="EB116" s="148"/>
      <c r="EC116" s="148"/>
      <c r="ED116" s="400">
        <f>IF(EB116=0,0,(EC116-EB116)/EB116*100)</f>
        <v>0</v>
      </c>
      <c r="EE116" s="148"/>
      <c r="EF116" s="148"/>
      <c r="EG116" s="400">
        <f>IF(EE116=0,0,(EF116-EE116)/EE116*100)</f>
        <v>0</v>
      </c>
      <c r="EH116" s="148"/>
      <c r="EI116" s="148"/>
      <c r="EJ116" s="400">
        <f>IF(EH116=0,0,(EI116-EH116)/EH116*100)</f>
        <v>0</v>
      </c>
      <c r="EK116" s="148"/>
      <c r="EL116" s="148"/>
      <c r="EM116" s="400">
        <f>IF(EK116=0,0,(EL116-EK116)/EK116*100)</f>
        <v>0</v>
      </c>
      <c r="EN116" s="148"/>
      <c r="EO116" s="148"/>
      <c r="EP116" s="400">
        <f>IF(EN116=0,0,(EO116-EN116)/EN116*100)</f>
        <v>0</v>
      </c>
      <c r="EQ116" s="148"/>
      <c r="ER116" s="148"/>
      <c r="ES116" s="400">
        <f>IF(EQ116=0,0,(ER116-EQ116)/EQ116*100)</f>
        <v>0</v>
      </c>
      <c r="ET116" s="148"/>
      <c r="EU116" s="148"/>
      <c r="EV116" s="400">
        <f>IF(ET116=0,0,(EU116-ET116)/ET116*100)</f>
        <v>0</v>
      </c>
      <c r="EW116" s="148"/>
      <c r="EX116" s="148"/>
      <c r="EY116" s="400">
        <f>IF(EW116=0,0,(EX116-EW116)/EW116*100)</f>
        <v>0</v>
      </c>
      <c r="EZ116" s="148"/>
      <c r="FA116" s="148"/>
      <c r="FB116" s="400">
        <f>IF(EZ116=0,0,(FA116-EZ116)/EZ116*100)</f>
        <v>0</v>
      </c>
      <c r="FC116" s="148"/>
      <c r="FD116" s="148"/>
      <c r="FE116" s="400">
        <f>IF(FC116=0,0,(FD116-FC116)/FC116*100)</f>
        <v>0</v>
      </c>
      <c r="FF116" s="148"/>
      <c r="FG116" s="148"/>
      <c r="FH116" s="400">
        <f>IF(FF116=0,0,(FG116-FF116)/FF116*100)</f>
        <v>0</v>
      </c>
      <c r="FI116" s="148"/>
      <c r="FJ116" s="148"/>
      <c r="FK116" s="400">
        <f>IF(FI116=0,0,(FJ116-FI116)/FI116*100)</f>
        <v>0</v>
      </c>
      <c r="FL116" s="148"/>
      <c r="FM116" s="148"/>
      <c r="FN116" s="400">
        <f>IF(FL116=0,0,(FM116-FL116)/FL116*100)</f>
        <v>0</v>
      </c>
      <c r="FO116" s="148"/>
      <c r="FP116" s="148"/>
      <c r="FQ116" s="400">
        <f>IF(FO116=0,0,(FP116-FO116)/FO116*100)</f>
        <v>0</v>
      </c>
      <c r="FR116" s="148"/>
      <c r="FS116" s="148"/>
      <c r="FT116" s="400">
        <f>IF(FR116=0,0,(FS116-FR116)/FR116*100)</f>
        <v>0</v>
      </c>
      <c r="FU116" s="148"/>
      <c r="FV116" s="148"/>
      <c r="FW116" s="400">
        <f>IF(FU116=0,0,(FV116-FU116)/FU116*100)</f>
        <v>0</v>
      </c>
      <c r="FX116" s="500"/>
      <c r="FY116" s="500"/>
      <c r="FZ116" s="1184" t="s">
        <v>2176</v>
      </c>
      <c r="GA116" s="1184"/>
      <c r="GB116" s="1184"/>
      <c r="GC116" s="1184"/>
      <c r="GD116" s="1184"/>
    </row>
    <row s="1632" customFormat="1" customHeight="1" ht="30" hidden="1">
      <c r="A117" s="1582"/>
      <c r="B117" s="964" cm="1" t="str">
        <f t="array" ref="B117:B117">B116</f>
        <v>false</v>
      </c>
      <c r="C117" s="1325" t="s">
        <v>1777</v>
      </c>
      <c r="D117" s="1294" t="s">
        <v>1778</v>
      </c>
      <c r="E117" s="797">
        <v>31.5</v>
      </c>
      <c r="F117" s="922" cm="1" t="str">
        <f t="array" ref="F117:F117">OFFSET(G117,-1,-1)</f>
        <v>1</v>
      </c>
      <c r="G117" s="500"/>
      <c r="H117" s="213" t="s">
        <v>2151</v>
      </c>
      <c r="I117" s="213" t="s">
        <v>2117</v>
      </c>
      <c r="J117" s="1315"/>
      <c r="K117" s="1315" cm="1" t="str">
        <f t="array" ref="K117:K117">OFFSET(J117,-1,1)</f>
        <v>ТЭ.42.28873685.0002</v>
      </c>
      <c r="L117" s="1315"/>
      <c r="M117" s="1315" t="s">
        <v>1735</v>
      </c>
      <c r="N117" s="1315" t="s">
        <v>2113</v>
      </c>
      <c r="O117" s="1316" t="s">
        <v>2114</v>
      </c>
      <c r="P117" s="1315" t="s">
        <v>2152</v>
      </c>
      <c r="Q117" s="1315"/>
      <c r="R117" s="928"/>
      <c r="S117" s="500"/>
      <c r="T117" s="808" cm="1" t="str">
        <f t="array" ref="T117:T117">T116</f>
        <v>false</v>
      </c>
      <c r="U117" s="1582"/>
      <c r="V117" s="1582"/>
      <c r="W117" s="1582"/>
      <c r="X117" s="1582"/>
      <c r="Y117" s="1582"/>
      <c r="Z117" s="1582"/>
      <c r="AA117" s="500"/>
      <c r="AB117" s="276" t="s">
        <v>2153</v>
      </c>
      <c r="AC117" s="520" t="s">
        <v>1781</v>
      </c>
      <c r="AD117" s="67"/>
      <c r="AE117" s="67"/>
      <c r="AF117" s="368">
        <f>IF(AD117=0,0,(AE117-AD117)/AD117*100)</f>
        <v>0</v>
      </c>
      <c r="AG117" s="67"/>
      <c r="AH117" s="67"/>
      <c r="AI117" s="368">
        <f>IF(AG117=0,0,(AH117-AG117)/AG117*100)</f>
        <v>0</v>
      </c>
      <c r="AJ117" s="67"/>
      <c r="AK117" s="67"/>
      <c r="AL117" s="368">
        <f>IF(AJ117=0,0,(AK117-AJ117)/AJ117*100)</f>
        <v>0</v>
      </c>
      <c r="AM117" s="67"/>
      <c r="AN117" s="67"/>
      <c r="AO117" s="368">
        <f>IF(AM117=0,0,(AN117-AM117)/AM117*100)</f>
        <v>0</v>
      </c>
      <c r="AP117" s="67"/>
      <c r="AQ117" s="67"/>
      <c r="AR117" s="368">
        <f>IF(AP117=0,0,(AQ117-AP117)/AP117*100)</f>
        <v>0</v>
      </c>
      <c r="AS117" s="67"/>
      <c r="AT117" s="67"/>
      <c r="AU117" s="368">
        <f>IF(AS117=0,0,(AT117-AS117)/AS117*100)</f>
        <v>0</v>
      </c>
      <c r="AV117" s="67"/>
      <c r="AW117" s="67"/>
      <c r="AX117" s="368">
        <f>IF(AV117=0,0,(AW117-AV117)/AV117*100)</f>
        <v>0</v>
      </c>
      <c r="AY117" s="67"/>
      <c r="AZ117" s="67"/>
      <c r="BA117" s="368">
        <f>IF(AY117=0,0,(AZ117-AY117)/AY117*100)</f>
        <v>0</v>
      </c>
      <c r="BB117" s="67"/>
      <c r="BC117" s="67"/>
      <c r="BD117" s="368">
        <f>IF(BB117=0,0,(BC117-BB117)/BB117*100)</f>
        <v>0</v>
      </c>
      <c r="BE117" s="67"/>
      <c r="BF117" s="67"/>
      <c r="BG117" s="368">
        <f>IF(BE117=0,0,(BF117-BE117)/BE117*100)</f>
        <v>0</v>
      </c>
      <c r="BH117" s="67"/>
      <c r="BI117" s="67"/>
      <c r="BJ117" s="368">
        <f>IF(BH117=0,0,(BI117-BH117)/BH117*100)</f>
        <v>0</v>
      </c>
      <c r="BK117" s="67"/>
      <c r="BL117" s="67"/>
      <c r="BM117" s="368">
        <f>IF(BK117=0,0,(BL117-BK117)/BK117*100)</f>
        <v>0</v>
      </c>
      <c r="BN117" s="67"/>
      <c r="BO117" s="67"/>
      <c r="BP117" s="368">
        <f>IF(BN117=0,0,(BO117-BN117)/BN117*100)</f>
        <v>0</v>
      </c>
      <c r="BQ117" s="67"/>
      <c r="BR117" s="67"/>
      <c r="BS117" s="368">
        <f>IF(BQ117=0,0,(BR117-BQ117)/BQ117*100)</f>
        <v>0</v>
      </c>
      <c r="BT117" s="67"/>
      <c r="BU117" s="67"/>
      <c r="BV117" s="368">
        <f>IF(BT117=0,0,(BU117-BT117)/BT117*100)</f>
        <v>0</v>
      </c>
      <c r="BW117" s="67"/>
      <c r="BX117" s="67"/>
      <c r="BY117" s="368">
        <f>IF(BW117=0,0,(BX117-BW117)/BW117*100)</f>
        <v>0</v>
      </c>
      <c r="BZ117" s="67"/>
      <c r="CA117" s="67"/>
      <c r="CB117" s="368">
        <f>IF(BZ117=0,0,(CA117-BZ117)/BZ117*100)</f>
        <v>0</v>
      </c>
      <c r="CC117" s="67"/>
      <c r="CD117" s="67"/>
      <c r="CE117" s="368">
        <f>IF(CC117=0,0,(CD117-CC117)/CC117*100)</f>
        <v>0</v>
      </c>
      <c r="CF117" s="67"/>
      <c r="CG117" s="67"/>
      <c r="CH117" s="368">
        <f>IF(CF117=0,0,(CG117-CF117)/CF117*100)</f>
        <v>0</v>
      </c>
      <c r="CI117" s="67"/>
      <c r="CJ117" s="67"/>
      <c r="CK117" s="368">
        <f>IF(CI117=0,0,(CJ117-CI117)/CI117*100)</f>
        <v>0</v>
      </c>
      <c r="CL117" s="67"/>
      <c r="CM117" s="67"/>
      <c r="CN117" s="368">
        <f>IF(CL117=0,0,(CM117-CL117)/CL117*100)</f>
        <v>0</v>
      </c>
      <c r="CO117" s="67"/>
      <c r="CP117" s="67"/>
      <c r="CQ117" s="368">
        <f>IF(CO117=0,0,(CP117-CO117)/CO117*100)</f>
        <v>0</v>
      </c>
      <c r="CR117" s="67"/>
      <c r="CS117" s="67"/>
      <c r="CT117" s="368">
        <f>IF(CR117=0,0,(CS117-CR117)/CR117*100)</f>
        <v>0</v>
      </c>
      <c r="CU117" s="67"/>
      <c r="CV117" s="67"/>
      <c r="CW117" s="368">
        <f>IF(CU117=0,0,(CV117-CU117)/CU117*100)</f>
        <v>0</v>
      </c>
      <c r="CX117" s="67"/>
      <c r="CY117" s="67"/>
      <c r="CZ117" s="368">
        <f>IF(CX117=0,0,(CY117-CX117)/CX117*100)</f>
        <v>0</v>
      </c>
      <c r="DA117" s="67"/>
      <c r="DB117" s="67"/>
      <c r="DC117" s="368">
        <f>IF(DA117=0,0,(DB117-DA117)/DA117*100)</f>
        <v>0</v>
      </c>
      <c r="DD117" s="67"/>
      <c r="DE117" s="67"/>
      <c r="DF117" s="368">
        <f>IF(DD117=0,0,(DE117-DD117)/DD117*100)</f>
        <v>0</v>
      </c>
      <c r="DG117" s="67"/>
      <c r="DH117" s="67"/>
      <c r="DI117" s="368">
        <f>IF(DG117=0,0,(DH117-DG117)/DG117*100)</f>
        <v>0</v>
      </c>
      <c r="DJ117" s="67"/>
      <c r="DK117" s="67"/>
      <c r="DL117" s="368">
        <f>IF(DJ117=0,0,(DK117-DJ117)/DJ117*100)</f>
        <v>0</v>
      </c>
      <c r="DM117" s="67"/>
      <c r="DN117" s="67"/>
      <c r="DO117" s="368">
        <f>IF(DM117=0,0,(DN117-DM117)/DM117*100)</f>
        <v>0</v>
      </c>
      <c r="DP117" s="67"/>
      <c r="DQ117" s="67"/>
      <c r="DR117" s="368">
        <f>IF(DP117=0,0,(DQ117-DP117)/DP117*100)</f>
        <v>0</v>
      </c>
      <c r="DS117" s="67"/>
      <c r="DT117" s="67"/>
      <c r="DU117" s="368">
        <f>IF(DS117=0,0,(DT117-DS117)/DS117*100)</f>
        <v>0</v>
      </c>
      <c r="DV117" s="67"/>
      <c r="DW117" s="67"/>
      <c r="DX117" s="368">
        <f>IF(DV117=0,0,(DW117-DV117)/DV117*100)</f>
        <v>0</v>
      </c>
      <c r="DY117" s="67"/>
      <c r="DZ117" s="67"/>
      <c r="EA117" s="368">
        <f>IF(DY117=0,0,(DZ117-DY117)/DY117*100)</f>
        <v>0</v>
      </c>
      <c r="EB117" s="67"/>
      <c r="EC117" s="67"/>
      <c r="ED117" s="368">
        <f>IF(EB117=0,0,(EC117-EB117)/EB117*100)</f>
        <v>0</v>
      </c>
      <c r="EE117" s="67"/>
      <c r="EF117" s="67"/>
      <c r="EG117" s="368">
        <f>IF(EE117=0,0,(EF117-EE117)/EE117*100)</f>
        <v>0</v>
      </c>
      <c r="EH117" s="67"/>
      <c r="EI117" s="67"/>
      <c r="EJ117" s="368">
        <f>IF(EH117=0,0,(EI117-EH117)/EH117*100)</f>
        <v>0</v>
      </c>
      <c r="EK117" s="67"/>
      <c r="EL117" s="67"/>
      <c r="EM117" s="368">
        <f>IF(EK117=0,0,(EL117-EK117)/EK117*100)</f>
        <v>0</v>
      </c>
      <c r="EN117" s="67"/>
      <c r="EO117" s="67"/>
      <c r="EP117" s="368">
        <f>IF(EN117=0,0,(EO117-EN117)/EN117*100)</f>
        <v>0</v>
      </c>
      <c r="EQ117" s="67"/>
      <c r="ER117" s="67"/>
      <c r="ES117" s="368">
        <f>IF(EQ117=0,0,(ER117-EQ117)/EQ117*100)</f>
        <v>0</v>
      </c>
      <c r="ET117" s="67"/>
      <c r="EU117" s="67"/>
      <c r="EV117" s="368">
        <f>IF(ET117=0,0,(EU117-ET117)/ET117*100)</f>
        <v>0</v>
      </c>
      <c r="EW117" s="67"/>
      <c r="EX117" s="67"/>
      <c r="EY117" s="368">
        <f>IF(EW117=0,0,(EX117-EW117)/EW117*100)</f>
        <v>0</v>
      </c>
      <c r="EZ117" s="67"/>
      <c r="FA117" s="67"/>
      <c r="FB117" s="368">
        <f>IF(EZ117=0,0,(FA117-EZ117)/EZ117*100)</f>
        <v>0</v>
      </c>
      <c r="FC117" s="67"/>
      <c r="FD117" s="67"/>
      <c r="FE117" s="368">
        <f>IF(FC117=0,0,(FD117-FC117)/FC117*100)</f>
        <v>0</v>
      </c>
      <c r="FF117" s="67"/>
      <c r="FG117" s="67"/>
      <c r="FH117" s="368">
        <f>IF(FF117=0,0,(FG117-FF117)/FF117*100)</f>
        <v>0</v>
      </c>
      <c r="FI117" s="67"/>
      <c r="FJ117" s="67"/>
      <c r="FK117" s="368">
        <f>IF(FI117=0,0,(FJ117-FI117)/FI117*100)</f>
        <v>0</v>
      </c>
      <c r="FL117" s="67"/>
      <c r="FM117" s="67"/>
      <c r="FN117" s="368">
        <f>IF(FL117=0,0,(FM117-FL117)/FL117*100)</f>
        <v>0</v>
      </c>
      <c r="FO117" s="67"/>
      <c r="FP117" s="67"/>
      <c r="FQ117" s="368">
        <f>IF(FO117=0,0,(FP117-FO117)/FO117*100)</f>
        <v>0</v>
      </c>
      <c r="FR117" s="67"/>
      <c r="FS117" s="67"/>
      <c r="FT117" s="368">
        <f>IF(FR117=0,0,(FS117-FR117)/FR117*100)</f>
        <v>0</v>
      </c>
      <c r="FU117" s="67"/>
      <c r="FV117" s="67"/>
      <c r="FW117" s="368">
        <f>IF(FU117=0,0,(FV117-FU117)/FU117*100)</f>
        <v>0</v>
      </c>
      <c r="FX117" s="500"/>
      <c r="FY117" s="500"/>
      <c r="FZ117" s="1184" t="s">
        <v>2177</v>
      </c>
      <c r="GA117" s="1184"/>
      <c r="GB117" s="1184"/>
      <c r="GC117" s="1184"/>
      <c r="GD117" s="1184"/>
    </row>
    <row s="1632" customFormat="1" customHeight="1" ht="15" hidden="1">
      <c r="A118" s="1582"/>
      <c r="B118" s="964" cm="1" t="str">
        <f t="array" ref="B118:B118">B117</f>
        <v>false</v>
      </c>
      <c r="C118" s="1325" t="s">
        <v>1749</v>
      </c>
      <c r="D118" s="1294" t="s">
        <v>1750</v>
      </c>
      <c r="E118" s="797">
        <v>15.8</v>
      </c>
      <c r="F118" s="922" cm="1" t="str">
        <f t="array" ref="F118:F118">OFFSET(G118,-1,-1)</f>
        <v>1</v>
      </c>
      <c r="G118" s="500"/>
      <c r="H118" s="213" t="s">
        <v>2155</v>
      </c>
      <c r="I118" s="213" t="s">
        <v>2117</v>
      </c>
      <c r="J118" s="1315"/>
      <c r="K118" s="1315" cm="1" t="str">
        <f t="array" ref="K118:K118">OFFSET(J118,-1,1)</f>
        <v>ТЭ.42.28873685.0002</v>
      </c>
      <c r="L118" s="1315"/>
      <c r="M118" s="1315" t="s">
        <v>1735</v>
      </c>
      <c r="N118" s="1315" t="s">
        <v>2113</v>
      </c>
      <c r="O118" s="1316" t="s">
        <v>2114</v>
      </c>
      <c r="P118" s="1315" t="s">
        <v>2156</v>
      </c>
      <c r="Q118" s="1315"/>
      <c r="R118" s="928"/>
      <c r="S118" s="500"/>
      <c r="T118" s="808" cm="1" t="str">
        <f t="array" ref="T118:T118">T117</f>
        <v>false</v>
      </c>
      <c r="U118" s="1582"/>
      <c r="V118" s="1582"/>
      <c r="W118" s="1582"/>
      <c r="X118" s="1582"/>
      <c r="Y118" s="1582"/>
      <c r="Z118" s="1582"/>
      <c r="AA118" s="500"/>
      <c r="AB118" s="276" t="s">
        <v>2157</v>
      </c>
      <c r="AC118" s="667" t="s">
        <v>695</v>
      </c>
      <c r="AD118" s="67"/>
      <c r="AE118" s="67"/>
      <c r="AF118" s="368">
        <f>IF(AD118=0,0,(AE118-AD118)/AD118*100)</f>
        <v>0</v>
      </c>
      <c r="AG118" s="67"/>
      <c r="AH118" s="67"/>
      <c r="AI118" s="368">
        <f>IF(AG118=0,0,(AH118-AG118)/AG118*100)</f>
        <v>0</v>
      </c>
      <c r="AJ118" s="67"/>
      <c r="AK118" s="67"/>
      <c r="AL118" s="368">
        <f>IF(AJ118=0,0,(AK118-AJ118)/AJ118*100)</f>
        <v>0</v>
      </c>
      <c r="AM118" s="67"/>
      <c r="AN118" s="67"/>
      <c r="AO118" s="368">
        <f>IF(AM118=0,0,(AN118-AM118)/AM118*100)</f>
        <v>0</v>
      </c>
      <c r="AP118" s="67"/>
      <c r="AQ118" s="67"/>
      <c r="AR118" s="368">
        <f>IF(AP118=0,0,(AQ118-AP118)/AP118*100)</f>
        <v>0</v>
      </c>
      <c r="AS118" s="67"/>
      <c r="AT118" s="67"/>
      <c r="AU118" s="368">
        <f>IF(AS118=0,0,(AT118-AS118)/AS118*100)</f>
        <v>0</v>
      </c>
      <c r="AV118" s="67"/>
      <c r="AW118" s="67"/>
      <c r="AX118" s="368">
        <f>IF(AV118=0,0,(AW118-AV118)/AV118*100)</f>
        <v>0</v>
      </c>
      <c r="AY118" s="67"/>
      <c r="AZ118" s="67"/>
      <c r="BA118" s="368">
        <f>IF(AY118=0,0,(AZ118-AY118)/AY118*100)</f>
        <v>0</v>
      </c>
      <c r="BB118" s="67"/>
      <c r="BC118" s="67"/>
      <c r="BD118" s="368">
        <f>IF(BB118=0,0,(BC118-BB118)/BB118*100)</f>
        <v>0</v>
      </c>
      <c r="BE118" s="67"/>
      <c r="BF118" s="67"/>
      <c r="BG118" s="368">
        <f>IF(BE118=0,0,(BF118-BE118)/BE118*100)</f>
        <v>0</v>
      </c>
      <c r="BH118" s="67"/>
      <c r="BI118" s="67"/>
      <c r="BJ118" s="368">
        <f>IF(BH118=0,0,(BI118-BH118)/BH118*100)</f>
        <v>0</v>
      </c>
      <c r="BK118" s="67"/>
      <c r="BL118" s="67"/>
      <c r="BM118" s="368">
        <f>IF(BK118=0,0,(BL118-BK118)/BK118*100)</f>
        <v>0</v>
      </c>
      <c r="BN118" s="67"/>
      <c r="BO118" s="67"/>
      <c r="BP118" s="368">
        <f>IF(BN118=0,0,(BO118-BN118)/BN118*100)</f>
        <v>0</v>
      </c>
      <c r="BQ118" s="67"/>
      <c r="BR118" s="67"/>
      <c r="BS118" s="368">
        <f>IF(BQ118=0,0,(BR118-BQ118)/BQ118*100)</f>
        <v>0</v>
      </c>
      <c r="BT118" s="67"/>
      <c r="BU118" s="67"/>
      <c r="BV118" s="368">
        <f>IF(BT118=0,0,(BU118-BT118)/BT118*100)</f>
        <v>0</v>
      </c>
      <c r="BW118" s="67"/>
      <c r="BX118" s="67"/>
      <c r="BY118" s="368">
        <f>IF(BW118=0,0,(BX118-BW118)/BW118*100)</f>
        <v>0</v>
      </c>
      <c r="BZ118" s="67"/>
      <c r="CA118" s="67"/>
      <c r="CB118" s="368">
        <f>IF(BZ118=0,0,(CA118-BZ118)/BZ118*100)</f>
        <v>0</v>
      </c>
      <c r="CC118" s="67"/>
      <c r="CD118" s="67"/>
      <c r="CE118" s="368">
        <f>IF(CC118=0,0,(CD118-CC118)/CC118*100)</f>
        <v>0</v>
      </c>
      <c r="CF118" s="67"/>
      <c r="CG118" s="67"/>
      <c r="CH118" s="368">
        <f>IF(CF118=0,0,(CG118-CF118)/CF118*100)</f>
        <v>0</v>
      </c>
      <c r="CI118" s="67"/>
      <c r="CJ118" s="67"/>
      <c r="CK118" s="368">
        <f>IF(CI118=0,0,(CJ118-CI118)/CI118*100)</f>
        <v>0</v>
      </c>
      <c r="CL118" s="67"/>
      <c r="CM118" s="67"/>
      <c r="CN118" s="368">
        <f>IF(CL118=0,0,(CM118-CL118)/CL118*100)</f>
        <v>0</v>
      </c>
      <c r="CO118" s="67"/>
      <c r="CP118" s="67"/>
      <c r="CQ118" s="368">
        <f>IF(CO118=0,0,(CP118-CO118)/CO118*100)</f>
        <v>0</v>
      </c>
      <c r="CR118" s="67"/>
      <c r="CS118" s="67"/>
      <c r="CT118" s="368">
        <f>IF(CR118=0,0,(CS118-CR118)/CR118*100)</f>
        <v>0</v>
      </c>
      <c r="CU118" s="67"/>
      <c r="CV118" s="67"/>
      <c r="CW118" s="368">
        <f>IF(CU118=0,0,(CV118-CU118)/CU118*100)</f>
        <v>0</v>
      </c>
      <c r="CX118" s="67"/>
      <c r="CY118" s="67"/>
      <c r="CZ118" s="368">
        <f>IF(CX118=0,0,(CY118-CX118)/CX118*100)</f>
        <v>0</v>
      </c>
      <c r="DA118" s="67"/>
      <c r="DB118" s="67"/>
      <c r="DC118" s="368">
        <f>IF(DA118=0,0,(DB118-DA118)/DA118*100)</f>
        <v>0</v>
      </c>
      <c r="DD118" s="67"/>
      <c r="DE118" s="67"/>
      <c r="DF118" s="368">
        <f>IF(DD118=0,0,(DE118-DD118)/DD118*100)</f>
        <v>0</v>
      </c>
      <c r="DG118" s="67"/>
      <c r="DH118" s="67"/>
      <c r="DI118" s="368">
        <f>IF(DG118=0,0,(DH118-DG118)/DG118*100)</f>
        <v>0</v>
      </c>
      <c r="DJ118" s="67"/>
      <c r="DK118" s="67"/>
      <c r="DL118" s="368">
        <f>IF(DJ118=0,0,(DK118-DJ118)/DJ118*100)</f>
        <v>0</v>
      </c>
      <c r="DM118" s="67"/>
      <c r="DN118" s="67"/>
      <c r="DO118" s="368">
        <f>IF(DM118=0,0,(DN118-DM118)/DM118*100)</f>
        <v>0</v>
      </c>
      <c r="DP118" s="67"/>
      <c r="DQ118" s="67"/>
      <c r="DR118" s="368">
        <f>IF(DP118=0,0,(DQ118-DP118)/DP118*100)</f>
        <v>0</v>
      </c>
      <c r="DS118" s="67"/>
      <c r="DT118" s="67"/>
      <c r="DU118" s="368">
        <f>IF(DS118=0,0,(DT118-DS118)/DS118*100)</f>
        <v>0</v>
      </c>
      <c r="DV118" s="67"/>
      <c r="DW118" s="67"/>
      <c r="DX118" s="368">
        <f>IF(DV118=0,0,(DW118-DV118)/DV118*100)</f>
        <v>0</v>
      </c>
      <c r="DY118" s="67"/>
      <c r="DZ118" s="67"/>
      <c r="EA118" s="368">
        <f>IF(DY118=0,0,(DZ118-DY118)/DY118*100)</f>
        <v>0</v>
      </c>
      <c r="EB118" s="67"/>
      <c r="EC118" s="67"/>
      <c r="ED118" s="368">
        <f>IF(EB118=0,0,(EC118-EB118)/EB118*100)</f>
        <v>0</v>
      </c>
      <c r="EE118" s="67"/>
      <c r="EF118" s="67"/>
      <c r="EG118" s="368">
        <f>IF(EE118=0,0,(EF118-EE118)/EE118*100)</f>
        <v>0</v>
      </c>
      <c r="EH118" s="67"/>
      <c r="EI118" s="67"/>
      <c r="EJ118" s="368">
        <f>IF(EH118=0,0,(EI118-EH118)/EH118*100)</f>
        <v>0</v>
      </c>
      <c r="EK118" s="67"/>
      <c r="EL118" s="67"/>
      <c r="EM118" s="368">
        <f>IF(EK118=0,0,(EL118-EK118)/EK118*100)</f>
        <v>0</v>
      </c>
      <c r="EN118" s="67"/>
      <c r="EO118" s="67"/>
      <c r="EP118" s="368">
        <f>IF(EN118=0,0,(EO118-EN118)/EN118*100)</f>
        <v>0</v>
      </c>
      <c r="EQ118" s="67"/>
      <c r="ER118" s="67"/>
      <c r="ES118" s="368">
        <f>IF(EQ118=0,0,(ER118-EQ118)/EQ118*100)</f>
        <v>0</v>
      </c>
      <c r="ET118" s="67"/>
      <c r="EU118" s="67"/>
      <c r="EV118" s="368">
        <f>IF(ET118=0,0,(EU118-ET118)/ET118*100)</f>
        <v>0</v>
      </c>
      <c r="EW118" s="67"/>
      <c r="EX118" s="67"/>
      <c r="EY118" s="368">
        <f>IF(EW118=0,0,(EX118-EW118)/EW118*100)</f>
        <v>0</v>
      </c>
      <c r="EZ118" s="67"/>
      <c r="FA118" s="67"/>
      <c r="FB118" s="368">
        <f>IF(EZ118=0,0,(FA118-EZ118)/EZ118*100)</f>
        <v>0</v>
      </c>
      <c r="FC118" s="67"/>
      <c r="FD118" s="67"/>
      <c r="FE118" s="368">
        <f>IF(FC118=0,0,(FD118-FC118)/FC118*100)</f>
        <v>0</v>
      </c>
      <c r="FF118" s="67"/>
      <c r="FG118" s="67"/>
      <c r="FH118" s="368">
        <f>IF(FF118=0,0,(FG118-FF118)/FF118*100)</f>
        <v>0</v>
      </c>
      <c r="FI118" s="67"/>
      <c r="FJ118" s="67"/>
      <c r="FK118" s="368">
        <f>IF(FI118=0,0,(FJ118-FI118)/FI118*100)</f>
        <v>0</v>
      </c>
      <c r="FL118" s="67"/>
      <c r="FM118" s="67"/>
      <c r="FN118" s="368">
        <f>IF(FL118=0,0,(FM118-FL118)/FL118*100)</f>
        <v>0</v>
      </c>
      <c r="FO118" s="67"/>
      <c r="FP118" s="67"/>
      <c r="FQ118" s="368">
        <f>IF(FO118=0,0,(FP118-FO118)/FO118*100)</f>
        <v>0</v>
      </c>
      <c r="FR118" s="67"/>
      <c r="FS118" s="67"/>
      <c r="FT118" s="368">
        <f>IF(FR118=0,0,(FS118-FR118)/FR118*100)</f>
        <v>0</v>
      </c>
      <c r="FU118" s="67"/>
      <c r="FV118" s="67"/>
      <c r="FW118" s="368">
        <f>IF(FU118=0,0,(FV118-FU118)/FU118*100)</f>
        <v>0</v>
      </c>
      <c r="FX118" s="500"/>
      <c r="FY118" s="500"/>
      <c r="FZ118" s="1184" t="s">
        <v>2178</v>
      </c>
      <c r="GA118" s="1184"/>
      <c r="GB118" s="1184"/>
      <c r="GC118" s="1184"/>
      <c r="GD118" s="1184"/>
    </row>
    <row s="1632" customFormat="1" customHeight="1" ht="15.75" hidden="1">
      <c r="A119" s="1582"/>
      <c r="B119" s="964" t="b">
        <v>0</v>
      </c>
      <c r="C119" s="1325"/>
      <c r="D119" s="1294"/>
      <c r="E119" s="797">
        <v>0</v>
      </c>
      <c r="F119" s="922" cm="1" t="str">
        <f t="array" ref="F119:F119">OFFSET(G119,-1,-1)</f>
        <v>1</v>
      </c>
      <c r="G119" s="500"/>
      <c r="H119" s="213" t="str">
        <f>F119&amp;"pIns2"</f>
        <v>1pIns2</v>
      </c>
      <c r="I119" s="500"/>
      <c r="J119" s="1317"/>
      <c r="K119" s="1317"/>
      <c r="L119" s="1317"/>
      <c r="M119" s="1317"/>
      <c r="N119" s="1317"/>
      <c r="O119" s="1317"/>
      <c r="P119" s="1317"/>
      <c r="Q119" s="1299"/>
      <c r="R119" s="928"/>
      <c r="S119" s="500"/>
      <c r="T119" s="808" t="b">
        <v>0</v>
      </c>
      <c r="U119" s="1582"/>
      <c r="V119" s="1582"/>
      <c r="W119" s="1582"/>
      <c r="X119" s="1582"/>
      <c r="Y119" s="1582"/>
      <c r="Z119" s="1582"/>
      <c r="AA119" s="500"/>
      <c r="AB119" s="900" t="s">
        <v>236</v>
      </c>
      <c r="AC119" s="341"/>
      <c r="AD119" s="339"/>
      <c r="AE119" s="339"/>
      <c r="AF119" s="339"/>
      <c r="AG119" s="339"/>
      <c r="AH119" s="339"/>
      <c r="AI119" s="339"/>
      <c r="AJ119" s="339"/>
      <c r="AK119" s="339"/>
      <c r="AL119" s="339"/>
      <c r="AM119" s="339"/>
      <c r="AN119" s="339"/>
      <c r="AO119" s="339"/>
      <c r="AP119" s="339"/>
      <c r="AQ119" s="339"/>
      <c r="AR119" s="339"/>
      <c r="AS119" s="339"/>
      <c r="AT119" s="339"/>
      <c r="AU119" s="339"/>
      <c r="AV119" s="339"/>
      <c r="AW119" s="339"/>
      <c r="AX119" s="339"/>
      <c r="AY119" s="339"/>
      <c r="AZ119" s="339"/>
      <c r="BA119" s="339"/>
      <c r="BB119" s="339"/>
      <c r="BC119" s="339"/>
      <c r="BD119" s="339"/>
      <c r="BE119" s="339"/>
      <c r="BF119" s="339"/>
      <c r="BG119" s="339"/>
      <c r="BH119" s="339"/>
      <c r="BI119" s="339"/>
      <c r="BJ119" s="339"/>
      <c r="BK119" s="339"/>
      <c r="BL119" s="339"/>
      <c r="BM119" s="339"/>
      <c r="BN119" s="339"/>
      <c r="BO119" s="339"/>
      <c r="BP119" s="339"/>
      <c r="BQ119" s="339"/>
      <c r="BR119" s="339"/>
      <c r="BS119" s="339"/>
      <c r="BT119" s="339"/>
      <c r="BU119" s="339"/>
      <c r="BV119" s="339"/>
      <c r="BW119" s="339"/>
      <c r="BX119" s="339"/>
      <c r="BY119" s="339"/>
      <c r="BZ119" s="339"/>
      <c r="CA119" s="339"/>
      <c r="CB119" s="339"/>
      <c r="CC119" s="339"/>
      <c r="CD119" s="339"/>
      <c r="CE119" s="339"/>
      <c r="CF119" s="339"/>
      <c r="CG119" s="339"/>
      <c r="CH119" s="339"/>
      <c r="CI119" s="339"/>
      <c r="CJ119" s="339"/>
      <c r="CK119" s="339"/>
      <c r="CL119" s="339"/>
      <c r="CM119" s="339"/>
      <c r="CN119" s="339"/>
      <c r="CO119" s="339"/>
      <c r="CP119" s="339"/>
      <c r="CQ119" s="339"/>
      <c r="CR119" s="339"/>
      <c r="CS119" s="339"/>
      <c r="CT119" s="339"/>
      <c r="CU119" s="339"/>
      <c r="CV119" s="339"/>
      <c r="CW119" s="339"/>
      <c r="CX119" s="339"/>
      <c r="CY119" s="339"/>
      <c r="CZ119" s="339"/>
      <c r="DA119" s="339"/>
      <c r="DB119" s="339"/>
      <c r="DC119" s="339"/>
      <c r="DD119" s="339"/>
      <c r="DE119" s="339"/>
      <c r="DF119" s="339"/>
      <c r="DG119" s="339"/>
      <c r="DH119" s="339"/>
      <c r="DI119" s="339"/>
      <c r="DJ119" s="339"/>
      <c r="DK119" s="339"/>
      <c r="DL119" s="339"/>
      <c r="DM119" s="339"/>
      <c r="DN119" s="339"/>
      <c r="DO119" s="339"/>
      <c r="DP119" s="339"/>
      <c r="DQ119" s="339"/>
      <c r="DR119" s="339"/>
      <c r="DS119" s="339"/>
      <c r="DT119" s="339"/>
      <c r="DU119" s="339"/>
      <c r="DV119" s="339"/>
      <c r="DW119" s="339"/>
      <c r="DX119" s="339"/>
      <c r="DY119" s="339"/>
      <c r="DZ119" s="339"/>
      <c r="EA119" s="339"/>
      <c r="EB119" s="339"/>
      <c r="EC119" s="339"/>
      <c r="ED119" s="339"/>
      <c r="EE119" s="339"/>
      <c r="EF119" s="339"/>
      <c r="EG119" s="339"/>
      <c r="EH119" s="339"/>
      <c r="EI119" s="339"/>
      <c r="EJ119" s="339"/>
      <c r="EK119" s="339"/>
      <c r="EL119" s="339"/>
      <c r="EM119" s="339"/>
      <c r="EN119" s="339"/>
      <c r="EO119" s="339"/>
      <c r="EP119" s="339"/>
      <c r="EQ119" s="339"/>
      <c r="ER119" s="339"/>
      <c r="ES119" s="339"/>
      <c r="ET119" s="339"/>
      <c r="EU119" s="339"/>
      <c r="EV119" s="339"/>
      <c r="EW119" s="339"/>
      <c r="EX119" s="339"/>
      <c r="EY119" s="339"/>
      <c r="EZ119" s="339"/>
      <c r="FA119" s="339"/>
      <c r="FB119" s="339"/>
      <c r="FC119" s="339"/>
      <c r="FD119" s="339"/>
      <c r="FE119" s="339"/>
      <c r="FF119" s="339"/>
      <c r="FG119" s="339"/>
      <c r="FH119" s="339"/>
      <c r="FI119" s="339"/>
      <c r="FJ119" s="339"/>
      <c r="FK119" s="339"/>
      <c r="FL119" s="339"/>
      <c r="FM119" s="339"/>
      <c r="FN119" s="339"/>
      <c r="FO119" s="339"/>
      <c r="FP119" s="339"/>
      <c r="FQ119" s="339"/>
      <c r="FR119" s="339"/>
      <c r="FS119" s="339"/>
      <c r="FT119" s="339"/>
      <c r="FU119" s="339"/>
      <c r="FV119" s="339"/>
      <c r="FW119" s="340"/>
      <c r="FX119" s="500"/>
      <c r="FY119" s="500"/>
      <c r="FZ119" s="1219"/>
      <c r="GA119" s="1184"/>
      <c r="GB119" s="1184"/>
      <c r="GC119" s="1184"/>
      <c r="GD119" s="1184"/>
    </row>
    <row customHeight="1" ht="15.405000000000001">
      <c r="E120" s="797">
        <v>15.8</v>
      </c>
      <c r="Q120" s="1317"/>
      <c r="U120" s="179" t="s">
        <v>236</v>
      </c>
      <c r="V120" s="171" t="s">
        <v>2179</v>
      </c>
      <c r="W120" s="179"/>
      <c r="AB120" s="373"/>
      <c r="AC120" s="374"/>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c r="BI120" s="214"/>
      <c r="BJ120" s="214"/>
      <c r="BK120" s="214"/>
      <c r="BL120" s="214"/>
      <c r="BM120" s="214"/>
      <c r="BN120" s="214"/>
      <c r="BO120" s="214"/>
      <c r="BP120" s="214"/>
      <c r="BQ120" s="214"/>
      <c r="BR120" s="214"/>
      <c r="BS120" s="214"/>
      <c r="BT120" s="214"/>
      <c r="BU120" s="214"/>
      <c r="BV120" s="214"/>
      <c r="BW120" s="214"/>
      <c r="BX120" s="214"/>
      <c r="BY120" s="214"/>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214"/>
      <c r="DS120" s="214"/>
      <c r="DT120" s="214"/>
      <c r="DU120" s="214"/>
      <c r="DV120" s="214"/>
      <c r="DW120" s="214"/>
      <c r="DX120" s="214"/>
      <c r="DY120" s="214"/>
      <c r="DZ120" s="214"/>
      <c r="EA120" s="214"/>
      <c r="EB120" s="214"/>
      <c r="EC120" s="214"/>
      <c r="ED120" s="214"/>
      <c r="EE120" s="214"/>
      <c r="EF120" s="214"/>
      <c r="EG120" s="214"/>
      <c r="EH120" s="214"/>
      <c r="EI120" s="214"/>
      <c r="EJ120" s="214"/>
      <c r="EK120" s="214"/>
      <c r="EL120" s="214"/>
      <c r="EM120" s="214"/>
      <c r="EN120" s="214"/>
      <c r="EO120" s="214"/>
      <c r="EP120" s="214"/>
      <c r="EQ120" s="214"/>
      <c r="ER120" s="214"/>
      <c r="ES120" s="214"/>
      <c r="ET120" s="214"/>
      <c r="EU120" s="214"/>
      <c r="EV120" s="214"/>
      <c r="EW120" s="214"/>
      <c r="EX120" s="214"/>
      <c r="EY120" s="214"/>
      <c r="EZ120" s="214"/>
      <c r="FA120" s="214"/>
      <c r="FB120" s="214"/>
      <c r="FC120" s="214"/>
      <c r="FD120" s="214"/>
      <c r="FE120" s="214"/>
      <c r="FF120" s="214"/>
      <c r="FG120" s="214"/>
      <c r="FH120" s="214"/>
      <c r="FI120" s="214"/>
      <c r="FJ120" s="214"/>
      <c r="FK120" s="214"/>
      <c r="FL120" s="214"/>
      <c r="FM120" s="214"/>
      <c r="FN120" s="214"/>
      <c r="FO120" s="214"/>
      <c r="FP120" s="214"/>
      <c r="FQ120" s="214"/>
      <c r="FR120" s="214"/>
      <c r="FS120" s="214"/>
      <c r="FT120" s="214"/>
      <c r="FU120" s="214"/>
      <c r="FV120" s="214"/>
      <c r="FW120" s="214"/>
      <c r="GA120" s="1219"/>
      <c r="GB120" s="1219"/>
      <c r="GC120" s="1219"/>
      <c r="GD120" s="1219"/>
    </row>
    <row customHeight="1" ht="15.75" hidden="1">
      <c r="E121" s="797">
        <v>0</v>
      </c>
      <c r="Q121" s="1317"/>
      <c r="W121" s="179"/>
      <c r="AG121" s="500"/>
      <c r="AH121" s="500"/>
      <c r="AI121" s="500"/>
      <c r="AJ121" s="500"/>
      <c r="AK121" s="500"/>
      <c r="AL121" s="500"/>
      <c r="AM121" s="500"/>
      <c r="AN121" s="500"/>
      <c r="AO121" s="500"/>
      <c r="AP121" s="500"/>
      <c r="AQ121" s="500"/>
      <c r="AR121" s="500"/>
      <c r="AS121" s="500"/>
      <c r="AT121" s="500"/>
      <c r="AU121" s="500"/>
      <c r="AV121" s="500"/>
      <c r="AW121" s="500"/>
      <c r="AX121" s="500"/>
      <c r="AY121" s="500"/>
      <c r="AZ121" s="500"/>
      <c r="BA121" s="500"/>
      <c r="BB121" s="500"/>
      <c r="BC121" s="500"/>
      <c r="BD121" s="500"/>
      <c r="BE121" s="500"/>
      <c r="BF121" s="500"/>
      <c r="BG121" s="500"/>
      <c r="BH121" s="500"/>
      <c r="BI121" s="500"/>
      <c r="BJ121" s="500"/>
      <c r="BK121" s="500"/>
      <c r="BL121" s="500"/>
      <c r="BM121" s="500"/>
      <c r="BN121" s="500"/>
      <c r="BO121" s="500"/>
      <c r="BP121" s="500"/>
      <c r="BQ121" s="500"/>
      <c r="BR121" s="500"/>
      <c r="BS121" s="500"/>
      <c r="BT121" s="500"/>
      <c r="BU121" s="500"/>
      <c r="BV121" s="500"/>
      <c r="BW121" s="500"/>
      <c r="BX121" s="500"/>
      <c r="BY121" s="500"/>
      <c r="BZ121" s="500"/>
      <c r="CA121" s="500"/>
      <c r="CB121" s="500"/>
      <c r="CC121" s="500"/>
      <c r="CD121" s="500"/>
      <c r="CE121" s="500"/>
      <c r="CF121" s="500"/>
      <c r="CG121" s="500"/>
      <c r="CH121" s="500"/>
      <c r="CI121" s="500"/>
      <c r="CJ121" s="500"/>
      <c r="CK121" s="500"/>
      <c r="CL121" s="500"/>
      <c r="CM121" s="500"/>
      <c r="CN121" s="500"/>
      <c r="CO121" s="500"/>
      <c r="CP121" s="500"/>
      <c r="CQ121" s="500"/>
      <c r="CR121" s="500"/>
      <c r="CS121" s="500"/>
      <c r="CT121" s="500"/>
      <c r="CU121" s="500"/>
      <c r="CV121" s="500"/>
      <c r="CW121" s="500"/>
      <c r="CX121" s="500"/>
      <c r="CY121" s="500"/>
      <c r="CZ121" s="500"/>
      <c r="DA121" s="500"/>
      <c r="DB121" s="500"/>
      <c r="DC121" s="500"/>
      <c r="DD121" s="500"/>
      <c r="DE121" s="500"/>
      <c r="DF121" s="500"/>
      <c r="DG121" s="500"/>
      <c r="DH121" s="500"/>
      <c r="DI121" s="500"/>
      <c r="DJ121" s="500"/>
      <c r="DK121" s="500"/>
      <c r="DL121" s="500"/>
      <c r="DM121" s="500"/>
      <c r="DN121" s="500"/>
      <c r="DO121" s="500"/>
      <c r="DP121" s="500"/>
      <c r="DQ121" s="500"/>
      <c r="DR121" s="500"/>
      <c r="DS121" s="500"/>
      <c r="DT121" s="500"/>
      <c r="DU121" s="500"/>
      <c r="DV121" s="500"/>
      <c r="DW121" s="500"/>
      <c r="DX121" s="500"/>
      <c r="DY121" s="500"/>
      <c r="DZ121" s="500"/>
      <c r="EA121" s="500"/>
      <c r="EB121" s="500"/>
      <c r="EC121" s="500"/>
      <c r="ED121" s="500"/>
      <c r="EE121" s="500"/>
      <c r="EF121" s="500"/>
      <c r="EG121" s="500"/>
      <c r="EH121" s="500"/>
      <c r="EI121" s="500"/>
      <c r="EJ121" s="500"/>
      <c r="EK121" s="500"/>
      <c r="EL121" s="500"/>
      <c r="EM121" s="500"/>
      <c r="EN121" s="500"/>
      <c r="EO121" s="500"/>
      <c r="EP121" s="500"/>
      <c r="EQ121" s="500"/>
      <c r="ER121" s="500"/>
      <c r="ES121" s="500"/>
      <c r="ET121" s="500"/>
      <c r="EU121" s="500"/>
      <c r="EV121" s="500"/>
      <c r="EW121" s="500"/>
      <c r="EX121" s="500"/>
      <c r="EY121" s="500"/>
      <c r="EZ121" s="500"/>
      <c r="FA121" s="500"/>
      <c r="FB121" s="500"/>
      <c r="FC121" s="500"/>
      <c r="FD121" s="500"/>
      <c r="FE121" s="500"/>
      <c r="FF121" s="500"/>
      <c r="FG121" s="500"/>
      <c r="FH121" s="500"/>
      <c r="FI121" s="500"/>
      <c r="FJ121" s="500"/>
      <c r="FK121" s="500"/>
      <c r="FL121" s="500"/>
      <c r="FM121" s="500"/>
      <c r="FN121" s="500"/>
      <c r="FO121" s="500"/>
      <c r="FP121" s="500"/>
      <c r="FQ121" s="500"/>
      <c r="FR121" s="500"/>
      <c r="FS121" s="500"/>
      <c r="FT121" s="500"/>
      <c r="FU121" s="500"/>
      <c r="FV121" s="500"/>
      <c r="FW121" s="500"/>
      <c r="GA121" s="1219"/>
      <c r="GB121" s="1219"/>
      <c r="GC121" s="1219"/>
      <c r="GD121" s="1219"/>
    </row>
    <row customHeight="1" ht="15.405000000000001">
      <c r="E122" s="797">
        <v>15.8</v>
      </c>
      <c r="Q122" s="1317"/>
      <c r="AB122" s="1530" t="s">
        <v>705</v>
      </c>
      <c r="AC122" s="1530"/>
      <c r="AD122" s="1530"/>
      <c r="AE122" s="1530"/>
      <c r="AF122" s="1530"/>
      <c r="AG122" s="1530"/>
      <c r="AH122" s="1530"/>
      <c r="AI122" s="1530"/>
      <c r="AJ122" s="1530"/>
      <c r="AK122" s="1530"/>
      <c r="AL122" s="1530"/>
      <c r="AM122" s="1530"/>
      <c r="AN122" s="1530"/>
      <c r="AO122" s="1530"/>
      <c r="AP122" s="1530"/>
      <c r="AQ122" s="1530"/>
      <c r="AR122" s="1530"/>
      <c r="AS122" s="1530"/>
      <c r="AT122" s="1530"/>
      <c r="AU122" s="1530"/>
      <c r="AV122" s="1530"/>
      <c r="AW122" s="1530"/>
      <c r="AX122" s="1530"/>
      <c r="AY122" s="1530"/>
      <c r="AZ122" s="1530"/>
      <c r="BA122" s="1530"/>
      <c r="BB122" s="1530"/>
      <c r="BC122" s="1530"/>
      <c r="BD122" s="1530"/>
      <c r="BE122" s="1530"/>
      <c r="BF122" s="1530"/>
      <c r="BG122" s="1530"/>
      <c r="BH122" s="500"/>
      <c r="BI122" s="500"/>
      <c r="BJ122" s="500"/>
      <c r="BK122" s="500"/>
      <c r="BL122" s="500"/>
      <c r="BM122" s="500"/>
      <c r="BN122" s="500"/>
      <c r="BO122" s="500"/>
      <c r="BP122" s="500"/>
      <c r="BQ122" s="500"/>
      <c r="BR122" s="500"/>
      <c r="BS122" s="500"/>
      <c r="BT122" s="500"/>
      <c r="BU122" s="500"/>
      <c r="BV122" s="500"/>
      <c r="BW122" s="500"/>
      <c r="BX122" s="500"/>
      <c r="BY122" s="500"/>
      <c r="BZ122" s="500"/>
      <c r="CA122" s="500"/>
      <c r="CB122" s="500"/>
      <c r="CC122" s="500"/>
      <c r="CD122" s="500"/>
      <c r="CE122" s="500"/>
      <c r="CF122" s="500"/>
      <c r="CG122" s="500"/>
      <c r="CH122" s="500"/>
      <c r="CI122" s="500"/>
      <c r="CJ122" s="500"/>
      <c r="CK122" s="500"/>
      <c r="CL122" s="500"/>
      <c r="CM122" s="500"/>
      <c r="CN122" s="500"/>
      <c r="CO122" s="500"/>
      <c r="CP122" s="500"/>
      <c r="CQ122" s="500"/>
      <c r="CR122" s="500"/>
      <c r="CS122" s="500"/>
      <c r="CT122" s="500"/>
      <c r="CU122" s="500"/>
      <c r="CV122" s="500"/>
      <c r="CW122" s="500"/>
      <c r="CX122" s="500"/>
      <c r="CY122" s="500"/>
      <c r="CZ122" s="500"/>
      <c r="DA122" s="500"/>
      <c r="DB122" s="500"/>
      <c r="DC122" s="500"/>
      <c r="DD122" s="500"/>
      <c r="DE122" s="500"/>
      <c r="DF122" s="500"/>
      <c r="DG122" s="500"/>
      <c r="DH122" s="500"/>
      <c r="DI122" s="500"/>
      <c r="DJ122" s="500"/>
      <c r="DK122" s="500"/>
      <c r="DL122" s="500"/>
      <c r="DM122" s="500"/>
      <c r="DN122" s="500"/>
      <c r="DO122" s="500"/>
      <c r="DP122" s="500"/>
      <c r="DQ122" s="500"/>
      <c r="DR122" s="500"/>
      <c r="DS122" s="500"/>
      <c r="DT122" s="500"/>
      <c r="DU122" s="500"/>
      <c r="DV122" s="500"/>
      <c r="DW122" s="500"/>
      <c r="DX122" s="500"/>
      <c r="DY122" s="500"/>
      <c r="DZ122" s="500"/>
      <c r="EA122" s="500"/>
      <c r="EB122" s="500"/>
      <c r="EC122" s="500"/>
      <c r="ED122" s="500"/>
      <c r="EE122" s="500"/>
      <c r="EF122" s="500"/>
      <c r="EG122" s="500"/>
      <c r="EH122" s="500"/>
      <c r="EI122" s="500"/>
      <c r="EJ122" s="500"/>
      <c r="EK122" s="500"/>
      <c r="EL122" s="500"/>
      <c r="EM122" s="500"/>
      <c r="EN122" s="500"/>
      <c r="EO122" s="500"/>
      <c r="EP122" s="500"/>
      <c r="EQ122" s="500"/>
      <c r="ER122" s="500"/>
      <c r="ES122" s="500"/>
      <c r="ET122" s="500"/>
      <c r="EU122" s="500"/>
      <c r="EV122" s="500"/>
      <c r="EW122" s="500"/>
      <c r="EX122" s="500"/>
      <c r="EY122" s="500"/>
      <c r="EZ122" s="500"/>
      <c r="FA122" s="500"/>
      <c r="FB122" s="500"/>
      <c r="FC122" s="500"/>
      <c r="FD122" s="500"/>
      <c r="FE122" s="500"/>
      <c r="FF122" s="500"/>
      <c r="FG122" s="500"/>
      <c r="FH122" s="500"/>
      <c r="FI122" s="500"/>
      <c r="FJ122" s="500"/>
      <c r="FK122" s="500"/>
      <c r="FL122" s="500"/>
      <c r="FM122" s="500"/>
      <c r="FN122" s="500"/>
      <c r="FO122" s="500"/>
      <c r="FP122" s="500"/>
      <c r="FQ122" s="500"/>
      <c r="FR122" s="500"/>
      <c r="FS122" s="500"/>
      <c r="FT122" s="500"/>
      <c r="FU122" s="500"/>
      <c r="FV122" s="500"/>
      <c r="FW122" s="500"/>
      <c r="GA122" s="1219"/>
      <c r="GB122" s="1219"/>
      <c r="GC122" s="1219"/>
      <c r="GD122" s="1219"/>
    </row>
    <row customHeight="1" ht="13.455">
      <c r="E123" s="797">
        <v>13.8</v>
      </c>
      <c r="Q123" s="1317"/>
      <c r="AA123" s="921"/>
      <c r="AB123" s="1571"/>
      <c r="AC123" s="1571"/>
      <c r="AD123" s="1571"/>
      <c r="AE123" s="1571"/>
      <c r="AF123" s="1571"/>
      <c r="AG123" s="2064"/>
      <c r="AH123" s="2064"/>
      <c r="AI123" s="2064"/>
      <c r="AJ123" s="2064"/>
      <c r="AK123" s="2064"/>
      <c r="AL123" s="2064"/>
      <c r="AM123" s="2064"/>
      <c r="AN123" s="2064"/>
      <c r="AO123" s="2064"/>
      <c r="AP123" s="2064"/>
      <c r="AQ123" s="2064"/>
      <c r="AR123" s="2064"/>
      <c r="AS123" s="2064"/>
      <c r="AT123" s="2064"/>
      <c r="AU123" s="2064"/>
      <c r="AV123" s="2064"/>
      <c r="AW123" s="2064"/>
      <c r="AX123" s="2064"/>
      <c r="AY123" s="2064"/>
      <c r="AZ123" s="2064"/>
      <c r="BA123" s="2064"/>
      <c r="BB123" s="2064"/>
      <c r="BC123" s="2064"/>
      <c r="BD123" s="2064"/>
      <c r="BE123" s="2064"/>
      <c r="BF123" s="2064"/>
      <c r="BG123" s="2064"/>
      <c r="BH123" s="500"/>
      <c r="BI123" s="500"/>
      <c r="BJ123" s="500"/>
      <c r="BK123" s="500"/>
      <c r="BL123" s="500"/>
      <c r="BM123" s="500"/>
      <c r="BN123" s="500"/>
      <c r="BO123" s="500"/>
      <c r="BP123" s="500"/>
      <c r="BQ123" s="500"/>
      <c r="BR123" s="500"/>
      <c r="BS123" s="500"/>
      <c r="BT123" s="500"/>
      <c r="BU123" s="500"/>
      <c r="BV123" s="500"/>
      <c r="BW123" s="500"/>
      <c r="BX123" s="500"/>
      <c r="BY123" s="500"/>
      <c r="BZ123" s="500"/>
      <c r="CA123" s="500"/>
      <c r="CB123" s="500"/>
      <c r="CC123" s="500"/>
      <c r="CD123" s="500"/>
      <c r="CE123" s="500"/>
      <c r="CF123" s="500"/>
      <c r="CG123" s="500"/>
      <c r="CH123" s="500"/>
      <c r="CI123" s="500"/>
      <c r="CJ123" s="500"/>
      <c r="CK123" s="500"/>
      <c r="CL123" s="500"/>
      <c r="CM123" s="500"/>
      <c r="CN123" s="500"/>
      <c r="CO123" s="500"/>
      <c r="CP123" s="500"/>
      <c r="CQ123" s="500"/>
      <c r="CR123" s="500"/>
      <c r="CS123" s="500"/>
      <c r="CT123" s="500"/>
      <c r="CU123" s="500"/>
      <c r="CV123" s="500"/>
      <c r="CW123" s="500"/>
      <c r="CX123" s="500"/>
      <c r="CY123" s="500"/>
      <c r="CZ123" s="500"/>
      <c r="DA123" s="500"/>
      <c r="DB123" s="500"/>
      <c r="DC123" s="500"/>
      <c r="DD123" s="500"/>
      <c r="DE123" s="500"/>
      <c r="DF123" s="500"/>
      <c r="DG123" s="500"/>
      <c r="DH123" s="500"/>
      <c r="DI123" s="500"/>
      <c r="DJ123" s="500"/>
      <c r="DK123" s="500"/>
      <c r="DL123" s="500"/>
      <c r="DM123" s="500"/>
      <c r="DN123" s="500"/>
      <c r="DO123" s="500"/>
      <c r="DP123" s="500"/>
      <c r="DQ123" s="500"/>
      <c r="DR123" s="500"/>
      <c r="DS123" s="500"/>
      <c r="DT123" s="500"/>
      <c r="DU123" s="500"/>
      <c r="DV123" s="500"/>
      <c r="DW123" s="500"/>
      <c r="DX123" s="500"/>
      <c r="DY123" s="500"/>
      <c r="DZ123" s="500"/>
      <c r="EA123" s="500"/>
      <c r="EB123" s="500"/>
      <c r="EC123" s="500"/>
      <c r="ED123" s="500"/>
      <c r="EE123" s="500"/>
      <c r="EF123" s="500"/>
      <c r="EG123" s="500"/>
      <c r="EH123" s="500"/>
      <c r="EI123" s="500"/>
      <c r="EJ123" s="500"/>
      <c r="EK123" s="500"/>
      <c r="EL123" s="500"/>
      <c r="EM123" s="500"/>
      <c r="EN123" s="500"/>
      <c r="EO123" s="500"/>
      <c r="EP123" s="500"/>
      <c r="EQ123" s="500"/>
      <c r="ER123" s="500"/>
      <c r="ES123" s="500"/>
      <c r="ET123" s="500"/>
      <c r="EU123" s="500"/>
      <c r="EV123" s="500"/>
      <c r="EW123" s="500"/>
      <c r="EX123" s="500"/>
      <c r="EY123" s="500"/>
      <c r="EZ123" s="500"/>
      <c r="FA123" s="500"/>
      <c r="FB123" s="500"/>
      <c r="FC123" s="500"/>
      <c r="FD123" s="500"/>
      <c r="FE123" s="500"/>
      <c r="FF123" s="500"/>
      <c r="FG123" s="500"/>
      <c r="FH123" s="500"/>
      <c r="FI123" s="500"/>
      <c r="FJ123" s="500"/>
      <c r="FK123" s="500"/>
      <c r="FL123" s="500"/>
      <c r="FM123" s="500"/>
      <c r="FN123" s="500"/>
      <c r="FO123" s="500"/>
      <c r="FP123" s="500"/>
      <c r="FQ123" s="500"/>
      <c r="FR123" s="500"/>
      <c r="FS123" s="500"/>
      <c r="FT123" s="500"/>
      <c r="FU123" s="500"/>
      <c r="FV123" s="500"/>
      <c r="FW123" s="500"/>
      <c r="GA123" s="1219"/>
      <c r="GB123" s="1219"/>
      <c r="GC123" s="1219"/>
      <c r="GD123" s="1219"/>
    </row>
    <row customHeight="1" ht="13.455" hidden="1">
      <c r="A124" s="1582"/>
      <c r="B124" s="927"/>
      <c r="C124" s="1325"/>
      <c r="D124" s="1294"/>
      <c r="E124" s="797">
        <v>13.8</v>
      </c>
      <c r="F124" s="1582"/>
      <c r="G124" s="500"/>
      <c r="H124" s="500"/>
      <c r="I124" s="500"/>
      <c r="J124" s="1317"/>
      <c r="K124" s="1317"/>
      <c r="L124" s="1317"/>
      <c r="M124" s="1317"/>
      <c r="N124" s="1317"/>
      <c r="O124" s="1317"/>
      <c r="P124" s="1317"/>
      <c r="Q124" s="1317"/>
      <c r="R124" s="928"/>
      <c r="S124" s="500"/>
      <c r="T124" s="808">
        <f>ROW(W124)&gt;ROW(W$124)</f>
        <v>0</v>
      </c>
      <c r="U124" s="1582"/>
      <c r="V124" s="1582"/>
      <c r="W124" s="175" t="s">
        <v>234</v>
      </c>
      <c r="X124" s="1582"/>
      <c r="Y124" s="1582"/>
      <c r="Z124" s="1582"/>
      <c r="AA124" s="917" t="s">
        <v>218</v>
      </c>
      <c r="AB124" s="2064"/>
      <c r="AC124" s="2064"/>
      <c r="AD124" s="2064"/>
      <c r="AE124" s="2064"/>
      <c r="AF124" s="2064"/>
      <c r="AG124" s="2064"/>
      <c r="AH124" s="2064"/>
      <c r="AI124" s="2064"/>
      <c r="AJ124" s="2064"/>
      <c r="AK124" s="2064"/>
      <c r="AL124" s="2064"/>
      <c r="AM124" s="2064"/>
      <c r="AN124" s="2064"/>
      <c r="AO124" s="2064"/>
      <c r="AP124" s="2064"/>
      <c r="AQ124" s="2064"/>
      <c r="AR124" s="2064"/>
      <c r="AS124" s="2064"/>
      <c r="AT124" s="2064"/>
      <c r="AU124" s="2064"/>
      <c r="AV124" s="2064"/>
      <c r="AW124" s="2064"/>
      <c r="AX124" s="2064"/>
      <c r="AY124" s="2064"/>
      <c r="AZ124" s="2064"/>
      <c r="BA124" s="2064"/>
      <c r="BB124" s="2064"/>
      <c r="BC124" s="2064"/>
      <c r="BD124" s="2064"/>
      <c r="BE124" s="2064"/>
      <c r="BF124" s="2064"/>
      <c r="BG124" s="2064"/>
      <c r="BH124" s="500"/>
      <c r="BI124" s="500"/>
      <c r="BJ124" s="500"/>
      <c r="BK124" s="500"/>
      <c r="BL124" s="500"/>
      <c r="BM124" s="500"/>
      <c r="BN124" s="500"/>
      <c r="BO124" s="500"/>
      <c r="BP124" s="500"/>
      <c r="BQ124" s="500"/>
      <c r="BR124" s="500"/>
      <c r="BS124" s="500"/>
      <c r="BT124" s="500"/>
      <c r="BU124" s="500"/>
      <c r="BV124" s="500"/>
      <c r="BW124" s="500"/>
      <c r="BX124" s="500"/>
      <c r="BY124" s="500"/>
      <c r="BZ124" s="500"/>
      <c r="CA124" s="500"/>
      <c r="CB124" s="500"/>
      <c r="CC124" s="500"/>
      <c r="CD124" s="500"/>
      <c r="CE124" s="500"/>
      <c r="CF124" s="500"/>
      <c r="CG124" s="500"/>
      <c r="CH124" s="500"/>
      <c r="CI124" s="500"/>
      <c r="CJ124" s="500"/>
      <c r="CK124" s="500"/>
      <c r="CL124" s="500"/>
      <c r="CM124" s="500"/>
      <c r="CN124" s="500"/>
      <c r="CO124" s="500"/>
      <c r="CP124" s="500"/>
      <c r="CQ124" s="500"/>
      <c r="CR124" s="500"/>
      <c r="CS124" s="500"/>
      <c r="CT124" s="500"/>
      <c r="CU124" s="500"/>
      <c r="CV124" s="500"/>
      <c r="CW124" s="500"/>
      <c r="CX124" s="500"/>
      <c r="CY124" s="500"/>
      <c r="CZ124" s="500"/>
      <c r="DA124" s="500"/>
      <c r="DB124" s="500"/>
      <c r="DC124" s="500"/>
      <c r="DD124" s="500"/>
      <c r="DE124" s="500"/>
      <c r="DF124" s="500"/>
      <c r="DG124" s="500"/>
      <c r="DH124" s="500"/>
      <c r="DI124" s="500"/>
      <c r="DJ124" s="500"/>
      <c r="DK124" s="500"/>
      <c r="DL124" s="500"/>
      <c r="DM124" s="500"/>
      <c r="DN124" s="500"/>
      <c r="DO124" s="500"/>
      <c r="DP124" s="500"/>
      <c r="DQ124" s="500"/>
      <c r="DR124" s="500"/>
      <c r="DS124" s="500"/>
      <c r="DT124" s="500"/>
      <c r="DU124" s="500"/>
      <c r="DV124" s="500"/>
      <c r="DW124" s="500"/>
      <c r="DX124" s="500"/>
      <c r="DY124" s="500"/>
      <c r="DZ124" s="500"/>
      <c r="EA124" s="500"/>
      <c r="EB124" s="500"/>
      <c r="EC124" s="500"/>
      <c r="ED124" s="500"/>
      <c r="EE124" s="500"/>
      <c r="EF124" s="500"/>
      <c r="EG124" s="500"/>
      <c r="EH124" s="500"/>
      <c r="EI124" s="500"/>
      <c r="EJ124" s="500"/>
      <c r="EK124" s="500"/>
      <c r="EL124" s="500"/>
      <c r="EM124" s="500"/>
      <c r="EN124" s="500"/>
      <c r="EO124" s="500"/>
      <c r="EP124" s="500"/>
      <c r="EQ124" s="500"/>
      <c r="ER124" s="500"/>
      <c r="ES124" s="500"/>
      <c r="ET124" s="500"/>
      <c r="EU124" s="500"/>
      <c r="EV124" s="500"/>
      <c r="EW124" s="500"/>
      <c r="EX124" s="500"/>
      <c r="EY124" s="500"/>
      <c r="EZ124" s="500"/>
      <c r="FA124" s="500"/>
      <c r="FB124" s="500"/>
      <c r="FC124" s="500"/>
      <c r="FD124" s="500"/>
      <c r="FE124" s="500"/>
      <c r="FF124" s="500"/>
      <c r="FG124" s="500"/>
      <c r="FH124" s="500"/>
      <c r="FI124" s="500"/>
      <c r="FJ124" s="500"/>
      <c r="FK124" s="500"/>
      <c r="FL124" s="500"/>
      <c r="FM124" s="500"/>
      <c r="FN124" s="500"/>
      <c r="FO124" s="500"/>
      <c r="FP124" s="500"/>
      <c r="FQ124" s="500"/>
      <c r="FR124" s="500"/>
      <c r="FS124" s="500"/>
      <c r="FT124" s="500"/>
      <c r="FU124" s="500"/>
      <c r="FV124" s="500"/>
      <c r="FW124" s="500"/>
      <c r="FX124" s="500"/>
      <c r="FY124" s="500"/>
      <c r="FZ124" s="1219"/>
      <c r="GA124" s="1219"/>
      <c r="GB124" s="1219"/>
      <c r="GC124" s="1219"/>
      <c r="GD124" s="1219"/>
    </row>
    <row customHeight="1" ht="14.625">
      <c r="E125" s="797">
        <v>15</v>
      </c>
      <c r="Q125" s="1317"/>
      <c r="W125" s="171" t="s">
        <v>235</v>
      </c>
      <c r="AB125" s="1478" t="s">
        <v>706</v>
      </c>
      <c r="AC125" s="1479"/>
      <c r="AD125" s="383"/>
      <c r="AE125" s="383"/>
      <c r="AF125" s="383"/>
      <c r="AG125" s="383"/>
      <c r="AH125" s="383"/>
      <c r="AI125" s="383"/>
      <c r="AJ125" s="383"/>
      <c r="AK125" s="383"/>
      <c r="AL125" s="383"/>
      <c r="AM125" s="383"/>
      <c r="AN125" s="383"/>
      <c r="AO125" s="383"/>
      <c r="AP125" s="383"/>
      <c r="AQ125" s="383"/>
      <c r="AR125" s="383"/>
      <c r="AS125" s="383"/>
      <c r="AT125" s="383"/>
      <c r="AU125" s="383"/>
      <c r="AV125" s="383"/>
      <c r="AW125" s="383"/>
      <c r="AX125" s="383"/>
      <c r="AY125" s="383"/>
      <c r="AZ125" s="383"/>
      <c r="BA125" s="383"/>
      <c r="BB125" s="383"/>
      <c r="BC125" s="383"/>
      <c r="BD125" s="383"/>
      <c r="BE125" s="383"/>
      <c r="BF125" s="383"/>
      <c r="BG125" s="350"/>
      <c r="BH125" s="500"/>
      <c r="BI125" s="500"/>
      <c r="BJ125" s="500"/>
      <c r="BK125" s="500"/>
      <c r="BL125" s="500"/>
      <c r="BM125" s="500"/>
      <c r="BN125" s="500"/>
      <c r="BO125" s="500"/>
      <c r="BP125" s="500"/>
      <c r="BQ125" s="500"/>
      <c r="BR125" s="500"/>
      <c r="BS125" s="500"/>
      <c r="BT125" s="500"/>
      <c r="BU125" s="500"/>
      <c r="BV125" s="500"/>
      <c r="BW125" s="500"/>
      <c r="BX125" s="500"/>
      <c r="BY125" s="500"/>
      <c r="BZ125" s="500"/>
      <c r="CA125" s="500"/>
      <c r="CB125" s="500"/>
      <c r="CC125" s="500"/>
      <c r="CD125" s="500"/>
      <c r="CE125" s="500"/>
      <c r="CF125" s="500"/>
      <c r="CG125" s="500"/>
      <c r="CH125" s="500"/>
      <c r="CI125" s="500"/>
      <c r="CJ125" s="500"/>
      <c r="CK125" s="500"/>
      <c r="CL125" s="500"/>
      <c r="CM125" s="500"/>
      <c r="CN125" s="500"/>
      <c r="CO125" s="500"/>
      <c r="CP125" s="500"/>
      <c r="CQ125" s="500"/>
      <c r="CR125" s="500"/>
      <c r="CS125" s="500"/>
      <c r="CT125" s="500"/>
      <c r="CU125" s="500"/>
      <c r="CV125" s="500"/>
      <c r="CW125" s="500"/>
      <c r="CX125" s="500"/>
      <c r="CY125" s="500"/>
      <c r="CZ125" s="500"/>
      <c r="DA125" s="500"/>
      <c r="DB125" s="500"/>
      <c r="DC125" s="500"/>
      <c r="DD125" s="500"/>
      <c r="DE125" s="500"/>
      <c r="DF125" s="500"/>
      <c r="DG125" s="500"/>
      <c r="DH125" s="500"/>
      <c r="DI125" s="500"/>
      <c r="DJ125" s="500"/>
      <c r="DK125" s="500"/>
      <c r="DL125" s="500"/>
      <c r="DM125" s="500"/>
      <c r="DN125" s="500"/>
      <c r="DO125" s="500"/>
      <c r="DP125" s="500"/>
      <c r="DQ125" s="500"/>
      <c r="DR125" s="500"/>
      <c r="DS125" s="500"/>
      <c r="DT125" s="500"/>
      <c r="DU125" s="500"/>
      <c r="DV125" s="500"/>
      <c r="DW125" s="500"/>
      <c r="DX125" s="500"/>
      <c r="DY125" s="500"/>
      <c r="DZ125" s="500"/>
      <c r="EA125" s="500"/>
      <c r="EB125" s="500"/>
      <c r="EC125" s="500"/>
      <c r="ED125" s="500"/>
      <c r="EE125" s="500"/>
      <c r="EF125" s="500"/>
      <c r="EG125" s="500"/>
      <c r="EH125" s="500"/>
      <c r="EI125" s="500"/>
      <c r="EJ125" s="500"/>
      <c r="EK125" s="500"/>
      <c r="EL125" s="500"/>
      <c r="EM125" s="500"/>
      <c r="EN125" s="500"/>
      <c r="EO125" s="500"/>
      <c r="EP125" s="500"/>
      <c r="EQ125" s="500"/>
      <c r="ER125" s="500"/>
      <c r="ES125" s="500"/>
      <c r="ET125" s="500"/>
      <c r="EU125" s="500"/>
      <c r="EV125" s="500"/>
      <c r="EW125" s="500"/>
      <c r="EX125" s="500"/>
      <c r="EY125" s="500"/>
      <c r="EZ125" s="500"/>
      <c r="FA125" s="500"/>
      <c r="FB125" s="500"/>
      <c r="FC125" s="500"/>
      <c r="FD125" s="500"/>
      <c r="FE125" s="500"/>
      <c r="FF125" s="500"/>
      <c r="FG125" s="500"/>
      <c r="FH125" s="500"/>
      <c r="FI125" s="500"/>
      <c r="FJ125" s="500"/>
      <c r="FK125" s="500"/>
      <c r="FL125" s="500"/>
      <c r="FM125" s="500"/>
      <c r="FN125" s="500"/>
      <c r="FO125" s="500"/>
      <c r="FP125" s="500"/>
      <c r="FQ125" s="500"/>
      <c r="FR125" s="500"/>
      <c r="FS125" s="500"/>
      <c r="FT125" s="500"/>
      <c r="FU125" s="500"/>
      <c r="FV125" s="500"/>
      <c r="FW125" s="500"/>
      <c r="GA125" s="1219"/>
      <c r="GB125" s="1219"/>
      <c r="GC125" s="1219"/>
      <c r="GD125" s="1219"/>
    </row>
    <row customHeight="1" ht="11.25">
      <c r="Q126" s="1317"/>
      <c r="AG126" s="500"/>
      <c r="AH126" s="500"/>
      <c r="AI126" s="500"/>
      <c r="AJ126" s="500"/>
      <c r="AK126" s="500"/>
      <c r="AL126" s="500"/>
      <c r="AM126" s="500"/>
      <c r="AN126" s="500"/>
      <c r="AO126" s="500"/>
      <c r="AP126" s="500"/>
      <c r="AQ126" s="500"/>
      <c r="AR126" s="500"/>
      <c r="AS126" s="500"/>
      <c r="AT126" s="500"/>
      <c r="AU126" s="500"/>
      <c r="AV126" s="500"/>
      <c r="AW126" s="500"/>
      <c r="AX126" s="500"/>
      <c r="AY126" s="500"/>
      <c r="AZ126" s="500"/>
      <c r="BA126" s="500"/>
      <c r="BB126" s="500"/>
      <c r="BC126" s="500"/>
      <c r="BD126" s="500"/>
      <c r="BE126" s="500"/>
      <c r="BF126" s="500"/>
      <c r="BG126" s="500"/>
      <c r="BH126" s="500"/>
      <c r="BI126" s="500"/>
      <c r="BJ126" s="500"/>
      <c r="BK126" s="500"/>
      <c r="BL126" s="500"/>
      <c r="BM126" s="500"/>
      <c r="BN126" s="500"/>
      <c r="BO126" s="500"/>
      <c r="BP126" s="500"/>
      <c r="BQ126" s="500"/>
      <c r="BR126" s="500"/>
      <c r="BS126" s="500"/>
      <c r="BT126" s="500"/>
      <c r="BU126" s="500"/>
      <c r="BV126" s="500"/>
      <c r="BW126" s="500"/>
      <c r="BX126" s="500"/>
      <c r="BY126" s="500"/>
      <c r="BZ126" s="500"/>
      <c r="CA126" s="500"/>
      <c r="CB126" s="500"/>
      <c r="CC126" s="500"/>
      <c r="CD126" s="500"/>
      <c r="CE126" s="500"/>
      <c r="CF126" s="500"/>
      <c r="CG126" s="500"/>
      <c r="CH126" s="500"/>
      <c r="CI126" s="500"/>
      <c r="CJ126" s="500"/>
      <c r="CK126" s="500"/>
      <c r="CL126" s="500"/>
      <c r="CM126" s="500"/>
      <c r="CN126" s="500"/>
      <c r="CO126" s="500"/>
      <c r="CP126" s="500"/>
      <c r="CQ126" s="500"/>
      <c r="CR126" s="500"/>
      <c r="CS126" s="500"/>
      <c r="CT126" s="500"/>
      <c r="CU126" s="500"/>
      <c r="CV126" s="500"/>
      <c r="CW126" s="500"/>
      <c r="CX126" s="500"/>
      <c r="CY126" s="500"/>
      <c r="CZ126" s="500"/>
      <c r="DA126" s="500"/>
      <c r="DB126" s="500"/>
      <c r="DC126" s="500"/>
      <c r="DD126" s="500"/>
      <c r="DE126" s="500"/>
      <c r="DF126" s="500"/>
      <c r="DG126" s="500"/>
      <c r="DH126" s="500"/>
      <c r="DI126" s="500"/>
      <c r="DJ126" s="500"/>
      <c r="DK126" s="500"/>
      <c r="DL126" s="500"/>
      <c r="DM126" s="500"/>
      <c r="DN126" s="500"/>
      <c r="DO126" s="500"/>
      <c r="DP126" s="500"/>
      <c r="DQ126" s="500"/>
      <c r="DR126" s="500"/>
      <c r="DS126" s="500"/>
      <c r="DT126" s="500"/>
      <c r="DU126" s="500"/>
      <c r="DV126" s="500"/>
      <c r="DW126" s="500"/>
      <c r="DX126" s="500"/>
      <c r="DY126" s="500"/>
      <c r="DZ126" s="500"/>
      <c r="EA126" s="500"/>
      <c r="EB126" s="500"/>
      <c r="EC126" s="500"/>
      <c r="ED126" s="500"/>
      <c r="EE126" s="500"/>
      <c r="EF126" s="500"/>
      <c r="EG126" s="500"/>
      <c r="EH126" s="500"/>
      <c r="EI126" s="500"/>
      <c r="EJ126" s="500"/>
      <c r="EK126" s="500"/>
      <c r="EL126" s="500"/>
      <c r="EM126" s="500"/>
      <c r="EN126" s="500"/>
      <c r="EO126" s="500"/>
      <c r="EP126" s="500"/>
      <c r="EQ126" s="500"/>
      <c r="ER126" s="500"/>
      <c r="ES126" s="500"/>
      <c r="ET126" s="500"/>
      <c r="EU126" s="500"/>
      <c r="EV126" s="500"/>
      <c r="EW126" s="500"/>
      <c r="EX126" s="500"/>
      <c r="EY126" s="500"/>
      <c r="EZ126" s="500"/>
      <c r="FA126" s="500"/>
      <c r="FB126" s="500"/>
      <c r="FC126" s="500"/>
      <c r="FD126" s="500"/>
      <c r="FE126" s="500"/>
      <c r="FF126" s="500"/>
      <c r="FG126" s="500"/>
      <c r="FH126" s="500"/>
      <c r="FI126" s="500"/>
      <c r="FJ126" s="500"/>
      <c r="FK126" s="500"/>
      <c r="FL126" s="500"/>
      <c r="FM126" s="500"/>
      <c r="FN126" s="500"/>
      <c r="FO126" s="500"/>
      <c r="FP126" s="500"/>
      <c r="FQ126" s="500"/>
      <c r="FR126" s="500"/>
      <c r="FS126" s="500"/>
      <c r="FT126" s="500"/>
      <c r="FU126" s="500"/>
      <c r="FV126" s="500"/>
      <c r="FW126" s="500"/>
      <c r="FX126" s="213"/>
      <c r="GA126" s="1219"/>
      <c r="GB126" s="1219"/>
      <c r="GC126" s="1219"/>
      <c r="GD126" s="1219"/>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D07F4C-4E48-DC58-7B58-DD43EDF66E6C}"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7" style="500" width="3.7109375" hidden="1" customWidth="1"/>
    <col min="8" max="8" style="1582" width="5.57421875" hidden="1" customWidth="1"/>
    <col min="9" max="14" style="1582" width="3.57421875" hidden="1" customWidth="1"/>
    <col min="15" max="15" style="1582" width="4.421875" hidden="1" customWidth="1"/>
    <col min="16" max="16" style="1582" width="9.28125" hidden="1" customWidth="1"/>
    <col min="17" max="18" style="922" width="3.57421875" hidden="1" customWidth="1"/>
    <col min="19" max="19" style="1582" width="3.57421875" hidden="1" customWidth="1"/>
    <col min="20" max="20" style="1582" width="7.8515625" hidden="1" customWidth="1"/>
    <col min="21" max="21" style="1582" width="6.00390625" hidden="1" customWidth="1"/>
    <col min="22" max="23" style="1582" width="6.28125" hidden="1" customWidth="1"/>
    <col min="24" max="25" style="1582" width="5.7109375" hidden="1" customWidth="1"/>
    <col min="26" max="26" style="1582" width="5.421875" hidden="1" customWidth="1"/>
    <col min="27" max="27" style="500" width="3.00390625" customWidth="1"/>
    <col min="28" max="28" style="332" width="14.75390625" customWidth="1"/>
    <col min="29" max="31" style="500" width="20.50390625" customWidth="1"/>
    <col min="32" max="34" style="500" width="24.00390625" customWidth="1"/>
    <col min="35" max="35" style="500" width="24.57421875" customWidth="1"/>
    <col min="36" max="36" style="500" width="20.50390625" customWidth="1"/>
    <col min="37" max="37" style="531" width="21.140625" hidden="1" customWidth="1"/>
    <col min="38" max="38" style="500" width="3.00390625" customWidth="1"/>
    <col min="39" max="39" style="500" width="9.140625" hidden="1"/>
    <col min="40" max="40" style="1217" width="9.140625" hidden="1"/>
  </cols>
  <sheetData>
    <row s="1582" customFormat="1" customHeight="1" ht="12" hidden="1">
      <c r="B1" s="788"/>
      <c r="E1" s="788"/>
      <c r="F1" s="819" t="s">
        <v>83</v>
      </c>
      <c r="G1" s="213"/>
      <c r="Q1" s="922"/>
      <c r="R1" s="922"/>
      <c r="T1" s="808" t="s">
        <v>86</v>
      </c>
      <c r="U1" s="808" t="s">
        <v>91</v>
      </c>
      <c r="V1" s="808" t="s">
        <v>87</v>
      </c>
      <c r="W1" s="808" t="s">
        <v>88</v>
      </c>
      <c r="X1" s="808" t="s">
        <v>89</v>
      </c>
      <c r="Y1" s="819" t="s">
        <v>372</v>
      </c>
      <c r="Z1" s="808" t="s">
        <v>93</v>
      </c>
      <c r="AA1" s="819" t="s">
        <v>90</v>
      </c>
      <c r="AB1" s="819" t="s">
        <v>92</v>
      </c>
      <c r="AK1" s="953"/>
      <c r="AN1" s="1162" t="s">
        <v>437</v>
      </c>
    </row>
    <row s="927" customFormat="1" customHeight="1" ht="12" hidden="1">
      <c r="B2" s="910" t="s">
        <v>15</v>
      </c>
      <c r="G2" s="930"/>
      <c r="AB2" s="792"/>
      <c r="AK2" s="939"/>
      <c r="AN2" s="1154"/>
    </row>
    <row s="1582" customFormat="1" customHeight="1" ht="12" hidden="1">
      <c r="B3" s="788"/>
      <c r="E3" s="788"/>
      <c r="G3" s="213"/>
      <c r="Q3" s="922"/>
      <c r="R3" s="922"/>
      <c r="AB3" s="171"/>
      <c r="AK3" s="953"/>
      <c r="AN3" s="1162"/>
    </row>
    <row s="1582" customFormat="1" customHeight="1" ht="12" hidden="1">
      <c r="B4" s="788"/>
      <c r="E4" s="788"/>
      <c r="G4" s="213"/>
      <c r="Q4" s="922"/>
      <c r="R4" s="922"/>
      <c r="AB4" s="171"/>
      <c r="AK4" s="953"/>
      <c r="AN4" s="1162"/>
    </row>
    <row s="925" customFormat="1" customHeight="1" ht="12" hidden="1">
      <c r="A5" s="788"/>
      <c r="B5" s="788"/>
      <c r="C5" s="788"/>
      <c r="D5" s="788"/>
      <c r="E5" s="797" t="s">
        <v>16</v>
      </c>
      <c r="G5" s="931"/>
      <c r="AA5" s="797">
        <v>3</v>
      </c>
      <c r="AB5" s="803">
        <v>14.75</v>
      </c>
      <c r="AC5" s="797">
        <v>20.5</v>
      </c>
      <c r="AD5" s="797">
        <v>20.5</v>
      </c>
      <c r="AE5" s="797">
        <v>20.5</v>
      </c>
      <c r="AF5" s="797">
        <v>24</v>
      </c>
      <c r="AG5" s="797">
        <v>24</v>
      </c>
      <c r="AH5" s="797">
        <v>24</v>
      </c>
      <c r="AJ5" s="797">
        <v>20.5</v>
      </c>
      <c r="AK5" s="940">
        <v>0</v>
      </c>
      <c r="AL5" s="797">
        <v>3</v>
      </c>
      <c r="AN5" s="1154"/>
    </row>
    <row s="1582" customFormat="1" customHeight="1" ht="12" hidden="1">
      <c r="B6" s="788"/>
      <c r="E6" s="797"/>
      <c r="G6" s="213"/>
      <c r="Q6" s="922"/>
      <c r="R6" s="922"/>
      <c r="AB6" s="171"/>
      <c r="AC6" s="175" t="s">
        <v>1207</v>
      </c>
      <c r="AD6" s="175" t="s">
        <v>2180</v>
      </c>
      <c r="AE6" s="175" t="s">
        <v>444</v>
      </c>
      <c r="AK6" s="953"/>
      <c r="AN6" s="1162"/>
    </row>
    <row customHeight="1" ht="12" hidden="1">
      <c r="F7" s="213"/>
      <c r="H7" s="213"/>
      <c r="I7" s="213"/>
      <c r="J7" s="213"/>
      <c r="K7" s="213"/>
      <c r="L7" s="213"/>
      <c r="M7" s="213"/>
      <c r="N7" s="213"/>
      <c r="O7" s="213"/>
      <c r="P7" s="213"/>
      <c r="Q7" s="739"/>
      <c r="R7" s="739"/>
      <c r="S7" s="213"/>
      <c r="T7" s="213"/>
      <c r="U7" s="213"/>
      <c r="V7" s="213"/>
      <c r="W7" s="213"/>
      <c r="X7" s="213"/>
      <c r="Y7" s="213"/>
      <c r="Z7" s="213"/>
      <c r="AB7" s="215"/>
    </row>
    <row customHeight="1" ht="12" hidden="1">
      <c r="F8" s="213"/>
      <c r="H8" s="213"/>
      <c r="I8" s="213"/>
      <c r="J8" s="213"/>
      <c r="K8" s="213"/>
      <c r="L8" s="213"/>
      <c r="M8" s="213"/>
      <c r="N8" s="213"/>
      <c r="O8" s="213"/>
      <c r="P8" s="213"/>
      <c r="Q8" s="739"/>
      <c r="R8" s="739"/>
      <c r="S8" s="213"/>
      <c r="T8" s="213"/>
      <c r="U8" s="213"/>
      <c r="V8" s="213"/>
      <c r="W8" s="213"/>
      <c r="X8" s="213"/>
      <c r="Y8" s="213"/>
      <c r="Z8" s="213"/>
      <c r="AB8" s="215"/>
    </row>
    <row s="1217" customFormat="1" customHeight="1" ht="12" hidden="1">
      <c r="A9" s="1161" t="s">
        <v>373</v>
      </c>
      <c r="B9" s="1154"/>
      <c r="E9" s="1154"/>
      <c r="Q9" s="1163"/>
      <c r="R9" s="1163"/>
      <c r="AC9" s="1162" t="s">
        <v>2181</v>
      </c>
      <c r="AD9" s="1162" t="s">
        <v>2182</v>
      </c>
      <c r="AE9" s="1162" t="s">
        <v>2183</v>
      </c>
      <c r="AF9" s="1162" t="s">
        <v>2184</v>
      </c>
      <c r="AG9" s="1162" t="s">
        <v>2185</v>
      </c>
      <c r="AH9" s="1162" t="s">
        <v>2186</v>
      </c>
      <c r="AI9" s="1162" t="s">
        <v>2187</v>
      </c>
      <c r="AJ9" s="1162" t="s">
        <v>2188</v>
      </c>
      <c r="AK9" s="1251"/>
    </row>
    <row s="1582" customFormat="1" customHeight="1" ht="12" hidden="1">
      <c r="B10" s="788"/>
      <c r="E10" s="797"/>
      <c r="G10" s="213"/>
      <c r="Q10" s="922"/>
      <c r="R10" s="922"/>
      <c r="AB10" s="171"/>
      <c r="AK10" s="953"/>
      <c r="AN10" s="1162"/>
    </row>
    <row s="1582" customFormat="1" customHeight="1" ht="12" hidden="1">
      <c r="B11" s="788"/>
      <c r="E11" s="797"/>
      <c r="G11" s="213"/>
      <c r="Q11" s="922"/>
      <c r="R11" s="922"/>
      <c r="AB11" s="171"/>
      <c r="AK11" s="953" t="s">
        <v>201</v>
      </c>
      <c r="AN11" s="1162"/>
    </row>
    <row s="1582" customFormat="1" customHeight="1" ht="12" hidden="1">
      <c r="B12" s="788"/>
      <c r="E12" s="797"/>
      <c r="G12" s="213"/>
      <c r="Q12" s="922"/>
      <c r="R12" s="922"/>
      <c r="AB12" s="171"/>
      <c r="AK12" s="953"/>
      <c r="AN12" s="1162"/>
    </row>
    <row s="1582" customFormat="1" customHeight="1" ht="12" hidden="1">
      <c r="B13" s="788"/>
      <c r="E13" s="797"/>
      <c r="G13" s="213"/>
      <c r="Q13" s="922"/>
      <c r="R13" s="922"/>
      <c r="AB13" s="171"/>
      <c r="AK13" s="953"/>
      <c r="AN13" s="1162"/>
    </row>
    <row s="1582" customFormat="1" customHeight="1" ht="12" hidden="1">
      <c r="B14" s="788"/>
      <c r="E14" s="797"/>
      <c r="G14" s="213"/>
      <c r="Q14" s="922"/>
      <c r="R14" s="922"/>
      <c r="AB14" s="171"/>
      <c r="AK14" s="953"/>
      <c r="AN14" s="1162"/>
    </row>
    <row s="1582" customFormat="1" customHeight="1" ht="12" hidden="1">
      <c r="B15" s="788"/>
      <c r="E15" s="797"/>
      <c r="G15" s="213"/>
      <c r="Q15" s="922"/>
      <c r="R15" s="922"/>
      <c r="AB15" s="171"/>
      <c r="AK15" s="953"/>
      <c r="AN15" s="1162"/>
    </row>
    <row s="1582" customFormat="1" customHeight="1" ht="12" hidden="1">
      <c r="B16" s="788"/>
      <c r="E16" s="797"/>
      <c r="G16" s="213"/>
      <c r="Q16" s="922"/>
      <c r="R16" s="922"/>
      <c r="AB16" s="171"/>
      <c r="AK16" s="953"/>
      <c r="AN16" s="1162"/>
    </row>
    <row s="1582" customFormat="1" customHeight="1" ht="12" hidden="1">
      <c r="B17" s="788"/>
      <c r="E17" s="797"/>
      <c r="G17" s="213"/>
      <c r="Q17" s="922"/>
      <c r="R17" s="922"/>
      <c r="AB17" s="171"/>
      <c r="AK17" s="953"/>
      <c r="AN17" s="1162"/>
    </row>
    <row s="1582" customFormat="1" customHeight="1" ht="12" hidden="1">
      <c r="B18" s="788"/>
      <c r="E18" s="797"/>
      <c r="G18" s="213"/>
      <c r="Q18" s="922"/>
      <c r="R18" s="922"/>
      <c r="AB18" s="171"/>
      <c r="AK18" s="953"/>
      <c r="AN18" s="1162"/>
    </row>
    <row s="1582" customFormat="1" customHeight="1" ht="12" hidden="1">
      <c r="B19" s="788"/>
      <c r="E19" s="797"/>
      <c r="G19" s="213"/>
      <c r="Q19" s="922"/>
      <c r="R19" s="922"/>
      <c r="AB19" s="171"/>
      <c r="AK19" s="953"/>
      <c r="AN19" s="1162"/>
    </row>
    <row s="1582" customFormat="1" customHeight="1" ht="12" hidden="1">
      <c r="B20" s="788"/>
      <c r="E20" s="797"/>
      <c r="G20" s="213"/>
      <c r="Q20" s="922"/>
      <c r="R20" s="922"/>
      <c r="AB20" s="171"/>
      <c r="AK20" s="953"/>
      <c r="AN20" s="1162"/>
    </row>
    <row customHeight="1" ht="14.625">
      <c r="E21" s="797">
        <v>15</v>
      </c>
      <c r="AA21" s="820"/>
      <c r="AB21" s="941" cm="1" t="str">
        <f t="array" ref="AB21:AB21">tpl_title</f>
        <v>Кемеровская область / 2026 / ООО "ВЕЛЕС" (ИНН:4212036655, КПП:421201001) / ДПР: 2016-2025</v>
      </c>
    </row>
    <row s="965" customFormat="1" customHeight="1" ht="23.400000000000002">
      <c r="A22" s="159"/>
      <c r="B22" s="788"/>
      <c r="C22" s="179"/>
      <c r="D22" s="179"/>
      <c r="E22" s="797">
        <v>24</v>
      </c>
      <c r="F22" s="179"/>
      <c r="H22" s="179"/>
      <c r="I22" s="179"/>
      <c r="J22" s="179"/>
      <c r="K22" s="179"/>
      <c r="L22" s="179"/>
      <c r="M22" s="179"/>
      <c r="N22" s="179"/>
      <c r="O22" s="179"/>
      <c r="P22" s="179"/>
      <c r="Q22" s="922"/>
      <c r="R22" s="922"/>
      <c r="S22" s="179"/>
      <c r="T22" s="179"/>
      <c r="U22" s="179"/>
      <c r="V22" s="179"/>
      <c r="W22" s="179"/>
      <c r="X22" s="179"/>
      <c r="Y22" s="179"/>
      <c r="Z22" s="179"/>
      <c r="AB22" s="392" t="s">
        <v>79</v>
      </c>
      <c r="AC22" s="275"/>
      <c r="AD22" s="275"/>
      <c r="AE22" s="275"/>
      <c r="AF22" s="275"/>
      <c r="AG22" s="275"/>
      <c r="AH22" s="275"/>
      <c r="AI22" s="275"/>
      <c r="AJ22" s="275"/>
      <c r="AK22" s="532"/>
      <c r="AN22" s="1172"/>
    </row>
    <row customHeight="1" ht="11.115">
      <c r="E23" s="797">
        <v>11.4</v>
      </c>
      <c r="AB23" s="215"/>
      <c r="AC23" s="215"/>
    </row>
    <row customHeight="1" ht="20.25" hidden="1">
      <c r="E24" s="797">
        <v>0</v>
      </c>
      <c r="AB24" s="1567"/>
      <c r="AC24" s="1567"/>
      <c r="AD24" s="1567"/>
      <c r="AE24" s="1567"/>
      <c r="AF24" s="215"/>
      <c r="AG24" s="215"/>
      <c r="AH24" s="215"/>
      <c r="AI24" s="215"/>
      <c r="AJ24" s="215"/>
      <c r="AK24" s="533"/>
    </row>
    <row customHeight="1" ht="11.115">
      <c r="E25" s="797">
        <v>11.4</v>
      </c>
      <c r="AB25" s="215"/>
      <c r="AC25" s="215"/>
    </row>
    <row s="215" customFormat="1" customHeight="1" ht="21.9375">
      <c r="A26" s="171"/>
      <c r="B26" s="792"/>
      <c r="C26" s="171"/>
      <c r="D26" s="171"/>
      <c r="E26" s="803">
        <v>22.5</v>
      </c>
      <c r="F26" s="171"/>
      <c r="H26" s="171"/>
      <c r="I26" s="171"/>
      <c r="J26" s="171"/>
      <c r="K26" s="171"/>
      <c r="L26" s="171"/>
      <c r="M26" s="171"/>
      <c r="N26" s="171"/>
      <c r="O26" s="171"/>
      <c r="P26" s="171"/>
      <c r="Q26" s="954"/>
      <c r="R26" s="954"/>
      <c r="S26" s="171"/>
      <c r="T26" s="171"/>
      <c r="U26" s="171"/>
      <c r="V26" s="171"/>
      <c r="W26" s="171"/>
      <c r="X26" s="171"/>
      <c r="Y26" s="171"/>
      <c r="Z26" s="171"/>
      <c r="AB26" s="1475" t="s">
        <v>119</v>
      </c>
      <c r="AC26" s="1467" t="s">
        <v>2189</v>
      </c>
      <c r="AD26" s="1467" t="s">
        <v>2190</v>
      </c>
      <c r="AE26" s="1467" t="s">
        <v>2191</v>
      </c>
      <c r="AF26" s="1575" t="s">
        <v>2192</v>
      </c>
      <c r="AG26" s="1576"/>
      <c r="AH26" s="1576"/>
      <c r="AI26" s="1577"/>
      <c r="AJ26" s="1467" t="s">
        <v>2193</v>
      </c>
      <c r="AK26" s="682"/>
      <c r="AN26" s="1162"/>
    </row>
    <row s="215" customFormat="1" customHeight="1" ht="81.2175">
      <c r="A27" s="171"/>
      <c r="B27" s="792"/>
      <c r="C27" s="171"/>
      <c r="D27" s="171"/>
      <c r="E27" s="803">
        <v>83.3</v>
      </c>
      <c r="F27" s="171"/>
      <c r="H27" s="171"/>
      <c r="I27" s="171"/>
      <c r="J27" s="171"/>
      <c r="K27" s="171"/>
      <c r="L27" s="171"/>
      <c r="M27" s="171"/>
      <c r="N27" s="171"/>
      <c r="O27" s="171"/>
      <c r="P27" s="171"/>
      <c r="Q27" s="954"/>
      <c r="R27" s="954"/>
      <c r="S27" s="171"/>
      <c r="T27" s="171"/>
      <c r="U27" s="171"/>
      <c r="V27" s="171"/>
      <c r="W27" s="171"/>
      <c r="X27" s="171"/>
      <c r="Y27" s="171"/>
      <c r="Z27" s="171"/>
      <c r="AB27" s="1475"/>
      <c r="AC27" s="1467"/>
      <c r="AD27" s="1467"/>
      <c r="AE27" s="1467"/>
      <c r="AF27" s="561" t="s">
        <v>2194</v>
      </c>
      <c r="AG27" s="561" t="s">
        <v>2195</v>
      </c>
      <c r="AH27" s="561" t="s">
        <v>2196</v>
      </c>
      <c r="AI27" s="561" t="s">
        <v>2197</v>
      </c>
      <c r="AJ27" s="1467"/>
      <c r="AK27" s="681"/>
      <c r="AN27" s="1162"/>
    </row>
    <row s="215" customFormat="1" customHeight="1" ht="19.5" hidden="1">
      <c r="A28" s="171"/>
      <c r="B28" s="792"/>
      <c r="C28" s="171"/>
      <c r="D28" s="171"/>
      <c r="E28" s="803">
        <v>0</v>
      </c>
      <c r="F28" s="171"/>
      <c r="H28" s="171"/>
      <c r="I28" s="171"/>
      <c r="J28" s="171"/>
      <c r="K28" s="171"/>
      <c r="L28" s="171"/>
      <c r="M28" s="171"/>
      <c r="N28" s="171"/>
      <c r="O28" s="171"/>
      <c r="P28" s="171"/>
      <c r="Q28" s="954"/>
      <c r="R28" s="954"/>
      <c r="S28" s="171"/>
      <c r="T28" s="171"/>
      <c r="U28" s="171"/>
      <c r="V28" s="171"/>
      <c r="W28" s="171"/>
      <c r="X28" s="171"/>
      <c r="Y28" s="171"/>
      <c r="Z28" s="171"/>
      <c r="AB28" s="716"/>
      <c r="AC28" s="520"/>
      <c r="AD28" s="520"/>
      <c r="AE28" s="520"/>
      <c r="AF28" s="620"/>
      <c r="AG28" s="620"/>
      <c r="AH28" s="620"/>
      <c r="AI28" s="620"/>
      <c r="AJ28" s="520"/>
      <c r="AK28" s="681"/>
      <c r="AN28" s="1162"/>
    </row>
    <row s="220" customFormat="1" customHeight="1" ht="16.672500000000003" hidden="1">
      <c r="E29" s="797">
        <v>17.1</v>
      </c>
      <c r="F29" s="922" cm="1" t="str">
        <f t="array" ref="F29:F29">X29</f>
        <v>0</v>
      </c>
      <c r="T29" s="808">
        <f>X29&gt;0</f>
        <v>0</v>
      </c>
      <c r="V29" s="175" t="s">
        <v>310</v>
      </c>
      <c r="X29" s="175">
        <v>0</v>
      </c>
      <c r="AB29" s="320" cm="1" t="str">
        <f t="array" ref="AB29:AB29">INDEX('Общие сведения'!$AG$169:$AG$202,MATCH($F29,'Общие сведения'!$Z$169:$Z$202,0))</f>
        <v>Тариф 0 (Теплоснабжение) - </v>
      </c>
      <c r="AC29" s="321"/>
      <c r="AD29" s="321"/>
      <c r="AE29" s="321"/>
      <c r="AF29" s="321"/>
      <c r="AG29" s="321"/>
      <c r="AH29" s="321"/>
      <c r="AI29" s="321"/>
      <c r="AJ29" s="321"/>
      <c r="AK29" s="534"/>
      <c r="AN29" s="1157"/>
    </row>
    <row s="230" customFormat="1" customHeight="1" ht="16.672500000000003" hidden="1">
      <c r="B30" s="955">
        <f>H30&lt;first_year+PERIOD_LENGTH</f>
        <v>1</v>
      </c>
      <c r="E30" s="797">
        <v>17.1</v>
      </c>
      <c r="F30" s="947" cm="1" t="str">
        <f t="array" ref="F30:F30">F29</f>
        <v>0</v>
      </c>
      <c r="G30" s="193" t="s">
        <v>1294</v>
      </c>
      <c r="H30" s="228" cm="1" t="str">
        <f t="array" ref="H30:H30">first_year</f>
        <v>2016</v>
      </c>
      <c r="T30" s="808" cm="1" t="str">
        <f t="array" ref="T30:T30">T29</f>
        <v>false</v>
      </c>
      <c r="AB30" s="333" t="str">
        <f>H30&amp;" год"</f>
        <v>2016 год</v>
      </c>
      <c r="AC30" s="150" t="str">
        <f>IF(god=first_year,_xlfn.SUMIFS('Калькуляция (5.9)'!AT$26:AT$137,'Калькуляция (5.9)'!$F$26:$F$137,$F30,'Калькуляция (5.9)'!$G$26:$G$137,$G30),"")</f>
        <v/>
      </c>
      <c r="AD30" s="72"/>
      <c r="AE30" s="151"/>
      <c r="AF30" s="150"/>
      <c r="AG30" s="150"/>
      <c r="AH30" s="151"/>
      <c r="AI30" s="150"/>
      <c r="AJ30" s="150"/>
      <c r="AK30" s="152"/>
      <c r="AN30" s="1234" cm="1" t="str">
        <f t="array" ref="AN30:AN30">H30</f>
        <v>2016</v>
      </c>
    </row>
    <row s="230" customFormat="1" customHeight="1" ht="16.672500000000003" hidden="1">
      <c r="B31" s="955">
        <f>H31&lt;first_year+PERIOD_LENGTH</f>
        <v>1</v>
      </c>
      <c r="E31" s="797">
        <v>17.1</v>
      </c>
      <c r="F31" s="947" cm="1" t="str">
        <f t="array" ref="F31:F31">F30</f>
        <v>0</v>
      </c>
      <c r="H31" s="228">
        <f>first_year+1</f>
        <v>2017</v>
      </c>
      <c r="T31" s="808" cm="1" t="str">
        <f t="array" ref="T31:T31">T30</f>
        <v>false</v>
      </c>
      <c r="AB31" s="333" t="str">
        <f>H31&amp;" год"</f>
        <v>2017 год</v>
      </c>
      <c r="AC31" s="150"/>
      <c r="AD31" s="72">
        <f>_xlfn.IFERROR(_xlfn.SUMIFS(INDEX('Операционные (5.2)'!$AT$26:$BC$45,,MATCH($H31,'Операционные (5.2)'!$AT$6:$BC$6,0)),'Операционные (5.2)'!$F$26:$F$45,$F31,'Операционные (5.2)'!$G$26:$G$45,"ИОР"),0)</f>
        <v>0</v>
      </c>
      <c r="AE31" s="151"/>
      <c r="AF31" s="150"/>
      <c r="AG31" s="150"/>
      <c r="AH31" s="151"/>
      <c r="AI31" s="150"/>
      <c r="AJ31" s="150"/>
      <c r="AK31" s="152"/>
      <c r="AN31" s="1234" cm="1" t="str">
        <f t="array" ref="AN31:AN31">H31</f>
        <v>2017</v>
      </c>
    </row>
    <row s="230" customFormat="1" customHeight="1" ht="16.672500000000003" hidden="1">
      <c r="B32" s="955">
        <f>H32&lt;first_year+PERIOD_LENGTH</f>
        <v>1</v>
      </c>
      <c r="E32" s="797">
        <v>17.1</v>
      </c>
      <c r="F32" s="947" cm="1" t="str">
        <f t="array" ref="F32:F32">F31</f>
        <v>0</v>
      </c>
      <c r="H32" s="228">
        <f>first_year+2</f>
        <v>2018</v>
      </c>
      <c r="T32" s="808" cm="1" t="str">
        <f t="array" ref="T32:T32">T31</f>
        <v>false</v>
      </c>
      <c r="AB32" s="333" t="str">
        <f>H32&amp;" год"</f>
        <v>2018 год</v>
      </c>
      <c r="AC32" s="150"/>
      <c r="AD32" s="72">
        <f>_xlfn.IFERROR(_xlfn.SUMIFS(INDEX('Операционные (5.2)'!$AT$26:$BC$45,,MATCH($H32,'Операционные (5.2)'!$AT$6:$BC$6,0)),'Операционные (5.2)'!$F$26:$F$45,$F32,'Операционные (5.2)'!$G$26:$G$45,"ИОР"),0)</f>
        <v>0</v>
      </c>
      <c r="AE32" s="151"/>
      <c r="AF32" s="150"/>
      <c r="AG32" s="150"/>
      <c r="AH32" s="151"/>
      <c r="AI32" s="150"/>
      <c r="AJ32" s="150"/>
      <c r="AK32" s="152"/>
      <c r="AN32" s="1234" cm="1" t="str">
        <f t="array" ref="AN32:AN32">H32</f>
        <v>2018</v>
      </c>
    </row>
    <row s="230" customFormat="1" customHeight="1" ht="16.672500000000003" hidden="1">
      <c r="B33" s="955">
        <f>H33&lt;first_year+PERIOD_LENGTH</f>
        <v>1</v>
      </c>
      <c r="E33" s="797">
        <v>17.1</v>
      </c>
      <c r="F33" s="947" cm="1" t="str">
        <f t="array" ref="F33:F33">F32</f>
        <v>0</v>
      </c>
      <c r="H33" s="228">
        <f>first_year+3</f>
        <v>2019</v>
      </c>
      <c r="T33" s="808" cm="1" t="str">
        <f t="array" ref="T33:T33">T32</f>
        <v>false</v>
      </c>
      <c r="AB33" s="333" t="str">
        <f>H33&amp;" год"</f>
        <v>2019 год</v>
      </c>
      <c r="AC33" s="150"/>
      <c r="AD33" s="72">
        <f>_xlfn.IFERROR(_xlfn.SUMIFS(INDEX('Операционные (5.2)'!$AT$26:$BC$45,,MATCH($H33,'Операционные (5.2)'!$AT$6:$BC$6,0)),'Операционные (5.2)'!$F$26:$F$45,$F33,'Операционные (5.2)'!$G$26:$G$45,"ИОР"),0)</f>
        <v>0</v>
      </c>
      <c r="AE33" s="151"/>
      <c r="AF33" s="150"/>
      <c r="AG33" s="150"/>
      <c r="AH33" s="151"/>
      <c r="AI33" s="150"/>
      <c r="AJ33" s="150"/>
      <c r="AK33" s="152"/>
      <c r="AN33" s="1234" cm="1" t="str">
        <f t="array" ref="AN33:AN33">H33</f>
        <v>2019</v>
      </c>
    </row>
    <row s="230" customFormat="1" customHeight="1" ht="16.672500000000003" hidden="1">
      <c r="B34" s="955">
        <f>H34&lt;first_year+PERIOD_LENGTH</f>
        <v>1</v>
      </c>
      <c r="E34" s="797">
        <v>17.1</v>
      </c>
      <c r="F34" s="947" cm="1" t="str">
        <f t="array" ref="F34:F34">F33</f>
        <v>0</v>
      </c>
      <c r="H34" s="228">
        <f>first_year+4</f>
        <v>2020</v>
      </c>
      <c r="T34" s="808" cm="1" t="str">
        <f t="array" ref="T34:T34">T33</f>
        <v>false</v>
      </c>
      <c r="AB34" s="333" t="str">
        <f>H34&amp;" год"</f>
        <v>2020 год</v>
      </c>
      <c r="AC34" s="150"/>
      <c r="AD34" s="72">
        <f>_xlfn.IFERROR(_xlfn.SUMIFS(INDEX('Операционные (5.2)'!$AT$26:$BC$45,,MATCH($H34,'Операционные (5.2)'!$AT$6:$BC$6,0)),'Операционные (5.2)'!$F$26:$F$45,$F34,'Операционные (5.2)'!$G$26:$G$45,"ИОР"),0)</f>
        <v>0</v>
      </c>
      <c r="AE34" s="151"/>
      <c r="AF34" s="150"/>
      <c r="AG34" s="150"/>
      <c r="AH34" s="151"/>
      <c r="AI34" s="150"/>
      <c r="AJ34" s="150"/>
      <c r="AK34" s="152"/>
      <c r="AN34" s="1234" cm="1" t="str">
        <f t="array" ref="AN34:AN34">H34</f>
        <v>2020</v>
      </c>
    </row>
    <row s="230" customFormat="1" customHeight="1" ht="16.672500000000003" hidden="1">
      <c r="B35" s="955">
        <f>H35&lt;first_year+PERIOD_LENGTH</f>
        <v>1</v>
      </c>
      <c r="E35" s="797">
        <v>17.1</v>
      </c>
      <c r="F35" s="947" cm="1" t="str">
        <f t="array" ref="F35:F35">F34</f>
        <v>0</v>
      </c>
      <c r="H35" s="228">
        <f>first_year+5</f>
        <v>2021</v>
      </c>
      <c r="T35" s="808" cm="1" t="str">
        <f t="array" ref="T35:T35">T34</f>
        <v>false</v>
      </c>
      <c r="AB35" s="333" t="str">
        <f>H35&amp;" год"</f>
        <v>2021 год</v>
      </c>
      <c r="AC35" s="150"/>
      <c r="AD35" s="72">
        <f>_xlfn.IFERROR(_xlfn.SUMIFS(INDEX('Операционные (5.2)'!$AT$26:$BC$45,,MATCH($H35,'Операционные (5.2)'!$AT$6:$BC$6,0)),'Операционные (5.2)'!$F$26:$F$45,$F35,'Операционные (5.2)'!$G$26:$G$45,"ИОР"),0)</f>
        <v>0</v>
      </c>
      <c r="AE35" s="151"/>
      <c r="AF35" s="150"/>
      <c r="AG35" s="150"/>
      <c r="AH35" s="151"/>
      <c r="AI35" s="150"/>
      <c r="AJ35" s="150"/>
      <c r="AK35" s="152">
        <f>_xlfn.IFERROR(_xlfn.SUMIFS(INDEX('Баланс Пр'!$AE$26:$BB$164,,MATCH($H35&amp;"Принято органом регулирования",'Баланс Пр'!$AE$8:$BB$8,0)),'Баланс Пр'!$Q$26:$Q$164,$F35,'Баланс Пр'!$AC$26:$AC$164,"Уровень потерь воды"),0)</f>
        <v>0</v>
      </c>
      <c r="AN35" s="1234" cm="1" t="str">
        <f t="array" ref="AN35:AN35">H35</f>
        <v>2021</v>
      </c>
    </row>
    <row s="230" customFormat="1" customHeight="1" ht="16.672500000000003" hidden="1">
      <c r="B36" s="955">
        <f>H36&lt;first_year+PERIOD_LENGTH</f>
        <v>1</v>
      </c>
      <c r="E36" s="797">
        <v>17.1</v>
      </c>
      <c r="F36" s="947" cm="1" t="str">
        <f t="array" ref="F36:F36">F35</f>
        <v>0</v>
      </c>
      <c r="H36" s="228">
        <f>first_year+6</f>
        <v>2022</v>
      </c>
      <c r="T36" s="808" cm="1" t="str">
        <f t="array" ref="T36:T36">T35</f>
        <v>false</v>
      </c>
      <c r="AB36" s="333" t="str">
        <f>H36&amp;" год"</f>
        <v>2022 год</v>
      </c>
      <c r="AC36" s="150"/>
      <c r="AD36" s="72">
        <f>_xlfn.IFERROR(_xlfn.SUMIFS(INDEX('Операционные (5.2)'!$AT$26:$BC$45,,MATCH($H36,'Операционные (5.2)'!$AT$6:$BC$6,0)),'Операционные (5.2)'!$F$26:$F$45,$F36,'Операционные (5.2)'!$G$26:$G$45,"ИОР"),0)</f>
        <v>0</v>
      </c>
      <c r="AE36" s="151"/>
      <c r="AF36" s="150"/>
      <c r="AG36" s="150"/>
      <c r="AH36" s="151"/>
      <c r="AI36" s="150"/>
      <c r="AJ36" s="150"/>
      <c r="AK36" s="152">
        <f>_xlfn.IFERROR(_xlfn.SUMIFS(INDEX('Баланс Пр'!$AE$26:$BB$164,,MATCH($H36&amp;"Принято органом регулирования",'Баланс Пр'!$AE$8:$BB$8,0)),'Баланс Пр'!$Q$26:$Q$164,$F36,'Баланс Пр'!$AC$26:$AC$164,"Уровень потерь воды"),0)</f>
        <v>0</v>
      </c>
      <c r="AN36" s="1234" cm="1" t="str">
        <f t="array" ref="AN36:AN36">H36</f>
        <v>2022</v>
      </c>
    </row>
    <row s="230" customFormat="1" customHeight="1" ht="16.672500000000003" hidden="1">
      <c r="B37" s="955">
        <f>H37&lt;first_year+PERIOD_LENGTH</f>
        <v>1</v>
      </c>
      <c r="E37" s="797">
        <v>17.1</v>
      </c>
      <c r="F37" s="947" cm="1" t="str">
        <f t="array" ref="F37:F37">F36</f>
        <v>0</v>
      </c>
      <c r="H37" s="228">
        <f>first_year+7</f>
        <v>2023</v>
      </c>
      <c r="T37" s="808" cm="1" t="str">
        <f t="array" ref="T37:T37">T36</f>
        <v>false</v>
      </c>
      <c r="AB37" s="333" t="str">
        <f>H37&amp;" год"</f>
        <v>2023 год</v>
      </c>
      <c r="AC37" s="150"/>
      <c r="AD37" s="72">
        <f>_xlfn.IFERROR(_xlfn.SUMIFS(INDEX('Операционные (5.2)'!$AT$26:$BC$45,,MATCH($H37,'Операционные (5.2)'!$AT$6:$BC$6,0)),'Операционные (5.2)'!$F$26:$F$45,$F37,'Операционные (5.2)'!$G$26:$G$45,"ИОР"),0)</f>
        <v>0</v>
      </c>
      <c r="AE37" s="151"/>
      <c r="AF37" s="150"/>
      <c r="AG37" s="150"/>
      <c r="AH37" s="151"/>
      <c r="AI37" s="150"/>
      <c r="AJ37" s="150"/>
      <c r="AK37" s="152">
        <f>_xlfn.IFERROR(_xlfn.SUMIFS(INDEX('Баланс Пр'!$AE$26:$BB$164,,MATCH($H37&amp;"Принято органом регулирования",'Баланс Пр'!$AE$8:$BB$8,0)),'Баланс Пр'!$Q$26:$Q$164,$F37,'Баланс Пр'!$AC$26:$AC$164,"Уровень потерь воды"),0)</f>
        <v>0</v>
      </c>
      <c r="AN37" s="1234" cm="1" t="str">
        <f t="array" ref="AN37:AN37">H37</f>
        <v>2023</v>
      </c>
    </row>
    <row s="230" customFormat="1" customHeight="1" ht="16.672500000000003" hidden="1">
      <c r="B38" s="955">
        <f>H38&lt;first_year+PERIOD_LENGTH</f>
        <v>1</v>
      </c>
      <c r="E38" s="797">
        <v>17.1</v>
      </c>
      <c r="F38" s="947" cm="1" t="str">
        <f t="array" ref="F38:F38">F37</f>
        <v>0</v>
      </c>
      <c r="H38" s="228">
        <f>first_year+8</f>
        <v>2024</v>
      </c>
      <c r="T38" s="808" cm="1" t="str">
        <f t="array" ref="T38:T38">T37</f>
        <v>false</v>
      </c>
      <c r="AB38" s="333" t="str">
        <f>H38&amp;" год"</f>
        <v>2024 год</v>
      </c>
      <c r="AC38" s="150"/>
      <c r="AD38" s="72">
        <f>_xlfn.IFERROR(_xlfn.SUMIFS(INDEX('Операционные (5.2)'!$AT$26:$BC$45,,MATCH($H38,'Операционные (5.2)'!$AT$6:$BC$6,0)),'Операционные (5.2)'!$F$26:$F$45,$F38,'Операционные (5.2)'!$G$26:$G$45,"ИОР"),0)</f>
        <v>0</v>
      </c>
      <c r="AE38" s="151"/>
      <c r="AF38" s="150"/>
      <c r="AG38" s="150"/>
      <c r="AH38" s="151"/>
      <c r="AI38" s="150"/>
      <c r="AJ38" s="150"/>
      <c r="AK38" s="152">
        <f>_xlfn.IFERROR(_xlfn.SUMIFS(INDEX('Баланс Пр'!$AE$26:$BB$164,,MATCH($H38&amp;"Принято органом регулирования",'Баланс Пр'!$AE$8:$BB$8,0)),'Баланс Пр'!$Q$26:$Q$164,$F38,'Баланс Пр'!$AC$26:$AC$164,"Уровень потерь воды"),0)</f>
        <v>0</v>
      </c>
      <c r="AN38" s="1234" cm="1" t="str">
        <f t="array" ref="AN38:AN38">H38</f>
        <v>2024</v>
      </c>
    </row>
    <row s="230" customFormat="1" customHeight="1" ht="16.672500000000003" hidden="1">
      <c r="B39" s="955">
        <f>H39&lt;first_year+PERIOD_LENGTH</f>
        <v>1</v>
      </c>
      <c r="E39" s="797">
        <v>17.1</v>
      </c>
      <c r="F39" s="947" cm="1" t="str">
        <f t="array" ref="F39:F39">F38</f>
        <v>0</v>
      </c>
      <c r="H39" s="228">
        <f>first_year+9</f>
        <v>2025</v>
      </c>
      <c r="T39" s="808" cm="1" t="str">
        <f t="array" ref="T39:T39">T38</f>
        <v>false</v>
      </c>
      <c r="AB39" s="333" t="str">
        <f>H39&amp;" год"</f>
        <v>2025 год</v>
      </c>
      <c r="AC39" s="150"/>
      <c r="AD39" s="72">
        <f>_xlfn.IFERROR(_xlfn.SUMIFS(INDEX('Операционные (5.2)'!$AT$26:$BC$45,,MATCH($H39,'Операционные (5.2)'!$AT$6:$BC$6,0)),'Операционные (5.2)'!$F$26:$F$45,$F39,'Операционные (5.2)'!$G$26:$G$45,"ИОР"),0)</f>
        <v>0</v>
      </c>
      <c r="AE39" s="151"/>
      <c r="AF39" s="150"/>
      <c r="AG39" s="150"/>
      <c r="AH39" s="151"/>
      <c r="AI39" s="150"/>
      <c r="AJ39" s="150"/>
      <c r="AK39" s="152">
        <f>_xlfn.IFERROR(_xlfn.SUMIFS(INDEX('Баланс Пр'!$AE$26:$BB$164,,MATCH($H39&amp;"Принято органом регулирования",'Баланс Пр'!$AE$8:$BB$8,0)),'Баланс Пр'!$Q$26:$Q$164,$F39,'Баланс Пр'!$AC$26:$AC$164,"Уровень потерь воды"),0)</f>
        <v>0</v>
      </c>
      <c r="AN39" s="1234" cm="1" t="str">
        <f t="array" ref="AN39:AN39">H39</f>
        <v>2025</v>
      </c>
    </row>
    <row s="230" customFormat="1" customHeight="1" ht="16.672500000000003" hidden="1">
      <c r="B40" s="955">
        <f>H40&lt;first_year+PERIOD_LENGTH</f>
        <v>0</v>
      </c>
      <c r="E40" s="797">
        <v>17.1</v>
      </c>
      <c r="F40" s="947" cm="1" t="str">
        <f t="array" ref="F40:F40">F39</f>
        <v>0</v>
      </c>
      <c r="H40" s="228">
        <f>first_year+10</f>
        <v>2026</v>
      </c>
      <c r="T40" s="808" cm="1" t="str">
        <f t="array" ref="T40:T40">T39</f>
        <v>false</v>
      </c>
      <c r="AB40" s="333" t="str">
        <f>H40&amp;" год"</f>
        <v>2026 год</v>
      </c>
      <c r="AC40" s="150"/>
      <c r="AD40" s="151"/>
      <c r="AE40" s="151"/>
      <c r="AF40" s="150"/>
      <c r="AG40" s="150"/>
      <c r="AH40" s="151"/>
      <c r="AI40" s="150"/>
      <c r="AJ40" s="150"/>
      <c r="AK40" s="152"/>
      <c r="AN40" s="1234" cm="1" t="str">
        <f t="array" ref="AN40:AN40">H40</f>
        <v>2026</v>
      </c>
    </row>
    <row s="230" customFormat="1" customHeight="1" ht="16.672500000000003" hidden="1">
      <c r="B41" s="955">
        <f>H41&lt;first_year+PERIOD_LENGTH</f>
        <v>0</v>
      </c>
      <c r="E41" s="797">
        <v>17.1</v>
      </c>
      <c r="F41" s="947" cm="1" t="str">
        <f t="array" ref="F41:F41">F40</f>
        <v>0</v>
      </c>
      <c r="H41" s="228">
        <f>first_year+11</f>
        <v>2027</v>
      </c>
      <c r="T41" s="808" cm="1" t="str">
        <f t="array" ref="T41:T41">T40</f>
        <v>false</v>
      </c>
      <c r="AB41" s="333" t="str">
        <f>H41&amp;" год"</f>
        <v>2027 год</v>
      </c>
      <c r="AC41" s="150"/>
      <c r="AD41" s="151"/>
      <c r="AE41" s="151"/>
      <c r="AF41" s="150"/>
      <c r="AG41" s="150"/>
      <c r="AH41" s="151"/>
      <c r="AI41" s="150"/>
      <c r="AJ41" s="150"/>
      <c r="AK41" s="152"/>
      <c r="AN41" s="1234" cm="1" t="str">
        <f t="array" ref="AN41:AN41">H41</f>
        <v>2027</v>
      </c>
    </row>
    <row s="230" customFormat="1" customHeight="1" ht="16.672500000000003" hidden="1">
      <c r="B42" s="955">
        <f>H42&lt;first_year+PERIOD_LENGTH</f>
        <v>0</v>
      </c>
      <c r="E42" s="797">
        <v>17.1</v>
      </c>
      <c r="F42" s="947" cm="1" t="str">
        <f t="array" ref="F42:F42">F41</f>
        <v>0</v>
      </c>
      <c r="H42" s="228">
        <f>first_year+12</f>
        <v>2028</v>
      </c>
      <c r="T42" s="808" cm="1" t="str">
        <f t="array" ref="T42:T42">T41</f>
        <v>false</v>
      </c>
      <c r="AB42" s="333" t="str">
        <f>H42&amp;" год"</f>
        <v>2028 год</v>
      </c>
      <c r="AC42" s="150"/>
      <c r="AD42" s="151"/>
      <c r="AE42" s="151"/>
      <c r="AF42" s="150"/>
      <c r="AG42" s="150"/>
      <c r="AH42" s="151"/>
      <c r="AI42" s="150"/>
      <c r="AJ42" s="150"/>
      <c r="AK42" s="152"/>
      <c r="AN42" s="1234" cm="1" t="str">
        <f t="array" ref="AN42:AN42">H42</f>
        <v>2028</v>
      </c>
    </row>
    <row s="230" customFormat="1" customHeight="1" ht="16.672500000000003" hidden="1">
      <c r="B43" s="955">
        <f>H43&lt;first_year+PERIOD_LENGTH</f>
        <v>0</v>
      </c>
      <c r="E43" s="797">
        <v>17.1</v>
      </c>
      <c r="F43" s="947" cm="1" t="str">
        <f t="array" ref="F43:F43">F42</f>
        <v>0</v>
      </c>
      <c r="H43" s="228">
        <f>first_year+13</f>
        <v>2029</v>
      </c>
      <c r="T43" s="808" cm="1" t="str">
        <f t="array" ref="T43:T43">T42</f>
        <v>false</v>
      </c>
      <c r="AB43" s="333" t="str">
        <f>H43&amp;" год"</f>
        <v>2029 год</v>
      </c>
      <c r="AC43" s="150"/>
      <c r="AD43" s="151"/>
      <c r="AE43" s="151"/>
      <c r="AF43" s="150"/>
      <c r="AG43" s="150"/>
      <c r="AH43" s="151"/>
      <c r="AI43" s="150"/>
      <c r="AJ43" s="150"/>
      <c r="AK43" s="152"/>
      <c r="AN43" s="1234" cm="1" t="str">
        <f t="array" ref="AN43:AN43">H43</f>
        <v>2029</v>
      </c>
    </row>
    <row s="230" customFormat="1" customHeight="1" ht="16.672500000000003" hidden="1">
      <c r="B44" s="955">
        <f>H44&lt;first_year+PERIOD_LENGTH</f>
        <v>0</v>
      </c>
      <c r="E44" s="797">
        <v>17.1</v>
      </c>
      <c r="F44" s="947" cm="1" t="str">
        <f t="array" ref="F44:F44">F43</f>
        <v>0</v>
      </c>
      <c r="H44" s="228">
        <f>first_year+14</f>
        <v>2030</v>
      </c>
      <c r="T44" s="808" cm="1" t="str">
        <f t="array" ref="T44:T44">T43</f>
        <v>false</v>
      </c>
      <c r="AB44" s="333" t="str">
        <f>H44&amp;" год"</f>
        <v>2030 год</v>
      </c>
      <c r="AC44" s="150"/>
      <c r="AD44" s="151"/>
      <c r="AE44" s="151"/>
      <c r="AF44" s="150"/>
      <c r="AG44" s="150"/>
      <c r="AH44" s="151"/>
      <c r="AI44" s="150"/>
      <c r="AJ44" s="150"/>
      <c r="AK44" s="152"/>
      <c r="AN44" s="1234" cm="1" t="str">
        <f t="array" ref="AN44:AN44">H44</f>
        <v>2030</v>
      </c>
    </row>
    <row s="230" customFormat="1" customHeight="1" ht="16.672500000000003" hidden="1">
      <c r="B45" s="955">
        <f>H45&lt;first_year+PERIOD_LENGTH</f>
        <v>0</v>
      </c>
      <c r="E45" s="797">
        <v>17.1</v>
      </c>
      <c r="F45" s="947" cm="1" t="str">
        <f t="array" ref="F45:F45">F44</f>
        <v>0</v>
      </c>
      <c r="H45" s="228">
        <f>first_year+15</f>
        <v>2031</v>
      </c>
      <c r="T45" s="808" cm="1" t="str">
        <f t="array" ref="T45:T45">T44</f>
        <v>false</v>
      </c>
      <c r="AB45" s="333" t="str">
        <f>H45&amp;" год"</f>
        <v>2031 год</v>
      </c>
      <c r="AC45" s="150"/>
      <c r="AD45" s="151"/>
      <c r="AE45" s="151"/>
      <c r="AF45" s="150"/>
      <c r="AG45" s="150"/>
      <c r="AH45" s="151"/>
      <c r="AI45" s="150"/>
      <c r="AJ45" s="150"/>
      <c r="AK45" s="152"/>
      <c r="AN45" s="1234" cm="1" t="str">
        <f t="array" ref="AN45:AN45">H45</f>
        <v>2031</v>
      </c>
    </row>
    <row s="230" customFormat="1" customHeight="1" ht="16.672500000000003" hidden="1">
      <c r="B46" s="955">
        <f>H46&lt;first_year+PERIOD_LENGTH</f>
        <v>0</v>
      </c>
      <c r="E46" s="797">
        <v>17.1</v>
      </c>
      <c r="F46" s="947" cm="1" t="str">
        <f t="array" ref="F46:F46">F45</f>
        <v>0</v>
      </c>
      <c r="H46" s="228">
        <f>first_year+16</f>
        <v>2032</v>
      </c>
      <c r="T46" s="808" cm="1" t="str">
        <f t="array" ref="T46:T46">T45</f>
        <v>false</v>
      </c>
      <c r="AB46" s="333" t="str">
        <f>H46&amp;" год"</f>
        <v>2032 год</v>
      </c>
      <c r="AC46" s="150"/>
      <c r="AD46" s="151"/>
      <c r="AE46" s="151"/>
      <c r="AF46" s="150"/>
      <c r="AG46" s="150"/>
      <c r="AH46" s="151"/>
      <c r="AI46" s="150"/>
      <c r="AJ46" s="150"/>
      <c r="AK46" s="152"/>
      <c r="AN46" s="1234" cm="1" t="str">
        <f t="array" ref="AN46:AN46">H46</f>
        <v>2032</v>
      </c>
    </row>
    <row s="230" customFormat="1" customHeight="1" ht="16.672500000000003" hidden="1">
      <c r="B47" s="955">
        <f>H47&lt;first_year+PERIOD_LENGTH</f>
        <v>0</v>
      </c>
      <c r="E47" s="797">
        <v>17.1</v>
      </c>
      <c r="F47" s="947" cm="1" t="str">
        <f t="array" ref="F47:F47">F46</f>
        <v>0</v>
      </c>
      <c r="H47" s="228">
        <f>first_year+17</f>
        <v>2033</v>
      </c>
      <c r="T47" s="808" cm="1" t="str">
        <f t="array" ref="T47:T47">T46</f>
        <v>false</v>
      </c>
      <c r="AB47" s="333" t="str">
        <f>H47&amp;" год"</f>
        <v>2033 год</v>
      </c>
      <c r="AC47" s="150"/>
      <c r="AD47" s="151"/>
      <c r="AE47" s="151"/>
      <c r="AF47" s="150"/>
      <c r="AG47" s="150"/>
      <c r="AH47" s="151"/>
      <c r="AI47" s="150"/>
      <c r="AJ47" s="150"/>
      <c r="AK47" s="152"/>
      <c r="AN47" s="1234" cm="1" t="str">
        <f t="array" ref="AN47:AN47">H47</f>
        <v>2033</v>
      </c>
    </row>
    <row s="230" customFormat="1" customHeight="1" ht="16.672500000000003" hidden="1">
      <c r="B48" s="955">
        <f>H48&lt;first_year+PERIOD_LENGTH</f>
        <v>0</v>
      </c>
      <c r="E48" s="797">
        <v>17.1</v>
      </c>
      <c r="F48" s="947" cm="1" t="str">
        <f t="array" ref="F48:F48">F47</f>
        <v>0</v>
      </c>
      <c r="H48" s="228">
        <f>first_year+18</f>
        <v>2034</v>
      </c>
      <c r="T48" s="808" cm="1" t="str">
        <f t="array" ref="T48:T48">T47</f>
        <v>false</v>
      </c>
      <c r="AB48" s="333" t="str">
        <f>H48&amp;" год"</f>
        <v>2034 год</v>
      </c>
      <c r="AC48" s="150"/>
      <c r="AD48" s="151"/>
      <c r="AE48" s="151"/>
      <c r="AF48" s="150"/>
      <c r="AG48" s="150"/>
      <c r="AH48" s="151"/>
      <c r="AI48" s="150"/>
      <c r="AJ48" s="150"/>
      <c r="AK48" s="152"/>
      <c r="AN48" s="1234" cm="1" t="str">
        <f t="array" ref="AN48:AN48">H48</f>
        <v>2034</v>
      </c>
    </row>
    <row s="230" customFormat="1" customHeight="1" ht="16.672500000000003" hidden="1">
      <c r="B49" s="955">
        <f>H49&lt;first_year+PERIOD_LENGTH</f>
        <v>0</v>
      </c>
      <c r="E49" s="797">
        <v>17.1</v>
      </c>
      <c r="F49" s="947" cm="1" t="str">
        <f t="array" ref="F49:F49">F48</f>
        <v>0</v>
      </c>
      <c r="H49" s="228">
        <f>first_year+19</f>
        <v>2035</v>
      </c>
      <c r="T49" s="808" cm="1" t="str">
        <f t="array" ref="T49:T49">T48</f>
        <v>false</v>
      </c>
      <c r="AB49" s="333" t="str">
        <f>H49&amp;" год"</f>
        <v>2035 год</v>
      </c>
      <c r="AC49" s="150"/>
      <c r="AD49" s="151"/>
      <c r="AE49" s="151"/>
      <c r="AF49" s="150"/>
      <c r="AG49" s="150"/>
      <c r="AH49" s="151"/>
      <c r="AI49" s="150"/>
      <c r="AJ49" s="150"/>
      <c r="AK49" s="152"/>
      <c r="AN49" s="1234" cm="1" t="str">
        <f t="array" ref="AN49:AN49">H49</f>
        <v>2035</v>
      </c>
    </row>
    <row s="230" customFormat="1" customHeight="1" ht="16.672500000000003" hidden="1">
      <c r="B50" s="955">
        <f>H50&lt;first_year+PERIOD_LENGTH</f>
        <v>0</v>
      </c>
      <c r="E50" s="797">
        <v>17.1</v>
      </c>
      <c r="F50" s="947" cm="1" t="str">
        <f t="array" ref="F50:F50">F49</f>
        <v>0</v>
      </c>
      <c r="H50" s="228">
        <f>first_year+20</f>
        <v>2036</v>
      </c>
      <c r="T50" s="808" cm="1" t="str">
        <f t="array" ref="T50:T50">T49</f>
        <v>false</v>
      </c>
      <c r="AB50" s="333" t="str">
        <f>H50&amp;" год"</f>
        <v>2036 год</v>
      </c>
      <c r="AC50" s="150"/>
      <c r="AD50" s="151"/>
      <c r="AE50" s="151"/>
      <c r="AF50" s="150"/>
      <c r="AG50" s="150"/>
      <c r="AH50" s="151"/>
      <c r="AI50" s="150"/>
      <c r="AJ50" s="150"/>
      <c r="AK50" s="152"/>
      <c r="AN50" s="1234" cm="1" t="str">
        <f t="array" ref="AN50:AN50">H50</f>
        <v>2036</v>
      </c>
    </row>
    <row s="230" customFormat="1" customHeight="1" ht="16.672500000000003" hidden="1">
      <c r="B51" s="955">
        <f>H51&lt;first_year+PERIOD_LENGTH</f>
        <v>0</v>
      </c>
      <c r="E51" s="797">
        <v>17.1</v>
      </c>
      <c r="F51" s="947" cm="1" t="str">
        <f t="array" ref="F51:F51">F50</f>
        <v>0</v>
      </c>
      <c r="H51" s="228">
        <f>first_year+21</f>
        <v>2037</v>
      </c>
      <c r="T51" s="808" cm="1" t="str">
        <f t="array" ref="T51:T51">T50</f>
        <v>false</v>
      </c>
      <c r="AB51" s="333" t="str">
        <f>H51&amp;" год"</f>
        <v>2037 год</v>
      </c>
      <c r="AC51" s="150"/>
      <c r="AD51" s="151"/>
      <c r="AE51" s="151"/>
      <c r="AF51" s="150"/>
      <c r="AG51" s="150"/>
      <c r="AH51" s="151"/>
      <c r="AI51" s="150"/>
      <c r="AJ51" s="150"/>
      <c r="AK51" s="152"/>
      <c r="AN51" s="1234" cm="1" t="str">
        <f t="array" ref="AN51:AN51">H51</f>
        <v>2037</v>
      </c>
    </row>
    <row s="230" customFormat="1" customHeight="1" ht="16.672500000000003" hidden="1">
      <c r="B52" s="955">
        <f>H52&lt;first_year+PERIOD_LENGTH</f>
        <v>0</v>
      </c>
      <c r="E52" s="797">
        <v>17.1</v>
      </c>
      <c r="F52" s="947" cm="1" t="str">
        <f t="array" ref="F52:F52">F51</f>
        <v>0</v>
      </c>
      <c r="H52" s="228">
        <f>first_year+22</f>
        <v>2038</v>
      </c>
      <c r="T52" s="808" cm="1" t="str">
        <f t="array" ref="T52:T52">T51</f>
        <v>false</v>
      </c>
      <c r="AB52" s="333" t="str">
        <f>H52&amp;" год"</f>
        <v>2038 год</v>
      </c>
      <c r="AC52" s="150"/>
      <c r="AD52" s="151"/>
      <c r="AE52" s="151"/>
      <c r="AF52" s="150"/>
      <c r="AG52" s="150"/>
      <c r="AH52" s="151"/>
      <c r="AI52" s="150"/>
      <c r="AJ52" s="150"/>
      <c r="AK52" s="152"/>
      <c r="AN52" s="1234" cm="1" t="str">
        <f t="array" ref="AN52:AN52">H52</f>
        <v>2038</v>
      </c>
    </row>
    <row s="230" customFormat="1" customHeight="1" ht="16.672500000000003" hidden="1">
      <c r="B53" s="955">
        <f>H53&lt;first_year+PERIOD_LENGTH</f>
        <v>0</v>
      </c>
      <c r="E53" s="797">
        <v>17.1</v>
      </c>
      <c r="F53" s="947" cm="1" t="str">
        <f t="array" ref="F53:F53">F52</f>
        <v>0</v>
      </c>
      <c r="H53" s="228">
        <f>first_year+23</f>
        <v>2039</v>
      </c>
      <c r="T53" s="808" cm="1" t="str">
        <f t="array" ref="T53:T53">T52</f>
        <v>false</v>
      </c>
      <c r="AB53" s="333" t="str">
        <f>H53&amp;" год"</f>
        <v>2039 год</v>
      </c>
      <c r="AC53" s="150"/>
      <c r="AD53" s="151"/>
      <c r="AE53" s="151"/>
      <c r="AF53" s="150"/>
      <c r="AG53" s="150"/>
      <c r="AH53" s="151"/>
      <c r="AI53" s="150"/>
      <c r="AJ53" s="150"/>
      <c r="AK53" s="152"/>
      <c r="AN53" s="1234" cm="1" t="str">
        <f t="array" ref="AN53:AN53">H53</f>
        <v>2039</v>
      </c>
    </row>
    <row s="230" customFormat="1" customHeight="1" ht="16.672500000000003" hidden="1">
      <c r="B54" s="955">
        <f>H54&lt;first_year+PERIOD_LENGTH</f>
        <v>0</v>
      </c>
      <c r="E54" s="797">
        <v>17.1</v>
      </c>
      <c r="F54" s="947" cm="1" t="str">
        <f t="array" ref="F54:F54">F53</f>
        <v>0</v>
      </c>
      <c r="H54" s="228">
        <f>first_year+24</f>
        <v>2040</v>
      </c>
      <c r="T54" s="808" cm="1" t="str">
        <f t="array" ref="T54:T54">T53</f>
        <v>false</v>
      </c>
      <c r="AB54" s="333" t="str">
        <f>H54&amp;" год"</f>
        <v>2040 год</v>
      </c>
      <c r="AC54" s="150"/>
      <c r="AD54" s="151"/>
      <c r="AE54" s="151"/>
      <c r="AF54" s="150"/>
      <c r="AG54" s="150"/>
      <c r="AH54" s="151"/>
      <c r="AI54" s="150"/>
      <c r="AJ54" s="150"/>
      <c r="AK54" s="152"/>
      <c r="AN54" s="1234" cm="1" t="str">
        <f t="array" ref="AN54:AN54">H54</f>
        <v>2040</v>
      </c>
    </row>
    <row s="230" customFormat="1" customHeight="1" ht="16.672500000000003" hidden="1">
      <c r="B55" s="955">
        <f>H55&lt;first_year+PERIOD_LENGTH</f>
        <v>0</v>
      </c>
      <c r="E55" s="797">
        <v>17.1</v>
      </c>
      <c r="F55" s="947" cm="1" t="str">
        <f t="array" ref="F55:F55">F54</f>
        <v>0</v>
      </c>
      <c r="H55" s="228">
        <f>first_year+25</f>
        <v>2041</v>
      </c>
      <c r="T55" s="808" cm="1" t="str">
        <f t="array" ref="T55:T55">T54</f>
        <v>false</v>
      </c>
      <c r="AB55" s="333" t="str">
        <f>H55&amp;" год"</f>
        <v>2041 год</v>
      </c>
      <c r="AC55" s="150"/>
      <c r="AD55" s="151"/>
      <c r="AE55" s="151"/>
      <c r="AF55" s="150"/>
      <c r="AG55" s="150"/>
      <c r="AH55" s="151"/>
      <c r="AI55" s="150"/>
      <c r="AJ55" s="150"/>
      <c r="AK55" s="152"/>
      <c r="AN55" s="1234" cm="1" t="str">
        <f t="array" ref="AN55:AN55">H55</f>
        <v>2041</v>
      </c>
    </row>
    <row s="230" customFormat="1" customHeight="1" ht="16.672500000000003" hidden="1">
      <c r="B56" s="955">
        <f>H56&lt;first_year+PERIOD_LENGTH</f>
        <v>0</v>
      </c>
      <c r="E56" s="797">
        <v>17.1</v>
      </c>
      <c r="F56" s="947" cm="1" t="str">
        <f t="array" ref="F56:F56">F55</f>
        <v>0</v>
      </c>
      <c r="H56" s="228">
        <f>first_year+26</f>
        <v>2042</v>
      </c>
      <c r="T56" s="808" cm="1" t="str">
        <f t="array" ref="T56:T56">T55</f>
        <v>false</v>
      </c>
      <c r="AB56" s="333" t="str">
        <f>H56&amp;" год"</f>
        <v>2042 год</v>
      </c>
      <c r="AC56" s="150"/>
      <c r="AD56" s="151"/>
      <c r="AE56" s="151"/>
      <c r="AF56" s="150"/>
      <c r="AG56" s="150"/>
      <c r="AH56" s="151"/>
      <c r="AI56" s="150"/>
      <c r="AJ56" s="150"/>
      <c r="AK56" s="152"/>
      <c r="AN56" s="1234" cm="1" t="str">
        <f t="array" ref="AN56:AN56">H56</f>
        <v>2042</v>
      </c>
    </row>
    <row s="230" customFormat="1" customHeight="1" ht="16.672500000000003" hidden="1">
      <c r="B57" s="955">
        <f>H57&lt;first_year+PERIOD_LENGTH</f>
        <v>0</v>
      </c>
      <c r="E57" s="797">
        <v>17.1</v>
      </c>
      <c r="F57" s="947" cm="1" t="str">
        <f t="array" ref="F57:F57">F56</f>
        <v>0</v>
      </c>
      <c r="H57" s="228">
        <f>first_year+27</f>
        <v>2043</v>
      </c>
      <c r="T57" s="808" cm="1" t="str">
        <f t="array" ref="T57:T57">T56</f>
        <v>false</v>
      </c>
      <c r="AB57" s="333" t="str">
        <f>H57&amp;" год"</f>
        <v>2043 год</v>
      </c>
      <c r="AC57" s="150"/>
      <c r="AD57" s="151"/>
      <c r="AE57" s="151"/>
      <c r="AF57" s="150"/>
      <c r="AG57" s="150"/>
      <c r="AH57" s="151"/>
      <c r="AI57" s="150"/>
      <c r="AJ57" s="150"/>
      <c r="AK57" s="152"/>
      <c r="AN57" s="1234" cm="1" t="str">
        <f t="array" ref="AN57:AN57">H57</f>
        <v>2043</v>
      </c>
    </row>
    <row s="230" customFormat="1" customHeight="1" ht="16.672500000000003" hidden="1">
      <c r="B58" s="955">
        <f>H58&lt;first_year+PERIOD_LENGTH</f>
        <v>0</v>
      </c>
      <c r="E58" s="797">
        <v>17.1</v>
      </c>
      <c r="F58" s="947" cm="1" t="str">
        <f t="array" ref="F58:F58">F57</f>
        <v>0</v>
      </c>
      <c r="H58" s="228">
        <f>first_year+28</f>
        <v>2044</v>
      </c>
      <c r="T58" s="808" cm="1" t="str">
        <f t="array" ref="T58:T58">T57</f>
        <v>false</v>
      </c>
      <c r="AB58" s="333" t="str">
        <f>H58&amp;" год"</f>
        <v>2044 год</v>
      </c>
      <c r="AC58" s="150"/>
      <c r="AD58" s="151"/>
      <c r="AE58" s="151"/>
      <c r="AF58" s="150"/>
      <c r="AG58" s="150"/>
      <c r="AH58" s="151"/>
      <c r="AI58" s="150"/>
      <c r="AJ58" s="150"/>
      <c r="AK58" s="152"/>
      <c r="AN58" s="1234" cm="1" t="str">
        <f t="array" ref="AN58:AN58">H58</f>
        <v>2044</v>
      </c>
    </row>
    <row s="230" customFormat="1" customHeight="1" ht="16.672500000000003" hidden="1">
      <c r="B59" s="955">
        <f>H59&lt;first_year+PERIOD_LENGTH</f>
        <v>0</v>
      </c>
      <c r="E59" s="797">
        <v>17.1</v>
      </c>
      <c r="F59" s="947" cm="1" t="str">
        <f t="array" ref="F59:F59">F58</f>
        <v>0</v>
      </c>
      <c r="H59" s="228">
        <f>first_year+29</f>
        <v>2045</v>
      </c>
      <c r="T59" s="808" cm="1" t="str">
        <f t="array" ref="T59:T59">T58</f>
        <v>false</v>
      </c>
      <c r="AB59" s="333" t="str">
        <f>H59&amp;" год"</f>
        <v>2045 год</v>
      </c>
      <c r="AC59" s="150"/>
      <c r="AD59" s="151"/>
      <c r="AE59" s="151"/>
      <c r="AF59" s="150"/>
      <c r="AG59" s="150"/>
      <c r="AH59" s="151"/>
      <c r="AI59" s="150"/>
      <c r="AJ59" s="150"/>
      <c r="AK59" s="152"/>
      <c r="AN59" s="1234" cm="1" t="str">
        <f t="array" ref="AN59:AN59">H59</f>
        <v>2045</v>
      </c>
    </row>
    <row s="230" customFormat="1" customHeight="1" ht="16.672500000000003" hidden="1">
      <c r="B60" s="955">
        <f>H60&lt;first_year+PERIOD_LENGTH</f>
        <v>0</v>
      </c>
      <c r="E60" s="797">
        <v>17.1</v>
      </c>
      <c r="F60" s="947" cm="1" t="str">
        <f t="array" ref="F60:F60">F59</f>
        <v>0</v>
      </c>
      <c r="H60" s="228">
        <f>first_year+30</f>
        <v>2046</v>
      </c>
      <c r="T60" s="808" cm="1" t="str">
        <f t="array" ref="T60:T60">T59</f>
        <v>false</v>
      </c>
      <c r="AB60" s="333" t="str">
        <f>H60&amp;" год"</f>
        <v>2046 год</v>
      </c>
      <c r="AC60" s="150"/>
      <c r="AD60" s="151"/>
      <c r="AE60" s="151"/>
      <c r="AF60" s="150"/>
      <c r="AG60" s="150"/>
      <c r="AH60" s="151"/>
      <c r="AI60" s="150"/>
      <c r="AJ60" s="150"/>
      <c r="AK60" s="152"/>
      <c r="AN60" s="1234" cm="1" t="str">
        <f t="array" ref="AN60:AN60">H60</f>
        <v>2046</v>
      </c>
    </row>
    <row s="230" customFormat="1" customHeight="1" ht="16.672500000000003" hidden="1">
      <c r="B61" s="955">
        <f>H61&lt;first_year+PERIOD_LENGTH</f>
        <v>0</v>
      </c>
      <c r="E61" s="797">
        <v>17.1</v>
      </c>
      <c r="F61" s="947" cm="1" t="str">
        <f t="array" ref="F61:F61">F60</f>
        <v>0</v>
      </c>
      <c r="H61" s="228">
        <f>first_year+31</f>
        <v>2047</v>
      </c>
      <c r="T61" s="808" cm="1" t="str">
        <f t="array" ref="T61:T61">T60</f>
        <v>false</v>
      </c>
      <c r="AB61" s="333" t="str">
        <f>H61&amp;" год"</f>
        <v>2047 год</v>
      </c>
      <c r="AC61" s="150"/>
      <c r="AD61" s="151"/>
      <c r="AE61" s="151"/>
      <c r="AF61" s="150"/>
      <c r="AG61" s="150"/>
      <c r="AH61" s="151"/>
      <c r="AI61" s="150"/>
      <c r="AJ61" s="150"/>
      <c r="AK61" s="152"/>
      <c r="AN61" s="1234" cm="1" t="str">
        <f t="array" ref="AN61:AN61">H61</f>
        <v>2047</v>
      </c>
    </row>
    <row s="230" customFormat="1" customHeight="1" ht="16.672500000000003" hidden="1">
      <c r="B62" s="955">
        <f>H62&lt;first_year+PERIOD_LENGTH</f>
        <v>0</v>
      </c>
      <c r="E62" s="797">
        <v>17.1</v>
      </c>
      <c r="F62" s="947" cm="1" t="str">
        <f t="array" ref="F62:F62">F61</f>
        <v>0</v>
      </c>
      <c r="H62" s="228">
        <f>first_year+32</f>
        <v>2048</v>
      </c>
      <c r="T62" s="808" cm="1" t="str">
        <f t="array" ref="T62:T62">T61</f>
        <v>false</v>
      </c>
      <c r="AB62" s="333" t="str">
        <f>H62&amp;" год"</f>
        <v>2048 год</v>
      </c>
      <c r="AC62" s="150"/>
      <c r="AD62" s="151"/>
      <c r="AE62" s="151"/>
      <c r="AF62" s="150"/>
      <c r="AG62" s="150"/>
      <c r="AH62" s="151"/>
      <c r="AI62" s="150"/>
      <c r="AJ62" s="150"/>
      <c r="AK62" s="152"/>
      <c r="AN62" s="1234" cm="1" t="str">
        <f t="array" ref="AN62:AN62">H62</f>
        <v>2048</v>
      </c>
    </row>
    <row s="230" customFormat="1" customHeight="1" ht="16.672500000000003" hidden="1">
      <c r="B63" s="955">
        <f>H63&lt;first_year+PERIOD_LENGTH</f>
        <v>0</v>
      </c>
      <c r="E63" s="797">
        <v>17.1</v>
      </c>
      <c r="F63" s="947" cm="1" t="str">
        <f t="array" ref="F63:F63">F62</f>
        <v>0</v>
      </c>
      <c r="H63" s="228">
        <f>first_year+33</f>
        <v>2049</v>
      </c>
      <c r="T63" s="808" cm="1" t="str">
        <f t="array" ref="T63:T63">T62</f>
        <v>false</v>
      </c>
      <c r="AB63" s="333" t="str">
        <f>H63&amp;" год"</f>
        <v>2049 год</v>
      </c>
      <c r="AC63" s="150"/>
      <c r="AD63" s="151"/>
      <c r="AE63" s="151"/>
      <c r="AF63" s="150"/>
      <c r="AG63" s="150"/>
      <c r="AH63" s="151"/>
      <c r="AI63" s="150"/>
      <c r="AJ63" s="150"/>
      <c r="AK63" s="152"/>
      <c r="AN63" s="1234" cm="1" t="str">
        <f t="array" ref="AN63:AN63">H63</f>
        <v>2049</v>
      </c>
    </row>
    <row s="230" customFormat="1" customHeight="1" ht="16.672500000000003" hidden="1">
      <c r="B64" s="955">
        <f>H64&lt;first_year+PERIOD_LENGTH</f>
        <v>0</v>
      </c>
      <c r="E64" s="797">
        <v>17.1</v>
      </c>
      <c r="F64" s="947" cm="1" t="str">
        <f t="array" ref="F64:F64">F63</f>
        <v>0</v>
      </c>
      <c r="H64" s="228">
        <f>first_year+34</f>
        <v>2050</v>
      </c>
      <c r="T64" s="808" cm="1" t="str">
        <f t="array" ref="T64:T64">T63</f>
        <v>false</v>
      </c>
      <c r="AB64" s="333" t="str">
        <f>H64&amp;" год"</f>
        <v>2050 год</v>
      </c>
      <c r="AC64" s="150"/>
      <c r="AD64" s="151"/>
      <c r="AE64" s="151"/>
      <c r="AF64" s="150"/>
      <c r="AG64" s="150"/>
      <c r="AH64" s="151"/>
      <c r="AI64" s="150"/>
      <c r="AJ64" s="150"/>
      <c r="AK64" s="152"/>
      <c r="AN64" s="1234" cm="1" t="str">
        <f t="array" ref="AN64:AN64">H64</f>
        <v>2050</v>
      </c>
    </row>
    <row s="230" customFormat="1" customHeight="1" ht="16.672500000000003" hidden="1">
      <c r="B65" s="955">
        <f>H65&lt;first_year+PERIOD_LENGTH</f>
        <v>0</v>
      </c>
      <c r="E65" s="797">
        <v>17.1</v>
      </c>
      <c r="F65" s="947" cm="1" t="str">
        <f t="array" ref="F65:F65">F64</f>
        <v>0</v>
      </c>
      <c r="H65" s="228">
        <f>first_year+35</f>
        <v>2051</v>
      </c>
      <c r="T65" s="808" cm="1" t="str">
        <f t="array" ref="T65:T65">T64</f>
        <v>false</v>
      </c>
      <c r="AB65" s="333" t="str">
        <f>H65&amp;" год"</f>
        <v>2051 год</v>
      </c>
      <c r="AC65" s="150"/>
      <c r="AD65" s="151"/>
      <c r="AE65" s="151"/>
      <c r="AF65" s="150"/>
      <c r="AG65" s="150"/>
      <c r="AH65" s="151"/>
      <c r="AI65" s="150"/>
      <c r="AJ65" s="150"/>
      <c r="AK65" s="152"/>
      <c r="AN65" s="1234" cm="1" t="str">
        <f t="array" ref="AN65:AN65">H65</f>
        <v>2051</v>
      </c>
    </row>
    <row s="230" customFormat="1" customHeight="1" ht="16.672500000000003" hidden="1">
      <c r="B66" s="955">
        <f>H66&lt;first_year+PERIOD_LENGTH</f>
        <v>0</v>
      </c>
      <c r="E66" s="797">
        <v>17.1</v>
      </c>
      <c r="F66" s="947" cm="1" t="str">
        <f t="array" ref="F66:F66">F65</f>
        <v>0</v>
      </c>
      <c r="H66" s="228">
        <f>first_year+36</f>
        <v>2052</v>
      </c>
      <c r="T66" s="808" cm="1" t="str">
        <f t="array" ref="T66:T66">T65</f>
        <v>false</v>
      </c>
      <c r="AB66" s="333" t="str">
        <f>H66&amp;" год"</f>
        <v>2052 год</v>
      </c>
      <c r="AC66" s="150"/>
      <c r="AD66" s="151"/>
      <c r="AE66" s="151"/>
      <c r="AF66" s="150"/>
      <c r="AG66" s="150"/>
      <c r="AH66" s="151"/>
      <c r="AI66" s="150"/>
      <c r="AJ66" s="150"/>
      <c r="AK66" s="152"/>
      <c r="AN66" s="1234" cm="1" t="str">
        <f t="array" ref="AN66:AN66">H66</f>
        <v>2052</v>
      </c>
    </row>
    <row s="230" customFormat="1" customHeight="1" ht="16.672500000000003" hidden="1">
      <c r="B67" s="955">
        <f>H67&lt;first_year+PERIOD_LENGTH</f>
        <v>0</v>
      </c>
      <c r="E67" s="797">
        <v>17.1</v>
      </c>
      <c r="F67" s="947" cm="1" t="str">
        <f t="array" ref="F67:F67">F66</f>
        <v>0</v>
      </c>
      <c r="H67" s="228">
        <f>first_year+37</f>
        <v>2053</v>
      </c>
      <c r="T67" s="808" cm="1" t="str">
        <f t="array" ref="T67:T67">T66</f>
        <v>false</v>
      </c>
      <c r="AB67" s="333" t="str">
        <f>H67&amp;" год"</f>
        <v>2053 год</v>
      </c>
      <c r="AC67" s="150"/>
      <c r="AD67" s="151"/>
      <c r="AE67" s="151"/>
      <c r="AF67" s="150"/>
      <c r="AG67" s="150"/>
      <c r="AH67" s="151"/>
      <c r="AI67" s="150"/>
      <c r="AJ67" s="150"/>
      <c r="AK67" s="152"/>
      <c r="AN67" s="1234" cm="1" t="str">
        <f t="array" ref="AN67:AN67">H67</f>
        <v>2053</v>
      </c>
    </row>
    <row s="230" customFormat="1" customHeight="1" ht="16.672500000000003" hidden="1">
      <c r="B68" s="955">
        <f>H68&lt;first_year+PERIOD_LENGTH</f>
        <v>0</v>
      </c>
      <c r="E68" s="797">
        <v>17.1</v>
      </c>
      <c r="F68" s="947" cm="1" t="str">
        <f t="array" ref="F68:F68">F67</f>
        <v>0</v>
      </c>
      <c r="H68" s="228">
        <f>first_year+38</f>
        <v>2054</v>
      </c>
      <c r="T68" s="808" cm="1" t="str">
        <f t="array" ref="T68:T68">T67</f>
        <v>false</v>
      </c>
      <c r="AB68" s="333" t="str">
        <f>H68&amp;" год"</f>
        <v>2054 год</v>
      </c>
      <c r="AC68" s="150"/>
      <c r="AD68" s="151"/>
      <c r="AE68" s="151"/>
      <c r="AF68" s="150"/>
      <c r="AG68" s="150"/>
      <c r="AH68" s="151"/>
      <c r="AI68" s="150"/>
      <c r="AJ68" s="150"/>
      <c r="AK68" s="152"/>
      <c r="AN68" s="1234" cm="1" t="str">
        <f t="array" ref="AN68:AN68">H68</f>
        <v>2054</v>
      </c>
    </row>
    <row s="230" customFormat="1" customHeight="1" ht="16.672500000000003" hidden="1">
      <c r="B69" s="955">
        <f>H69&lt;first_year+PERIOD_LENGTH</f>
        <v>0</v>
      </c>
      <c r="E69" s="797">
        <v>17.1</v>
      </c>
      <c r="F69" s="947" cm="1" t="str">
        <f t="array" ref="F69:F69">F68</f>
        <v>0</v>
      </c>
      <c r="H69" s="228">
        <f>first_year+39</f>
        <v>2055</v>
      </c>
      <c r="T69" s="808" cm="1" t="str">
        <f t="array" ref="T69:T69">T68</f>
        <v>false</v>
      </c>
      <c r="AB69" s="333" t="str">
        <f>H69&amp;" год"</f>
        <v>2055 год</v>
      </c>
      <c r="AC69" s="150"/>
      <c r="AD69" s="151"/>
      <c r="AE69" s="151"/>
      <c r="AF69" s="150"/>
      <c r="AG69" s="150"/>
      <c r="AH69" s="151"/>
      <c r="AI69" s="150"/>
      <c r="AJ69" s="150"/>
      <c r="AK69" s="152"/>
      <c r="AN69" s="1234" cm="1" t="str">
        <f t="array" ref="AN69:AN69">H69</f>
        <v>2055</v>
      </c>
    </row>
    <row s="230" customFormat="1" customHeight="1" ht="16.672500000000003" hidden="1">
      <c r="B70" s="955">
        <f>H70&lt;first_year+PERIOD_LENGTH</f>
        <v>0</v>
      </c>
      <c r="E70" s="797">
        <v>17.1</v>
      </c>
      <c r="F70" s="947" cm="1" t="str">
        <f t="array" ref="F70:F70">F69</f>
        <v>0</v>
      </c>
      <c r="H70" s="228">
        <f>first_year+40</f>
        <v>2056</v>
      </c>
      <c r="T70" s="808" cm="1" t="str">
        <f t="array" ref="T70:T70">T69</f>
        <v>false</v>
      </c>
      <c r="AB70" s="333" t="str">
        <f>H70&amp;" год"</f>
        <v>2056 год</v>
      </c>
      <c r="AC70" s="150"/>
      <c r="AD70" s="151"/>
      <c r="AE70" s="151"/>
      <c r="AF70" s="150"/>
      <c r="AG70" s="150"/>
      <c r="AH70" s="151"/>
      <c r="AI70" s="150"/>
      <c r="AJ70" s="150"/>
      <c r="AK70" s="152"/>
      <c r="AN70" s="1234" cm="1" t="str">
        <f t="array" ref="AN70:AN70">H70</f>
        <v>2056</v>
      </c>
    </row>
    <row s="230" customFormat="1" customHeight="1" ht="16.672500000000003" hidden="1">
      <c r="B71" s="955">
        <f>H71&lt;first_year+PERIOD_LENGTH</f>
        <v>0</v>
      </c>
      <c r="E71" s="797">
        <v>17.1</v>
      </c>
      <c r="F71" s="947" cm="1" t="str">
        <f t="array" ref="F71:F71">F70</f>
        <v>0</v>
      </c>
      <c r="H71" s="228">
        <f>first_year+41</f>
        <v>2057</v>
      </c>
      <c r="T71" s="808" cm="1" t="str">
        <f t="array" ref="T71:T71">T70</f>
        <v>false</v>
      </c>
      <c r="AB71" s="333" t="str">
        <f>H71&amp;" год"</f>
        <v>2057 год</v>
      </c>
      <c r="AC71" s="150"/>
      <c r="AD71" s="151"/>
      <c r="AE71" s="151"/>
      <c r="AF71" s="150"/>
      <c r="AG71" s="150"/>
      <c r="AH71" s="151"/>
      <c r="AI71" s="150"/>
      <c r="AJ71" s="150"/>
      <c r="AK71" s="152"/>
      <c r="AN71" s="1234" cm="1" t="str">
        <f t="array" ref="AN71:AN71">H71</f>
        <v>2057</v>
      </c>
    </row>
    <row s="230" customFormat="1" customHeight="1" ht="16.672500000000003" hidden="1">
      <c r="B72" s="955">
        <f>H72&lt;first_year+PERIOD_LENGTH</f>
        <v>0</v>
      </c>
      <c r="E72" s="797">
        <v>17.1</v>
      </c>
      <c r="F72" s="947" cm="1" t="str">
        <f t="array" ref="F72:F72">F71</f>
        <v>0</v>
      </c>
      <c r="H72" s="228">
        <f>first_year+42</f>
        <v>2058</v>
      </c>
      <c r="T72" s="808" cm="1" t="str">
        <f t="array" ref="T72:T72">T71</f>
        <v>false</v>
      </c>
      <c r="AB72" s="333" t="str">
        <f>H72&amp;" год"</f>
        <v>2058 год</v>
      </c>
      <c r="AC72" s="150"/>
      <c r="AD72" s="151"/>
      <c r="AE72" s="151"/>
      <c r="AF72" s="150"/>
      <c r="AG72" s="150"/>
      <c r="AH72" s="151"/>
      <c r="AI72" s="150"/>
      <c r="AJ72" s="150"/>
      <c r="AK72" s="152"/>
      <c r="AN72" s="1234" cm="1" t="str">
        <f t="array" ref="AN72:AN72">H72</f>
        <v>2058</v>
      </c>
    </row>
    <row s="230" customFormat="1" customHeight="1" ht="16.672500000000003" hidden="1">
      <c r="B73" s="955">
        <f>H73&lt;first_year+PERIOD_LENGTH</f>
        <v>0</v>
      </c>
      <c r="E73" s="797">
        <v>17.1</v>
      </c>
      <c r="F73" s="947" cm="1" t="str">
        <f t="array" ref="F73:F73">F72</f>
        <v>0</v>
      </c>
      <c r="H73" s="228">
        <f>first_year+43</f>
        <v>2059</v>
      </c>
      <c r="T73" s="808" cm="1" t="str">
        <f t="array" ref="T73:T73">T72</f>
        <v>false</v>
      </c>
      <c r="AB73" s="333" t="str">
        <f>H73&amp;" год"</f>
        <v>2059 год</v>
      </c>
      <c r="AC73" s="150"/>
      <c r="AD73" s="151"/>
      <c r="AE73" s="151"/>
      <c r="AF73" s="150"/>
      <c r="AG73" s="150"/>
      <c r="AH73" s="151"/>
      <c r="AI73" s="150"/>
      <c r="AJ73" s="150"/>
      <c r="AK73" s="152"/>
      <c r="AN73" s="1234" cm="1" t="str">
        <f t="array" ref="AN73:AN73">H73</f>
        <v>2059</v>
      </c>
    </row>
    <row s="230" customFormat="1" customHeight="1" ht="16.672500000000003" hidden="1">
      <c r="B74" s="955">
        <f>H74&lt;first_year+PERIOD_LENGTH</f>
        <v>0</v>
      </c>
      <c r="E74" s="797">
        <v>17.1</v>
      </c>
      <c r="F74" s="947" cm="1" t="str">
        <f t="array" ref="F74:F74">F73</f>
        <v>0</v>
      </c>
      <c r="H74" s="228">
        <f>first_year+44</f>
        <v>2060</v>
      </c>
      <c r="T74" s="808" cm="1" t="str">
        <f t="array" ref="T74:T74">T73</f>
        <v>false</v>
      </c>
      <c r="AB74" s="333" t="str">
        <f>H74&amp;" год"</f>
        <v>2060 год</v>
      </c>
      <c r="AC74" s="150"/>
      <c r="AD74" s="151"/>
      <c r="AE74" s="151"/>
      <c r="AF74" s="150"/>
      <c r="AG74" s="150"/>
      <c r="AH74" s="151"/>
      <c r="AI74" s="150"/>
      <c r="AJ74" s="150"/>
      <c r="AK74" s="152"/>
      <c r="AN74" s="1234" cm="1" t="str">
        <f t="array" ref="AN74:AN74">H74</f>
        <v>2060</v>
      </c>
    </row>
    <row s="230" customFormat="1" customHeight="1" ht="16.672500000000003" hidden="1">
      <c r="B75" s="955">
        <f>H75&lt;first_year+PERIOD_LENGTH</f>
        <v>0</v>
      </c>
      <c r="E75" s="797">
        <v>17.1</v>
      </c>
      <c r="F75" s="947" cm="1" t="str">
        <f t="array" ref="F75:F75">F74</f>
        <v>0</v>
      </c>
      <c r="H75" s="228">
        <f>first_year+45</f>
        <v>2061</v>
      </c>
      <c r="T75" s="808" cm="1" t="str">
        <f t="array" ref="T75:T75">T74</f>
        <v>false</v>
      </c>
      <c r="AB75" s="333" t="str">
        <f>H75&amp;" год"</f>
        <v>2061 год</v>
      </c>
      <c r="AC75" s="150"/>
      <c r="AD75" s="151"/>
      <c r="AE75" s="151"/>
      <c r="AF75" s="150"/>
      <c r="AG75" s="150"/>
      <c r="AH75" s="151"/>
      <c r="AI75" s="150"/>
      <c r="AJ75" s="150"/>
      <c r="AK75" s="152"/>
      <c r="AN75" s="1234" cm="1" t="str">
        <f t="array" ref="AN75:AN75">H75</f>
        <v>2061</v>
      </c>
    </row>
    <row s="230" customFormat="1" customHeight="1" ht="16.672500000000003" hidden="1">
      <c r="B76" s="955">
        <f>H76&lt;first_year+PERIOD_LENGTH</f>
        <v>0</v>
      </c>
      <c r="E76" s="797">
        <v>17.1</v>
      </c>
      <c r="F76" s="947" cm="1" t="str">
        <f t="array" ref="F76:F76">F75</f>
        <v>0</v>
      </c>
      <c r="H76" s="228">
        <f>first_year+46</f>
        <v>2062</v>
      </c>
      <c r="T76" s="808" cm="1" t="str">
        <f t="array" ref="T76:T76">T75</f>
        <v>false</v>
      </c>
      <c r="AB76" s="333" t="str">
        <f>H76&amp;" год"</f>
        <v>2062 год</v>
      </c>
      <c r="AC76" s="150"/>
      <c r="AD76" s="151"/>
      <c r="AE76" s="151"/>
      <c r="AF76" s="150"/>
      <c r="AG76" s="150"/>
      <c r="AH76" s="151"/>
      <c r="AI76" s="150"/>
      <c r="AJ76" s="150"/>
      <c r="AK76" s="152"/>
      <c r="AN76" s="1234" cm="1" t="str">
        <f t="array" ref="AN76:AN76">H76</f>
        <v>2062</v>
      </c>
    </row>
    <row s="230" customFormat="1" customHeight="1" ht="16.672500000000003" hidden="1">
      <c r="B77" s="955">
        <f>H77&lt;first_year+PERIOD_LENGTH</f>
        <v>0</v>
      </c>
      <c r="E77" s="797">
        <v>17.1</v>
      </c>
      <c r="F77" s="947" cm="1" t="str">
        <f t="array" ref="F77:F77">F76</f>
        <v>0</v>
      </c>
      <c r="H77" s="228">
        <f>first_year+47</f>
        <v>2063</v>
      </c>
      <c r="T77" s="808" cm="1" t="str">
        <f t="array" ref="T77:T77">T76</f>
        <v>false</v>
      </c>
      <c r="AB77" s="333" t="str">
        <f>H77&amp;" год"</f>
        <v>2063 год</v>
      </c>
      <c r="AC77" s="150"/>
      <c r="AD77" s="151"/>
      <c r="AE77" s="151"/>
      <c r="AF77" s="150"/>
      <c r="AG77" s="150"/>
      <c r="AH77" s="151"/>
      <c r="AI77" s="150"/>
      <c r="AJ77" s="150"/>
      <c r="AK77" s="152"/>
      <c r="AN77" s="1234" cm="1" t="str">
        <f t="array" ref="AN77:AN77">H77</f>
        <v>2063</v>
      </c>
    </row>
    <row s="230" customFormat="1" customHeight="1" ht="16.672500000000003" hidden="1">
      <c r="B78" s="955">
        <f>H78&lt;first_year+PERIOD_LENGTH</f>
        <v>0</v>
      </c>
      <c r="E78" s="797">
        <v>17.1</v>
      </c>
      <c r="F78" s="947" cm="1" t="str">
        <f t="array" ref="F78:F78">F77</f>
        <v>0</v>
      </c>
      <c r="H78" s="228">
        <f>first_year+48</f>
        <v>2064</v>
      </c>
      <c r="T78" s="808" cm="1" t="str">
        <f t="array" ref="T78:T78">T77</f>
        <v>false</v>
      </c>
      <c r="AB78" s="333" t="str">
        <f>H78&amp;" год"</f>
        <v>2064 год</v>
      </c>
      <c r="AC78" s="150"/>
      <c r="AD78" s="151"/>
      <c r="AE78" s="151"/>
      <c r="AF78" s="150"/>
      <c r="AG78" s="150"/>
      <c r="AH78" s="151"/>
      <c r="AI78" s="150"/>
      <c r="AJ78" s="150"/>
      <c r="AK78" s="152"/>
      <c r="AN78" s="1234" cm="1" t="str">
        <f t="array" ref="AN78:AN78">H78</f>
        <v>2064</v>
      </c>
    </row>
    <row s="230" customFormat="1" customHeight="1" ht="16.672500000000003" hidden="1">
      <c r="B79" s="955">
        <f>H79&lt;first_year+PERIOD_LENGTH</f>
        <v>0</v>
      </c>
      <c r="E79" s="797">
        <v>17.1</v>
      </c>
      <c r="F79" s="947" cm="1" t="str">
        <f t="array" ref="F79:F79">F78</f>
        <v>0</v>
      </c>
      <c r="H79" s="228">
        <f>first_year+49</f>
        <v>2065</v>
      </c>
      <c r="T79" s="808" cm="1" t="str">
        <f t="array" ref="T79:T79">T78</f>
        <v>false</v>
      </c>
      <c r="AB79" s="333" t="str">
        <f>H79&amp;" год"</f>
        <v>2065 год</v>
      </c>
      <c r="AC79" s="150"/>
      <c r="AD79" s="151"/>
      <c r="AE79" s="151"/>
      <c r="AF79" s="150"/>
      <c r="AG79" s="150"/>
      <c r="AH79" s="151"/>
      <c r="AI79" s="150"/>
      <c r="AJ79" s="150"/>
      <c r="AK79" s="152"/>
      <c r="AN79" s="1234" cm="1" t="str">
        <f t="array" ref="AN79:AN79">H79</f>
        <v>2065</v>
      </c>
    </row>
    <row s="2068" customFormat="1" customHeight="1" ht="16.5">
      <c r="A80" s="220"/>
      <c r="B80" s="220"/>
      <c r="C80" s="220"/>
      <c r="D80" s="220"/>
      <c r="E80" s="797">
        <v>17.1</v>
      </c>
      <c r="F80" s="922" cm="1" t="str">
        <f t="array" ref="F80:F80">X80</f>
        <v>1</v>
      </c>
      <c r="G80" s="220"/>
      <c r="H80" s="220"/>
      <c r="I80" s="220"/>
      <c r="J80" s="220"/>
      <c r="K80" s="220"/>
      <c r="L80" s="220"/>
      <c r="M80" s="220"/>
      <c r="N80" s="220"/>
      <c r="O80" s="220"/>
      <c r="P80" s="220"/>
      <c r="Q80" s="220"/>
      <c r="R80" s="220"/>
      <c r="S80" s="220"/>
      <c r="T80" s="808">
        <f>X80&gt;0</f>
        <v>1</v>
      </c>
      <c r="U80" s="220"/>
      <c r="V80" s="175" cm="1" t="str">
        <f t="array" ref="V80:V80">ТМ!$AB$74</f>
        <v>Тариф 1 (Теплоснабжение) - Тариф на тепловую энергию (мощность), поставляемую потребителям (Не определено)</v>
      </c>
      <c r="W80" s="220"/>
      <c r="X80" s="175" t="s">
        <v>336</v>
      </c>
      <c r="Y80" s="220"/>
      <c r="Z80" s="220"/>
      <c r="AA80" s="220"/>
      <c r="AB80" s="320" cm="1" t="str">
        <f t="array" ref="AB80:AB80">IF(ISBLANK(ТМ!$AB$74),"",ТМ!$AB$74)</f>
        <v>Тариф 1 (Теплоснабжение) - Тариф на тепловую энергию (мощность), поставляемую потребителям (Не определено)</v>
      </c>
      <c r="AC80" s="321"/>
      <c r="AD80" s="321"/>
      <c r="AE80" s="321"/>
      <c r="AF80" s="321"/>
      <c r="AG80" s="321"/>
      <c r="AH80" s="321"/>
      <c r="AI80" s="321"/>
      <c r="AJ80" s="321"/>
      <c r="AK80" s="534"/>
      <c r="AL80" s="220"/>
      <c r="AM80" s="220"/>
      <c r="AN80" s="1157"/>
    </row>
    <row s="2069" customFormat="1" customHeight="1" ht="16.5">
      <c r="A81" s="230"/>
      <c r="B81" s="955">
        <f>H81&lt;first_year+PERIOD_LENGTH</f>
        <v>1</v>
      </c>
      <c r="C81" s="230"/>
      <c r="D81" s="230"/>
      <c r="E81" s="797">
        <v>17.1</v>
      </c>
      <c r="F81" s="947" cm="1" t="str">
        <f t="array" ref="F81:F81">F80</f>
        <v>1</v>
      </c>
      <c r="G81" s="193" t="s">
        <v>1294</v>
      </c>
      <c r="H81" s="228" cm="1" t="str">
        <f t="array" ref="H81:H81">first_year</f>
        <v>2016</v>
      </c>
      <c r="I81" s="230"/>
      <c r="J81" s="230"/>
      <c r="K81" s="230"/>
      <c r="L81" s="230"/>
      <c r="M81" s="230"/>
      <c r="N81" s="230"/>
      <c r="O81" s="230"/>
      <c r="P81" s="230"/>
      <c r="Q81" s="230"/>
      <c r="R81" s="230"/>
      <c r="S81" s="230"/>
      <c r="T81" s="808" cm="1" t="str">
        <f t="array" ref="T81:T81">T80</f>
        <v>true</v>
      </c>
      <c r="U81" s="230"/>
      <c r="V81" s="230"/>
      <c r="W81" s="230"/>
      <c r="X81" s="230"/>
      <c r="Y81" s="230"/>
      <c r="Z81" s="230"/>
      <c r="AA81" s="230"/>
      <c r="AB81" s="333" t="str">
        <f>H81&amp;" год"</f>
        <v>2016 год</v>
      </c>
      <c r="AC81" s="2070" t="str">
        <f>IF(god=first_year,_xlfn.SUMIFS('Калькуляция (5.9)'!AT$26:AT$137,'Калькуляция (5.9)'!$F$26:$F$137,$F81,'Калькуляция (5.9)'!$G$26:$G$137,$G81),"")</f>
        <v/>
      </c>
      <c r="AD81" s="1709"/>
      <c r="AE81" s="2071"/>
      <c r="AF81" s="2070"/>
      <c r="AG81" s="2070"/>
      <c r="AH81" s="2071"/>
      <c r="AI81" s="2070"/>
      <c r="AJ81" s="2070"/>
      <c r="AK81" s="152"/>
      <c r="AL81" s="230"/>
      <c r="AM81" s="230"/>
      <c r="AN81" s="1234" cm="1" t="str">
        <f t="array" ref="AN81:AN81">H81</f>
        <v>2016</v>
      </c>
    </row>
    <row s="2072" customFormat="1" customHeight="1" ht="16.5">
      <c r="A82" s="230"/>
      <c r="B82" s="955">
        <f>H82&lt;first_year+PERIOD_LENGTH</f>
        <v>1</v>
      </c>
      <c r="C82" s="230"/>
      <c r="D82" s="230"/>
      <c r="E82" s="797">
        <v>17.1</v>
      </c>
      <c r="F82" s="947" cm="1" t="str">
        <f t="array" ref="F82:F82">F81</f>
        <v>1</v>
      </c>
      <c r="G82" s="230"/>
      <c r="H82" s="228">
        <f>first_year+1</f>
        <v>2017</v>
      </c>
      <c r="I82" s="230"/>
      <c r="J82" s="230"/>
      <c r="K82" s="230"/>
      <c r="L82" s="230"/>
      <c r="M82" s="230"/>
      <c r="N82" s="230"/>
      <c r="O82" s="230"/>
      <c r="P82" s="230"/>
      <c r="Q82" s="230"/>
      <c r="R82" s="230"/>
      <c r="S82" s="230"/>
      <c r="T82" s="808" cm="1" t="str">
        <f t="array" ref="T82:T82">T81</f>
        <v>true</v>
      </c>
      <c r="U82" s="230"/>
      <c r="V82" s="230"/>
      <c r="W82" s="230"/>
      <c r="X82" s="230"/>
      <c r="Y82" s="230"/>
      <c r="Z82" s="230"/>
      <c r="AA82" s="230"/>
      <c r="AB82" s="333" t="str">
        <f>H82&amp;" год"</f>
        <v>2017 год</v>
      </c>
      <c r="AC82" s="2070"/>
      <c r="AD82" s="1709">
        <f>_xlfn.IFERROR(_xlfn.SUMIFS(INDEX('Операционные (5.2)'!$AT$26:$BC$45,,MATCH($H82,'Операционные (5.2)'!$AT$6:$BC$6,0)),'Операционные (5.2)'!$F$26:$F$45,$F82,'Операционные (5.2)'!$G$26:$G$45,"ИОР"),0)</f>
        <v>0</v>
      </c>
      <c r="AE82" s="2071"/>
      <c r="AF82" s="2070"/>
      <c r="AG82" s="2070"/>
      <c r="AH82" s="2071"/>
      <c r="AI82" s="2070"/>
      <c r="AJ82" s="2070"/>
      <c r="AK82" s="152"/>
      <c r="AL82" s="230"/>
      <c r="AM82" s="230"/>
      <c r="AN82" s="1234" cm="1" t="str">
        <f t="array" ref="AN82:AN82">H82</f>
        <v>2017</v>
      </c>
    </row>
    <row s="2073" customFormat="1" customHeight="1" ht="16.5">
      <c r="A83" s="230"/>
      <c r="B83" s="955">
        <f>H83&lt;first_year+PERIOD_LENGTH</f>
        <v>1</v>
      </c>
      <c r="C83" s="230"/>
      <c r="D83" s="230"/>
      <c r="E83" s="797">
        <v>17.1</v>
      </c>
      <c r="F83" s="947" cm="1" t="str">
        <f t="array" ref="F83:F83">F82</f>
        <v>1</v>
      </c>
      <c r="G83" s="230"/>
      <c r="H83" s="228">
        <f>first_year+2</f>
        <v>2018</v>
      </c>
      <c r="I83" s="230"/>
      <c r="J83" s="230"/>
      <c r="K83" s="230"/>
      <c r="L83" s="230"/>
      <c r="M83" s="230"/>
      <c r="N83" s="230"/>
      <c r="O83" s="230"/>
      <c r="P83" s="230"/>
      <c r="Q83" s="230"/>
      <c r="R83" s="230"/>
      <c r="S83" s="230"/>
      <c r="T83" s="808" cm="1" t="str">
        <f t="array" ref="T83:T83">T82</f>
        <v>true</v>
      </c>
      <c r="U83" s="230"/>
      <c r="V83" s="230"/>
      <c r="W83" s="230"/>
      <c r="X83" s="230"/>
      <c r="Y83" s="230"/>
      <c r="Z83" s="230"/>
      <c r="AA83" s="230"/>
      <c r="AB83" s="333" t="str">
        <f>H83&amp;" год"</f>
        <v>2018 год</v>
      </c>
      <c r="AC83" s="2070"/>
      <c r="AD83" s="1709">
        <f>_xlfn.IFERROR(_xlfn.SUMIFS(INDEX('Операционные (5.2)'!$AT$26:$BC$45,,MATCH($H83,'Операционные (5.2)'!$AT$6:$BC$6,0)),'Операционные (5.2)'!$F$26:$F$45,$F83,'Операционные (5.2)'!$G$26:$G$45,"ИОР"),0)</f>
        <v>0</v>
      </c>
      <c r="AE83" s="2071"/>
      <c r="AF83" s="2070"/>
      <c r="AG83" s="2070"/>
      <c r="AH83" s="2071"/>
      <c r="AI83" s="2070"/>
      <c r="AJ83" s="2070"/>
      <c r="AK83" s="152"/>
      <c r="AL83" s="230"/>
      <c r="AM83" s="230"/>
      <c r="AN83" s="1234" cm="1" t="str">
        <f t="array" ref="AN83:AN83">H83</f>
        <v>2018</v>
      </c>
    </row>
    <row s="2074" customFormat="1" customHeight="1" ht="16.5">
      <c r="A84" s="230"/>
      <c r="B84" s="955">
        <f>H84&lt;first_year+PERIOD_LENGTH</f>
        <v>1</v>
      </c>
      <c r="C84" s="230"/>
      <c r="D84" s="230"/>
      <c r="E84" s="797">
        <v>17.1</v>
      </c>
      <c r="F84" s="947" cm="1" t="str">
        <f t="array" ref="F84:F84">F83</f>
        <v>1</v>
      </c>
      <c r="G84" s="230"/>
      <c r="H84" s="228">
        <f>first_year+3</f>
        <v>2019</v>
      </c>
      <c r="I84" s="230"/>
      <c r="J84" s="230"/>
      <c r="K84" s="230"/>
      <c r="L84" s="230"/>
      <c r="M84" s="230"/>
      <c r="N84" s="230"/>
      <c r="O84" s="230"/>
      <c r="P84" s="230"/>
      <c r="Q84" s="230"/>
      <c r="R84" s="230"/>
      <c r="S84" s="230"/>
      <c r="T84" s="808" cm="1" t="str">
        <f t="array" ref="T84:T84">T83</f>
        <v>true</v>
      </c>
      <c r="U84" s="230"/>
      <c r="V84" s="230"/>
      <c r="W84" s="230"/>
      <c r="X84" s="230"/>
      <c r="Y84" s="230"/>
      <c r="Z84" s="230"/>
      <c r="AA84" s="230"/>
      <c r="AB84" s="333" t="str">
        <f>H84&amp;" год"</f>
        <v>2019 год</v>
      </c>
      <c r="AC84" s="2070"/>
      <c r="AD84" s="1709">
        <f>_xlfn.IFERROR(_xlfn.SUMIFS(INDEX('Операционные (5.2)'!$AT$26:$BC$45,,MATCH($H84,'Операционные (5.2)'!$AT$6:$BC$6,0)),'Операционные (5.2)'!$F$26:$F$45,$F84,'Операционные (5.2)'!$G$26:$G$45,"ИОР"),0)</f>
        <v>0</v>
      </c>
      <c r="AE84" s="2071"/>
      <c r="AF84" s="2070"/>
      <c r="AG84" s="2070"/>
      <c r="AH84" s="2071"/>
      <c r="AI84" s="2070"/>
      <c r="AJ84" s="2070"/>
      <c r="AK84" s="152"/>
      <c r="AL84" s="230"/>
      <c r="AM84" s="230"/>
      <c r="AN84" s="1234" cm="1" t="str">
        <f t="array" ref="AN84:AN84">H84</f>
        <v>2019</v>
      </c>
    </row>
    <row s="2075" customFormat="1" customHeight="1" ht="16.5">
      <c r="A85" s="230"/>
      <c r="B85" s="955">
        <f>H85&lt;first_year+PERIOD_LENGTH</f>
        <v>1</v>
      </c>
      <c r="C85" s="230"/>
      <c r="D85" s="230"/>
      <c r="E85" s="797">
        <v>17.1</v>
      </c>
      <c r="F85" s="947" cm="1" t="str">
        <f t="array" ref="F85:F85">F84</f>
        <v>1</v>
      </c>
      <c r="G85" s="230"/>
      <c r="H85" s="228">
        <f>first_year+4</f>
        <v>2020</v>
      </c>
      <c r="I85" s="230"/>
      <c r="J85" s="230"/>
      <c r="K85" s="230"/>
      <c r="L85" s="230"/>
      <c r="M85" s="230"/>
      <c r="N85" s="230"/>
      <c r="O85" s="230"/>
      <c r="P85" s="230"/>
      <c r="Q85" s="230"/>
      <c r="R85" s="230"/>
      <c r="S85" s="230"/>
      <c r="T85" s="808" cm="1" t="str">
        <f t="array" ref="T85:T85">T84</f>
        <v>true</v>
      </c>
      <c r="U85" s="230"/>
      <c r="V85" s="230"/>
      <c r="W85" s="230"/>
      <c r="X85" s="230"/>
      <c r="Y85" s="230"/>
      <c r="Z85" s="230"/>
      <c r="AA85" s="230"/>
      <c r="AB85" s="333" t="str">
        <f>H85&amp;" год"</f>
        <v>2020 год</v>
      </c>
      <c r="AC85" s="2070"/>
      <c r="AD85" s="1709">
        <f>_xlfn.IFERROR(_xlfn.SUMIFS(INDEX('Операционные (5.2)'!$AT$26:$BC$45,,MATCH($H85,'Операционные (5.2)'!$AT$6:$BC$6,0)),'Операционные (5.2)'!$F$26:$F$45,$F85,'Операционные (5.2)'!$G$26:$G$45,"ИОР"),0)</f>
        <v>0</v>
      </c>
      <c r="AE85" s="2071"/>
      <c r="AF85" s="2070"/>
      <c r="AG85" s="2070"/>
      <c r="AH85" s="2071"/>
      <c r="AI85" s="2070"/>
      <c r="AJ85" s="2070"/>
      <c r="AK85" s="152"/>
      <c r="AL85" s="230"/>
      <c r="AM85" s="230"/>
      <c r="AN85" s="1234" cm="1" t="str">
        <f t="array" ref="AN85:AN85">H85</f>
        <v>2020</v>
      </c>
    </row>
    <row s="2076" customFormat="1" customHeight="1" ht="16.5">
      <c r="A86" s="230"/>
      <c r="B86" s="955">
        <f>H86&lt;first_year+PERIOD_LENGTH</f>
        <v>1</v>
      </c>
      <c r="C86" s="230"/>
      <c r="D86" s="230"/>
      <c r="E86" s="797">
        <v>17.1</v>
      </c>
      <c r="F86" s="947" cm="1" t="str">
        <f t="array" ref="F86:F86">F85</f>
        <v>1</v>
      </c>
      <c r="G86" s="230"/>
      <c r="H86" s="228">
        <f>first_year+5</f>
        <v>2021</v>
      </c>
      <c r="I86" s="230"/>
      <c r="J86" s="230"/>
      <c r="K86" s="230"/>
      <c r="L86" s="230"/>
      <c r="M86" s="230"/>
      <c r="N86" s="230"/>
      <c r="O86" s="230"/>
      <c r="P86" s="230"/>
      <c r="Q86" s="230"/>
      <c r="R86" s="230"/>
      <c r="S86" s="230"/>
      <c r="T86" s="808" cm="1" t="str">
        <f t="array" ref="T86:T86">T85</f>
        <v>true</v>
      </c>
      <c r="U86" s="230"/>
      <c r="V86" s="230"/>
      <c r="W86" s="230"/>
      <c r="X86" s="230"/>
      <c r="Y86" s="230"/>
      <c r="Z86" s="230"/>
      <c r="AA86" s="230"/>
      <c r="AB86" s="333" t="str">
        <f>H86&amp;" год"</f>
        <v>2021 год</v>
      </c>
      <c r="AC86" s="2070"/>
      <c r="AD86" s="1709">
        <f>_xlfn.IFERROR(_xlfn.SUMIFS(INDEX('Операционные (5.2)'!$AT$26:$BC$45,,MATCH($H86,'Операционные (5.2)'!$AT$6:$BC$6,0)),'Операционные (5.2)'!$F$26:$F$45,$F86,'Операционные (5.2)'!$G$26:$G$45,"ИОР"),0)</f>
        <v>0</v>
      </c>
      <c r="AE86" s="2071"/>
      <c r="AF86" s="2070"/>
      <c r="AG86" s="2070"/>
      <c r="AH86" s="2071"/>
      <c r="AI86" s="2070"/>
      <c r="AJ86" s="2070"/>
      <c r="AK86" s="152">
        <f>_xlfn.IFERROR(_xlfn.SUMIFS(INDEX('Баланс Пр'!$AE$26:$BB$164,,MATCH($H86&amp;"Принято органом регулирования",'Баланс Пр'!$AE$8:$BB$8,0)),'Баланс Пр'!$Q$26:$Q$164,$F86,'Баланс Пр'!$AC$26:$AC$164,"Уровень потерь воды"),0)</f>
        <v>0</v>
      </c>
      <c r="AL86" s="230"/>
      <c r="AM86" s="230"/>
      <c r="AN86" s="1234" cm="1" t="str">
        <f t="array" ref="AN86:AN86">H86</f>
        <v>2021</v>
      </c>
    </row>
    <row s="2077" customFormat="1" customHeight="1" ht="16.5">
      <c r="A87" s="230"/>
      <c r="B87" s="955">
        <f>H87&lt;first_year+PERIOD_LENGTH</f>
        <v>1</v>
      </c>
      <c r="C87" s="230"/>
      <c r="D87" s="230"/>
      <c r="E87" s="797">
        <v>17.1</v>
      </c>
      <c r="F87" s="947" cm="1" t="str">
        <f t="array" ref="F87:F87">F86</f>
        <v>1</v>
      </c>
      <c r="G87" s="230"/>
      <c r="H87" s="228">
        <f>first_year+6</f>
        <v>2022</v>
      </c>
      <c r="I87" s="230"/>
      <c r="J87" s="230"/>
      <c r="K87" s="230"/>
      <c r="L87" s="230"/>
      <c r="M87" s="230"/>
      <c r="N87" s="230"/>
      <c r="O87" s="230"/>
      <c r="P87" s="230"/>
      <c r="Q87" s="230"/>
      <c r="R87" s="230"/>
      <c r="S87" s="230"/>
      <c r="T87" s="808" cm="1" t="str">
        <f t="array" ref="T87:T87">T86</f>
        <v>true</v>
      </c>
      <c r="U87" s="230"/>
      <c r="V87" s="230"/>
      <c r="W87" s="230"/>
      <c r="X87" s="230"/>
      <c r="Y87" s="230"/>
      <c r="Z87" s="230"/>
      <c r="AA87" s="230"/>
      <c r="AB87" s="333" t="str">
        <f>H87&amp;" год"</f>
        <v>2022 год</v>
      </c>
      <c r="AC87" s="2070"/>
      <c r="AD87" s="1709">
        <f>_xlfn.IFERROR(_xlfn.SUMIFS(INDEX('Операционные (5.2)'!$AT$26:$BC$45,,MATCH($H87,'Операционные (5.2)'!$AT$6:$BC$6,0)),'Операционные (5.2)'!$F$26:$F$45,$F87,'Операционные (5.2)'!$G$26:$G$45,"ИОР"),0)</f>
        <v>0</v>
      </c>
      <c r="AE87" s="2071"/>
      <c r="AF87" s="2070"/>
      <c r="AG87" s="2070"/>
      <c r="AH87" s="2071"/>
      <c r="AI87" s="2070"/>
      <c r="AJ87" s="2070"/>
      <c r="AK87" s="152">
        <f>_xlfn.IFERROR(_xlfn.SUMIFS(INDEX('Баланс Пр'!$AE$26:$BB$164,,MATCH($H87&amp;"Принято органом регулирования",'Баланс Пр'!$AE$8:$BB$8,0)),'Баланс Пр'!$Q$26:$Q$164,$F87,'Баланс Пр'!$AC$26:$AC$164,"Уровень потерь воды"),0)</f>
        <v>0</v>
      </c>
      <c r="AL87" s="230"/>
      <c r="AM87" s="230"/>
      <c r="AN87" s="1234" cm="1" t="str">
        <f t="array" ref="AN87:AN87">H87</f>
        <v>2022</v>
      </c>
    </row>
    <row s="2078" customFormat="1" customHeight="1" ht="16.5">
      <c r="A88" s="230"/>
      <c r="B88" s="955">
        <f>H88&lt;first_year+PERIOD_LENGTH</f>
        <v>1</v>
      </c>
      <c r="C88" s="230"/>
      <c r="D88" s="230"/>
      <c r="E88" s="797">
        <v>17.1</v>
      </c>
      <c r="F88" s="947" cm="1" t="str">
        <f t="array" ref="F88:F88">F87</f>
        <v>1</v>
      </c>
      <c r="G88" s="230"/>
      <c r="H88" s="228">
        <f>first_year+7</f>
        <v>2023</v>
      </c>
      <c r="I88" s="230"/>
      <c r="J88" s="230"/>
      <c r="K88" s="230"/>
      <c r="L88" s="230"/>
      <c r="M88" s="230"/>
      <c r="N88" s="230"/>
      <c r="O88" s="230"/>
      <c r="P88" s="230"/>
      <c r="Q88" s="230"/>
      <c r="R88" s="230"/>
      <c r="S88" s="230"/>
      <c r="T88" s="808" cm="1" t="str">
        <f t="array" ref="T88:T88">T87</f>
        <v>true</v>
      </c>
      <c r="U88" s="230"/>
      <c r="V88" s="230"/>
      <c r="W88" s="230"/>
      <c r="X88" s="230"/>
      <c r="Y88" s="230"/>
      <c r="Z88" s="230"/>
      <c r="AA88" s="230"/>
      <c r="AB88" s="333" t="str">
        <f>H88&amp;" год"</f>
        <v>2023 год</v>
      </c>
      <c r="AC88" s="2070"/>
      <c r="AD88" s="1709">
        <f>_xlfn.IFERROR(_xlfn.SUMIFS(INDEX('Операционные (5.2)'!$AT$26:$BC$45,,MATCH($H88,'Операционные (5.2)'!$AT$6:$BC$6,0)),'Операционные (5.2)'!$F$26:$F$45,$F88,'Операционные (5.2)'!$G$26:$G$45,"ИОР"),0)</f>
        <v>0</v>
      </c>
      <c r="AE88" s="2071"/>
      <c r="AF88" s="2070"/>
      <c r="AG88" s="2070"/>
      <c r="AH88" s="2071"/>
      <c r="AI88" s="2070"/>
      <c r="AJ88" s="2070"/>
      <c r="AK88" s="152">
        <f>_xlfn.IFERROR(_xlfn.SUMIFS(INDEX('Баланс Пр'!$AE$26:$BB$164,,MATCH($H88&amp;"Принято органом регулирования",'Баланс Пр'!$AE$8:$BB$8,0)),'Баланс Пр'!$Q$26:$Q$164,$F88,'Баланс Пр'!$AC$26:$AC$164,"Уровень потерь воды"),0)</f>
        <v>0</v>
      </c>
      <c r="AL88" s="230"/>
      <c r="AM88" s="230"/>
      <c r="AN88" s="1234" cm="1" t="str">
        <f t="array" ref="AN88:AN88">H88</f>
        <v>2023</v>
      </c>
    </row>
    <row s="2079" customFormat="1" customHeight="1" ht="16.5">
      <c r="A89" s="230"/>
      <c r="B89" s="955">
        <f>H89&lt;first_year+PERIOD_LENGTH</f>
        <v>1</v>
      </c>
      <c r="C89" s="230"/>
      <c r="D89" s="230"/>
      <c r="E89" s="797">
        <v>17.1</v>
      </c>
      <c r="F89" s="947" cm="1" t="str">
        <f t="array" ref="F89:F89">F88</f>
        <v>1</v>
      </c>
      <c r="G89" s="230"/>
      <c r="H89" s="228">
        <f>first_year+8</f>
        <v>2024</v>
      </c>
      <c r="I89" s="230"/>
      <c r="J89" s="230"/>
      <c r="K89" s="230"/>
      <c r="L89" s="230"/>
      <c r="M89" s="230"/>
      <c r="N89" s="230"/>
      <c r="O89" s="230"/>
      <c r="P89" s="230"/>
      <c r="Q89" s="230"/>
      <c r="R89" s="230"/>
      <c r="S89" s="230"/>
      <c r="T89" s="808" cm="1" t="str">
        <f t="array" ref="T89:T89">T88</f>
        <v>true</v>
      </c>
      <c r="U89" s="230"/>
      <c r="V89" s="230"/>
      <c r="W89" s="230"/>
      <c r="X89" s="230"/>
      <c r="Y89" s="230"/>
      <c r="Z89" s="230"/>
      <c r="AA89" s="230"/>
      <c r="AB89" s="333" t="str">
        <f>H89&amp;" год"</f>
        <v>2024 год</v>
      </c>
      <c r="AC89" s="2070"/>
      <c r="AD89" s="1709">
        <f>_xlfn.IFERROR(_xlfn.SUMIFS(INDEX('Операционные (5.2)'!$AT$26:$BC$45,,MATCH($H89,'Операционные (5.2)'!$AT$6:$BC$6,0)),'Операционные (5.2)'!$F$26:$F$45,$F89,'Операционные (5.2)'!$G$26:$G$45,"ИОР"),0)</f>
        <v>0</v>
      </c>
      <c r="AE89" s="2071"/>
      <c r="AF89" s="2070"/>
      <c r="AG89" s="2070"/>
      <c r="AH89" s="2071"/>
      <c r="AI89" s="2070"/>
      <c r="AJ89" s="2070"/>
      <c r="AK89" s="152">
        <f>_xlfn.IFERROR(_xlfn.SUMIFS(INDEX('Баланс Пр'!$AE$26:$BB$164,,MATCH($H89&amp;"Принято органом регулирования",'Баланс Пр'!$AE$8:$BB$8,0)),'Баланс Пр'!$Q$26:$Q$164,$F89,'Баланс Пр'!$AC$26:$AC$164,"Уровень потерь воды"),0)</f>
        <v>0</v>
      </c>
      <c r="AL89" s="230"/>
      <c r="AM89" s="230"/>
      <c r="AN89" s="1234" cm="1" t="str">
        <f t="array" ref="AN89:AN89">H89</f>
        <v>2024</v>
      </c>
    </row>
    <row s="2080" customFormat="1" customHeight="1" ht="16.5">
      <c r="A90" s="230"/>
      <c r="B90" s="955">
        <f>H90&lt;first_year+PERIOD_LENGTH</f>
        <v>1</v>
      </c>
      <c r="C90" s="230"/>
      <c r="D90" s="230"/>
      <c r="E90" s="797">
        <v>17.1</v>
      </c>
      <c r="F90" s="947" cm="1" t="str">
        <f t="array" ref="F90:F90">F89</f>
        <v>1</v>
      </c>
      <c r="G90" s="230"/>
      <c r="H90" s="228">
        <f>first_year+9</f>
        <v>2025</v>
      </c>
      <c r="I90" s="230"/>
      <c r="J90" s="230"/>
      <c r="K90" s="230"/>
      <c r="L90" s="230"/>
      <c r="M90" s="230"/>
      <c r="N90" s="230"/>
      <c r="O90" s="230"/>
      <c r="P90" s="230"/>
      <c r="Q90" s="230"/>
      <c r="R90" s="230"/>
      <c r="S90" s="230"/>
      <c r="T90" s="808" cm="1" t="str">
        <f t="array" ref="T90:T90">T89</f>
        <v>true</v>
      </c>
      <c r="U90" s="230"/>
      <c r="V90" s="230"/>
      <c r="W90" s="230"/>
      <c r="X90" s="230"/>
      <c r="Y90" s="230"/>
      <c r="Z90" s="230"/>
      <c r="AA90" s="230"/>
      <c r="AB90" s="333" t="str">
        <f>H90&amp;" год"</f>
        <v>2025 год</v>
      </c>
      <c r="AC90" s="2070"/>
      <c r="AD90" s="1709">
        <f>_xlfn.IFERROR(_xlfn.SUMIFS(INDEX('Операционные (5.2)'!$AT$26:$BC$45,,MATCH($H90,'Операционные (5.2)'!$AT$6:$BC$6,0)),'Операционные (5.2)'!$F$26:$F$45,$F90,'Операционные (5.2)'!$G$26:$G$45,"ИОР"),0)</f>
        <v>0</v>
      </c>
      <c r="AE90" s="2071"/>
      <c r="AF90" s="2070"/>
      <c r="AG90" s="2070"/>
      <c r="AH90" s="2071"/>
      <c r="AI90" s="2070"/>
      <c r="AJ90" s="2070"/>
      <c r="AK90" s="152">
        <f>_xlfn.IFERROR(_xlfn.SUMIFS(INDEX('Баланс Пр'!$AE$26:$BB$164,,MATCH($H90&amp;"Принято органом регулирования",'Баланс Пр'!$AE$8:$BB$8,0)),'Баланс Пр'!$Q$26:$Q$164,$F90,'Баланс Пр'!$AC$26:$AC$164,"Уровень потерь воды"),0)</f>
        <v>0</v>
      </c>
      <c r="AL90" s="230"/>
      <c r="AM90" s="230"/>
      <c r="AN90" s="1234" cm="1" t="str">
        <f t="array" ref="AN90:AN90">H90</f>
        <v>2025</v>
      </c>
    </row>
    <row s="2081" customFormat="1" customHeight="1" ht="16.5" hidden="1">
      <c r="A91" s="230"/>
      <c r="B91" s="955">
        <f>H91&lt;first_year+PERIOD_LENGTH</f>
        <v>0</v>
      </c>
      <c r="C91" s="230"/>
      <c r="D91" s="230"/>
      <c r="E91" s="797">
        <v>17.1</v>
      </c>
      <c r="F91" s="947" cm="1" t="str">
        <f t="array" ref="F91:F91">F90</f>
        <v>1</v>
      </c>
      <c r="G91" s="230"/>
      <c r="H91" s="228">
        <f>first_year+10</f>
        <v>2026</v>
      </c>
      <c r="I91" s="230"/>
      <c r="J91" s="230"/>
      <c r="K91" s="230"/>
      <c r="L91" s="230"/>
      <c r="M91" s="230"/>
      <c r="N91" s="230"/>
      <c r="O91" s="230"/>
      <c r="P91" s="230"/>
      <c r="Q91" s="230"/>
      <c r="R91" s="230"/>
      <c r="S91" s="230"/>
      <c r="T91" s="808" cm="1" t="str">
        <f t="array" ref="T91:T91">T90</f>
        <v>true</v>
      </c>
      <c r="U91" s="230"/>
      <c r="V91" s="230"/>
      <c r="W91" s="230"/>
      <c r="X91" s="230"/>
      <c r="Y91" s="230"/>
      <c r="Z91" s="230"/>
      <c r="AA91" s="230"/>
      <c r="AB91" s="333" t="str">
        <f>H91&amp;" год"</f>
        <v>2026 год</v>
      </c>
      <c r="AC91" s="150"/>
      <c r="AD91" s="151"/>
      <c r="AE91" s="151"/>
      <c r="AF91" s="150"/>
      <c r="AG91" s="150"/>
      <c r="AH91" s="151"/>
      <c r="AI91" s="150"/>
      <c r="AJ91" s="150"/>
      <c r="AK91" s="152"/>
      <c r="AL91" s="230"/>
      <c r="AM91" s="230"/>
      <c r="AN91" s="1234" cm="1" t="str">
        <f t="array" ref="AN91:AN91">H91</f>
        <v>2026</v>
      </c>
    </row>
    <row s="2082" customFormat="1" customHeight="1" ht="16.5" hidden="1">
      <c r="A92" s="230"/>
      <c r="B92" s="955">
        <f>H92&lt;first_year+PERIOD_LENGTH</f>
        <v>0</v>
      </c>
      <c r="C92" s="230"/>
      <c r="D92" s="230"/>
      <c r="E92" s="797">
        <v>17.1</v>
      </c>
      <c r="F92" s="947" cm="1" t="str">
        <f t="array" ref="F92:F92">F91</f>
        <v>1</v>
      </c>
      <c r="G92" s="230"/>
      <c r="H92" s="228">
        <f>first_year+11</f>
        <v>2027</v>
      </c>
      <c r="I92" s="230"/>
      <c r="J92" s="230"/>
      <c r="K92" s="230"/>
      <c r="L92" s="230"/>
      <c r="M92" s="230"/>
      <c r="N92" s="230"/>
      <c r="O92" s="230"/>
      <c r="P92" s="230"/>
      <c r="Q92" s="230"/>
      <c r="R92" s="230"/>
      <c r="S92" s="230"/>
      <c r="T92" s="808" cm="1" t="str">
        <f t="array" ref="T92:T92">T91</f>
        <v>true</v>
      </c>
      <c r="U92" s="230"/>
      <c r="V92" s="230"/>
      <c r="W92" s="230"/>
      <c r="X92" s="230"/>
      <c r="Y92" s="230"/>
      <c r="Z92" s="230"/>
      <c r="AA92" s="230"/>
      <c r="AB92" s="333" t="str">
        <f>H92&amp;" год"</f>
        <v>2027 год</v>
      </c>
      <c r="AC92" s="150"/>
      <c r="AD92" s="151"/>
      <c r="AE92" s="151"/>
      <c r="AF92" s="150"/>
      <c r="AG92" s="150"/>
      <c r="AH92" s="151"/>
      <c r="AI92" s="150"/>
      <c r="AJ92" s="150"/>
      <c r="AK92" s="152"/>
      <c r="AL92" s="230"/>
      <c r="AM92" s="230"/>
      <c r="AN92" s="1234" cm="1" t="str">
        <f t="array" ref="AN92:AN92">H92</f>
        <v>2027</v>
      </c>
    </row>
    <row s="2083" customFormat="1" customHeight="1" ht="16.5" hidden="1">
      <c r="A93" s="230"/>
      <c r="B93" s="955">
        <f>H93&lt;first_year+PERIOD_LENGTH</f>
        <v>0</v>
      </c>
      <c r="C93" s="230"/>
      <c r="D93" s="230"/>
      <c r="E93" s="797">
        <v>17.1</v>
      </c>
      <c r="F93" s="947" cm="1" t="str">
        <f t="array" ref="F93:F93">F92</f>
        <v>1</v>
      </c>
      <c r="G93" s="230"/>
      <c r="H93" s="228">
        <f>first_year+12</f>
        <v>2028</v>
      </c>
      <c r="I93" s="230"/>
      <c r="J93" s="230"/>
      <c r="K93" s="230"/>
      <c r="L93" s="230"/>
      <c r="M93" s="230"/>
      <c r="N93" s="230"/>
      <c r="O93" s="230"/>
      <c r="P93" s="230"/>
      <c r="Q93" s="230"/>
      <c r="R93" s="230"/>
      <c r="S93" s="230"/>
      <c r="T93" s="808" cm="1" t="str">
        <f t="array" ref="T93:T93">T92</f>
        <v>true</v>
      </c>
      <c r="U93" s="230"/>
      <c r="V93" s="230"/>
      <c r="W93" s="230"/>
      <c r="X93" s="230"/>
      <c r="Y93" s="230"/>
      <c r="Z93" s="230"/>
      <c r="AA93" s="230"/>
      <c r="AB93" s="333" t="str">
        <f>H93&amp;" год"</f>
        <v>2028 год</v>
      </c>
      <c r="AC93" s="150"/>
      <c r="AD93" s="151"/>
      <c r="AE93" s="151"/>
      <c r="AF93" s="150"/>
      <c r="AG93" s="150"/>
      <c r="AH93" s="151"/>
      <c r="AI93" s="150"/>
      <c r="AJ93" s="150"/>
      <c r="AK93" s="152"/>
      <c r="AL93" s="230"/>
      <c r="AM93" s="230"/>
      <c r="AN93" s="1234" cm="1" t="str">
        <f t="array" ref="AN93:AN93">H93</f>
        <v>2028</v>
      </c>
    </row>
    <row s="2084" customFormat="1" customHeight="1" ht="16.5" hidden="1">
      <c r="A94" s="230"/>
      <c r="B94" s="955">
        <f>H94&lt;first_year+PERIOD_LENGTH</f>
        <v>0</v>
      </c>
      <c r="C94" s="230"/>
      <c r="D94" s="230"/>
      <c r="E94" s="797">
        <v>17.1</v>
      </c>
      <c r="F94" s="947" cm="1" t="str">
        <f t="array" ref="F94:F94">F93</f>
        <v>1</v>
      </c>
      <c r="G94" s="230"/>
      <c r="H94" s="228">
        <f>first_year+13</f>
        <v>2029</v>
      </c>
      <c r="I94" s="230"/>
      <c r="J94" s="230"/>
      <c r="K94" s="230"/>
      <c r="L94" s="230"/>
      <c r="M94" s="230"/>
      <c r="N94" s="230"/>
      <c r="O94" s="230"/>
      <c r="P94" s="230"/>
      <c r="Q94" s="230"/>
      <c r="R94" s="230"/>
      <c r="S94" s="230"/>
      <c r="T94" s="808" cm="1" t="str">
        <f t="array" ref="T94:T94">T93</f>
        <v>true</v>
      </c>
      <c r="U94" s="230"/>
      <c r="V94" s="230"/>
      <c r="W94" s="230"/>
      <c r="X94" s="230"/>
      <c r="Y94" s="230"/>
      <c r="Z94" s="230"/>
      <c r="AA94" s="230"/>
      <c r="AB94" s="333" t="str">
        <f>H94&amp;" год"</f>
        <v>2029 год</v>
      </c>
      <c r="AC94" s="150"/>
      <c r="AD94" s="151"/>
      <c r="AE94" s="151"/>
      <c r="AF94" s="150"/>
      <c r="AG94" s="150"/>
      <c r="AH94" s="151"/>
      <c r="AI94" s="150"/>
      <c r="AJ94" s="150"/>
      <c r="AK94" s="152"/>
      <c r="AL94" s="230"/>
      <c r="AM94" s="230"/>
      <c r="AN94" s="1234" cm="1" t="str">
        <f t="array" ref="AN94:AN94">H94</f>
        <v>2029</v>
      </c>
    </row>
    <row s="2085" customFormat="1" customHeight="1" ht="16.5" hidden="1">
      <c r="A95" s="230"/>
      <c r="B95" s="955">
        <f>H95&lt;first_year+PERIOD_LENGTH</f>
        <v>0</v>
      </c>
      <c r="C95" s="230"/>
      <c r="D95" s="230"/>
      <c r="E95" s="797">
        <v>17.1</v>
      </c>
      <c r="F95" s="947" cm="1" t="str">
        <f t="array" ref="F95:F95">F94</f>
        <v>1</v>
      </c>
      <c r="G95" s="230"/>
      <c r="H95" s="228">
        <f>first_year+14</f>
        <v>2030</v>
      </c>
      <c r="I95" s="230"/>
      <c r="J95" s="230"/>
      <c r="K95" s="230"/>
      <c r="L95" s="230"/>
      <c r="M95" s="230"/>
      <c r="N95" s="230"/>
      <c r="O95" s="230"/>
      <c r="P95" s="230"/>
      <c r="Q95" s="230"/>
      <c r="R95" s="230"/>
      <c r="S95" s="230"/>
      <c r="T95" s="808" cm="1" t="str">
        <f t="array" ref="T95:T95">T94</f>
        <v>true</v>
      </c>
      <c r="U95" s="230"/>
      <c r="V95" s="230"/>
      <c r="W95" s="230"/>
      <c r="X95" s="230"/>
      <c r="Y95" s="230"/>
      <c r="Z95" s="230"/>
      <c r="AA95" s="230"/>
      <c r="AB95" s="333" t="str">
        <f>H95&amp;" год"</f>
        <v>2030 год</v>
      </c>
      <c r="AC95" s="150"/>
      <c r="AD95" s="151"/>
      <c r="AE95" s="151"/>
      <c r="AF95" s="150"/>
      <c r="AG95" s="150"/>
      <c r="AH95" s="151"/>
      <c r="AI95" s="150"/>
      <c r="AJ95" s="150"/>
      <c r="AK95" s="152"/>
      <c r="AL95" s="230"/>
      <c r="AM95" s="230"/>
      <c r="AN95" s="1234" cm="1" t="str">
        <f t="array" ref="AN95:AN95">H95</f>
        <v>2030</v>
      </c>
    </row>
    <row s="2086" customFormat="1" customHeight="1" ht="16.5" hidden="1">
      <c r="A96" s="230"/>
      <c r="B96" s="955">
        <f>H96&lt;first_year+PERIOD_LENGTH</f>
        <v>0</v>
      </c>
      <c r="C96" s="230"/>
      <c r="D96" s="230"/>
      <c r="E96" s="797">
        <v>17.1</v>
      </c>
      <c r="F96" s="947" cm="1" t="str">
        <f t="array" ref="F96:F96">F95</f>
        <v>1</v>
      </c>
      <c r="G96" s="230"/>
      <c r="H96" s="228">
        <f>first_year+15</f>
        <v>2031</v>
      </c>
      <c r="I96" s="230"/>
      <c r="J96" s="230"/>
      <c r="K96" s="230"/>
      <c r="L96" s="230"/>
      <c r="M96" s="230"/>
      <c r="N96" s="230"/>
      <c r="O96" s="230"/>
      <c r="P96" s="230"/>
      <c r="Q96" s="230"/>
      <c r="R96" s="230"/>
      <c r="S96" s="230"/>
      <c r="T96" s="808" cm="1" t="str">
        <f t="array" ref="T96:T96">T95</f>
        <v>true</v>
      </c>
      <c r="U96" s="230"/>
      <c r="V96" s="230"/>
      <c r="W96" s="230"/>
      <c r="X96" s="230"/>
      <c r="Y96" s="230"/>
      <c r="Z96" s="230"/>
      <c r="AA96" s="230"/>
      <c r="AB96" s="333" t="str">
        <f>H96&amp;" год"</f>
        <v>2031 год</v>
      </c>
      <c r="AC96" s="150"/>
      <c r="AD96" s="151"/>
      <c r="AE96" s="151"/>
      <c r="AF96" s="150"/>
      <c r="AG96" s="150"/>
      <c r="AH96" s="151"/>
      <c r="AI96" s="150"/>
      <c r="AJ96" s="150"/>
      <c r="AK96" s="152"/>
      <c r="AL96" s="230"/>
      <c r="AM96" s="230"/>
      <c r="AN96" s="1234" cm="1" t="str">
        <f t="array" ref="AN96:AN96">H96</f>
        <v>2031</v>
      </c>
    </row>
    <row s="2087" customFormat="1" customHeight="1" ht="16.5" hidden="1">
      <c r="A97" s="230"/>
      <c r="B97" s="955">
        <f>H97&lt;first_year+PERIOD_LENGTH</f>
        <v>0</v>
      </c>
      <c r="C97" s="230"/>
      <c r="D97" s="230"/>
      <c r="E97" s="797">
        <v>17.1</v>
      </c>
      <c r="F97" s="947" cm="1" t="str">
        <f t="array" ref="F97:F97">F96</f>
        <v>1</v>
      </c>
      <c r="G97" s="230"/>
      <c r="H97" s="228">
        <f>first_year+16</f>
        <v>2032</v>
      </c>
      <c r="I97" s="230"/>
      <c r="J97" s="230"/>
      <c r="K97" s="230"/>
      <c r="L97" s="230"/>
      <c r="M97" s="230"/>
      <c r="N97" s="230"/>
      <c r="O97" s="230"/>
      <c r="P97" s="230"/>
      <c r="Q97" s="230"/>
      <c r="R97" s="230"/>
      <c r="S97" s="230"/>
      <c r="T97" s="808" cm="1" t="str">
        <f t="array" ref="T97:T97">T96</f>
        <v>true</v>
      </c>
      <c r="U97" s="230"/>
      <c r="V97" s="230"/>
      <c r="W97" s="230"/>
      <c r="X97" s="230"/>
      <c r="Y97" s="230"/>
      <c r="Z97" s="230"/>
      <c r="AA97" s="230"/>
      <c r="AB97" s="333" t="str">
        <f>H97&amp;" год"</f>
        <v>2032 год</v>
      </c>
      <c r="AC97" s="150"/>
      <c r="AD97" s="151"/>
      <c r="AE97" s="151"/>
      <c r="AF97" s="150"/>
      <c r="AG97" s="150"/>
      <c r="AH97" s="151"/>
      <c r="AI97" s="150"/>
      <c r="AJ97" s="150"/>
      <c r="AK97" s="152"/>
      <c r="AL97" s="230"/>
      <c r="AM97" s="230"/>
      <c r="AN97" s="1234" cm="1" t="str">
        <f t="array" ref="AN97:AN97">H97</f>
        <v>2032</v>
      </c>
    </row>
    <row s="2088" customFormat="1" customHeight="1" ht="16.5" hidden="1">
      <c r="A98" s="230"/>
      <c r="B98" s="955">
        <f>H98&lt;first_year+PERIOD_LENGTH</f>
        <v>0</v>
      </c>
      <c r="C98" s="230"/>
      <c r="D98" s="230"/>
      <c r="E98" s="797">
        <v>17.1</v>
      </c>
      <c r="F98" s="947" cm="1" t="str">
        <f t="array" ref="F98:F98">F97</f>
        <v>1</v>
      </c>
      <c r="G98" s="230"/>
      <c r="H98" s="228">
        <f>first_year+17</f>
        <v>2033</v>
      </c>
      <c r="I98" s="230"/>
      <c r="J98" s="230"/>
      <c r="K98" s="230"/>
      <c r="L98" s="230"/>
      <c r="M98" s="230"/>
      <c r="N98" s="230"/>
      <c r="O98" s="230"/>
      <c r="P98" s="230"/>
      <c r="Q98" s="230"/>
      <c r="R98" s="230"/>
      <c r="S98" s="230"/>
      <c r="T98" s="808" cm="1" t="str">
        <f t="array" ref="T98:T98">T97</f>
        <v>true</v>
      </c>
      <c r="U98" s="230"/>
      <c r="V98" s="230"/>
      <c r="W98" s="230"/>
      <c r="X98" s="230"/>
      <c r="Y98" s="230"/>
      <c r="Z98" s="230"/>
      <c r="AA98" s="230"/>
      <c r="AB98" s="333" t="str">
        <f>H98&amp;" год"</f>
        <v>2033 год</v>
      </c>
      <c r="AC98" s="150"/>
      <c r="AD98" s="151"/>
      <c r="AE98" s="151"/>
      <c r="AF98" s="150"/>
      <c r="AG98" s="150"/>
      <c r="AH98" s="151"/>
      <c r="AI98" s="150"/>
      <c r="AJ98" s="150"/>
      <c r="AK98" s="152"/>
      <c r="AL98" s="230"/>
      <c r="AM98" s="230"/>
      <c r="AN98" s="1234" cm="1" t="str">
        <f t="array" ref="AN98:AN98">H98</f>
        <v>2033</v>
      </c>
    </row>
    <row s="2089" customFormat="1" customHeight="1" ht="16.5" hidden="1">
      <c r="A99" s="230"/>
      <c r="B99" s="955">
        <f>H99&lt;first_year+PERIOD_LENGTH</f>
        <v>0</v>
      </c>
      <c r="C99" s="230"/>
      <c r="D99" s="230"/>
      <c r="E99" s="797">
        <v>17.1</v>
      </c>
      <c r="F99" s="947" cm="1" t="str">
        <f t="array" ref="F99:F99">F98</f>
        <v>1</v>
      </c>
      <c r="G99" s="230"/>
      <c r="H99" s="228">
        <f>first_year+18</f>
        <v>2034</v>
      </c>
      <c r="I99" s="230"/>
      <c r="J99" s="230"/>
      <c r="K99" s="230"/>
      <c r="L99" s="230"/>
      <c r="M99" s="230"/>
      <c r="N99" s="230"/>
      <c r="O99" s="230"/>
      <c r="P99" s="230"/>
      <c r="Q99" s="230"/>
      <c r="R99" s="230"/>
      <c r="S99" s="230"/>
      <c r="T99" s="808" cm="1" t="str">
        <f t="array" ref="T99:T99">T98</f>
        <v>true</v>
      </c>
      <c r="U99" s="230"/>
      <c r="V99" s="230"/>
      <c r="W99" s="230"/>
      <c r="X99" s="230"/>
      <c r="Y99" s="230"/>
      <c r="Z99" s="230"/>
      <c r="AA99" s="230"/>
      <c r="AB99" s="333" t="str">
        <f>H99&amp;" год"</f>
        <v>2034 год</v>
      </c>
      <c r="AC99" s="150"/>
      <c r="AD99" s="151"/>
      <c r="AE99" s="151"/>
      <c r="AF99" s="150"/>
      <c r="AG99" s="150"/>
      <c r="AH99" s="151"/>
      <c r="AI99" s="150"/>
      <c r="AJ99" s="150"/>
      <c r="AK99" s="152"/>
      <c r="AL99" s="230"/>
      <c r="AM99" s="230"/>
      <c r="AN99" s="1234" cm="1" t="str">
        <f t="array" ref="AN99:AN99">H99</f>
        <v>2034</v>
      </c>
    </row>
    <row s="2090" customFormat="1" customHeight="1" ht="16.5" hidden="1">
      <c r="A100" s="230"/>
      <c r="B100" s="955">
        <f>H100&lt;first_year+PERIOD_LENGTH</f>
        <v>0</v>
      </c>
      <c r="C100" s="230"/>
      <c r="D100" s="230"/>
      <c r="E100" s="797">
        <v>17.1</v>
      </c>
      <c r="F100" s="947" cm="1" t="str">
        <f t="array" ref="F100:F100">F99</f>
        <v>1</v>
      </c>
      <c r="G100" s="230"/>
      <c r="H100" s="228">
        <f>first_year+19</f>
        <v>2035</v>
      </c>
      <c r="I100" s="230"/>
      <c r="J100" s="230"/>
      <c r="K100" s="230"/>
      <c r="L100" s="230"/>
      <c r="M100" s="230"/>
      <c r="N100" s="230"/>
      <c r="O100" s="230"/>
      <c r="P100" s="230"/>
      <c r="Q100" s="230"/>
      <c r="R100" s="230"/>
      <c r="S100" s="230"/>
      <c r="T100" s="808" cm="1" t="str">
        <f t="array" ref="T100:T100">T99</f>
        <v>true</v>
      </c>
      <c r="U100" s="230"/>
      <c r="V100" s="230"/>
      <c r="W100" s="230"/>
      <c r="X100" s="230"/>
      <c r="Y100" s="230"/>
      <c r="Z100" s="230"/>
      <c r="AA100" s="230"/>
      <c r="AB100" s="333" t="str">
        <f>H100&amp;" год"</f>
        <v>2035 год</v>
      </c>
      <c r="AC100" s="150"/>
      <c r="AD100" s="151"/>
      <c r="AE100" s="151"/>
      <c r="AF100" s="150"/>
      <c r="AG100" s="150"/>
      <c r="AH100" s="151"/>
      <c r="AI100" s="150"/>
      <c r="AJ100" s="150"/>
      <c r="AK100" s="152"/>
      <c r="AL100" s="230"/>
      <c r="AM100" s="230"/>
      <c r="AN100" s="1234" cm="1" t="str">
        <f t="array" ref="AN100:AN100">H100</f>
        <v>2035</v>
      </c>
    </row>
    <row s="2091" customFormat="1" customHeight="1" ht="16.5" hidden="1">
      <c r="A101" s="230"/>
      <c r="B101" s="955">
        <f>H101&lt;first_year+PERIOD_LENGTH</f>
        <v>0</v>
      </c>
      <c r="C101" s="230"/>
      <c r="D101" s="230"/>
      <c r="E101" s="797">
        <v>17.1</v>
      </c>
      <c r="F101" s="947" cm="1" t="str">
        <f t="array" ref="F101:F101">F100</f>
        <v>1</v>
      </c>
      <c r="G101" s="230"/>
      <c r="H101" s="228">
        <f>first_year+20</f>
        <v>2036</v>
      </c>
      <c r="I101" s="230"/>
      <c r="J101" s="230"/>
      <c r="K101" s="230"/>
      <c r="L101" s="230"/>
      <c r="M101" s="230"/>
      <c r="N101" s="230"/>
      <c r="O101" s="230"/>
      <c r="P101" s="230"/>
      <c r="Q101" s="230"/>
      <c r="R101" s="230"/>
      <c r="S101" s="230"/>
      <c r="T101" s="808" cm="1" t="str">
        <f t="array" ref="T101:T101">T100</f>
        <v>true</v>
      </c>
      <c r="U101" s="230"/>
      <c r="V101" s="230"/>
      <c r="W101" s="230"/>
      <c r="X101" s="230"/>
      <c r="Y101" s="230"/>
      <c r="Z101" s="230"/>
      <c r="AA101" s="230"/>
      <c r="AB101" s="333" t="str">
        <f>H101&amp;" год"</f>
        <v>2036 год</v>
      </c>
      <c r="AC101" s="150"/>
      <c r="AD101" s="151"/>
      <c r="AE101" s="151"/>
      <c r="AF101" s="150"/>
      <c r="AG101" s="150"/>
      <c r="AH101" s="151"/>
      <c r="AI101" s="150"/>
      <c r="AJ101" s="150"/>
      <c r="AK101" s="152"/>
      <c r="AL101" s="230"/>
      <c r="AM101" s="230"/>
      <c r="AN101" s="1234" cm="1" t="str">
        <f t="array" ref="AN101:AN101">H101</f>
        <v>2036</v>
      </c>
    </row>
    <row s="2092" customFormat="1" customHeight="1" ht="16.5" hidden="1">
      <c r="A102" s="230"/>
      <c r="B102" s="955">
        <f>H102&lt;first_year+PERIOD_LENGTH</f>
        <v>0</v>
      </c>
      <c r="C102" s="230"/>
      <c r="D102" s="230"/>
      <c r="E102" s="797">
        <v>17.1</v>
      </c>
      <c r="F102" s="947" cm="1" t="str">
        <f t="array" ref="F102:F102">F101</f>
        <v>1</v>
      </c>
      <c r="G102" s="230"/>
      <c r="H102" s="228">
        <f>first_year+21</f>
        <v>2037</v>
      </c>
      <c r="I102" s="230"/>
      <c r="J102" s="230"/>
      <c r="K102" s="230"/>
      <c r="L102" s="230"/>
      <c r="M102" s="230"/>
      <c r="N102" s="230"/>
      <c r="O102" s="230"/>
      <c r="P102" s="230"/>
      <c r="Q102" s="230"/>
      <c r="R102" s="230"/>
      <c r="S102" s="230"/>
      <c r="T102" s="808" cm="1" t="str">
        <f t="array" ref="T102:T102">T101</f>
        <v>true</v>
      </c>
      <c r="U102" s="230"/>
      <c r="V102" s="230"/>
      <c r="W102" s="230"/>
      <c r="X102" s="230"/>
      <c r="Y102" s="230"/>
      <c r="Z102" s="230"/>
      <c r="AA102" s="230"/>
      <c r="AB102" s="333" t="str">
        <f>H102&amp;" год"</f>
        <v>2037 год</v>
      </c>
      <c r="AC102" s="150"/>
      <c r="AD102" s="151"/>
      <c r="AE102" s="151"/>
      <c r="AF102" s="150"/>
      <c r="AG102" s="150"/>
      <c r="AH102" s="151"/>
      <c r="AI102" s="150"/>
      <c r="AJ102" s="150"/>
      <c r="AK102" s="152"/>
      <c r="AL102" s="230"/>
      <c r="AM102" s="230"/>
      <c r="AN102" s="1234" cm="1" t="str">
        <f t="array" ref="AN102:AN102">H102</f>
        <v>2037</v>
      </c>
    </row>
    <row s="2093" customFormat="1" customHeight="1" ht="16.5" hidden="1">
      <c r="A103" s="230"/>
      <c r="B103" s="955">
        <f>H103&lt;first_year+PERIOD_LENGTH</f>
        <v>0</v>
      </c>
      <c r="C103" s="230"/>
      <c r="D103" s="230"/>
      <c r="E103" s="797">
        <v>17.1</v>
      </c>
      <c r="F103" s="947" cm="1" t="str">
        <f t="array" ref="F103:F103">F102</f>
        <v>1</v>
      </c>
      <c r="G103" s="230"/>
      <c r="H103" s="228">
        <f>first_year+22</f>
        <v>2038</v>
      </c>
      <c r="I103" s="230"/>
      <c r="J103" s="230"/>
      <c r="K103" s="230"/>
      <c r="L103" s="230"/>
      <c r="M103" s="230"/>
      <c r="N103" s="230"/>
      <c r="O103" s="230"/>
      <c r="P103" s="230"/>
      <c r="Q103" s="230"/>
      <c r="R103" s="230"/>
      <c r="S103" s="230"/>
      <c r="T103" s="808" cm="1" t="str">
        <f t="array" ref="T103:T103">T102</f>
        <v>true</v>
      </c>
      <c r="U103" s="230"/>
      <c r="V103" s="230"/>
      <c r="W103" s="230"/>
      <c r="X103" s="230"/>
      <c r="Y103" s="230"/>
      <c r="Z103" s="230"/>
      <c r="AA103" s="230"/>
      <c r="AB103" s="333" t="str">
        <f>H103&amp;" год"</f>
        <v>2038 год</v>
      </c>
      <c r="AC103" s="150"/>
      <c r="AD103" s="151"/>
      <c r="AE103" s="151"/>
      <c r="AF103" s="150"/>
      <c r="AG103" s="150"/>
      <c r="AH103" s="151"/>
      <c r="AI103" s="150"/>
      <c r="AJ103" s="150"/>
      <c r="AK103" s="152"/>
      <c r="AL103" s="230"/>
      <c r="AM103" s="230"/>
      <c r="AN103" s="1234" cm="1" t="str">
        <f t="array" ref="AN103:AN103">H103</f>
        <v>2038</v>
      </c>
    </row>
    <row s="2094" customFormat="1" customHeight="1" ht="16.5" hidden="1">
      <c r="A104" s="230"/>
      <c r="B104" s="955">
        <f>H104&lt;first_year+PERIOD_LENGTH</f>
        <v>0</v>
      </c>
      <c r="C104" s="230"/>
      <c r="D104" s="230"/>
      <c r="E104" s="797">
        <v>17.1</v>
      </c>
      <c r="F104" s="947" cm="1" t="str">
        <f t="array" ref="F104:F104">F103</f>
        <v>1</v>
      </c>
      <c r="G104" s="230"/>
      <c r="H104" s="228">
        <f>first_year+23</f>
        <v>2039</v>
      </c>
      <c r="I104" s="230"/>
      <c r="J104" s="230"/>
      <c r="K104" s="230"/>
      <c r="L104" s="230"/>
      <c r="M104" s="230"/>
      <c r="N104" s="230"/>
      <c r="O104" s="230"/>
      <c r="P104" s="230"/>
      <c r="Q104" s="230"/>
      <c r="R104" s="230"/>
      <c r="S104" s="230"/>
      <c r="T104" s="808" cm="1" t="str">
        <f t="array" ref="T104:T104">T103</f>
        <v>true</v>
      </c>
      <c r="U104" s="230"/>
      <c r="V104" s="230"/>
      <c r="W104" s="230"/>
      <c r="X104" s="230"/>
      <c r="Y104" s="230"/>
      <c r="Z104" s="230"/>
      <c r="AA104" s="230"/>
      <c r="AB104" s="333" t="str">
        <f>H104&amp;" год"</f>
        <v>2039 год</v>
      </c>
      <c r="AC104" s="150"/>
      <c r="AD104" s="151"/>
      <c r="AE104" s="151"/>
      <c r="AF104" s="150"/>
      <c r="AG104" s="150"/>
      <c r="AH104" s="151"/>
      <c r="AI104" s="150"/>
      <c r="AJ104" s="150"/>
      <c r="AK104" s="152"/>
      <c r="AL104" s="230"/>
      <c r="AM104" s="230"/>
      <c r="AN104" s="1234" cm="1" t="str">
        <f t="array" ref="AN104:AN104">H104</f>
        <v>2039</v>
      </c>
    </row>
    <row s="2095" customFormat="1" customHeight="1" ht="16.5" hidden="1">
      <c r="A105" s="230"/>
      <c r="B105" s="955">
        <f>H105&lt;first_year+PERIOD_LENGTH</f>
        <v>0</v>
      </c>
      <c r="C105" s="230"/>
      <c r="D105" s="230"/>
      <c r="E105" s="797">
        <v>17.1</v>
      </c>
      <c r="F105" s="947" cm="1" t="str">
        <f t="array" ref="F105:F105">F104</f>
        <v>1</v>
      </c>
      <c r="G105" s="230"/>
      <c r="H105" s="228">
        <f>first_year+24</f>
        <v>2040</v>
      </c>
      <c r="I105" s="230"/>
      <c r="J105" s="230"/>
      <c r="K105" s="230"/>
      <c r="L105" s="230"/>
      <c r="M105" s="230"/>
      <c r="N105" s="230"/>
      <c r="O105" s="230"/>
      <c r="P105" s="230"/>
      <c r="Q105" s="230"/>
      <c r="R105" s="230"/>
      <c r="S105" s="230"/>
      <c r="T105" s="808" cm="1" t="str">
        <f t="array" ref="T105:T105">T104</f>
        <v>true</v>
      </c>
      <c r="U105" s="230"/>
      <c r="V105" s="230"/>
      <c r="W105" s="230"/>
      <c r="X105" s="230"/>
      <c r="Y105" s="230"/>
      <c r="Z105" s="230"/>
      <c r="AA105" s="230"/>
      <c r="AB105" s="333" t="str">
        <f>H105&amp;" год"</f>
        <v>2040 год</v>
      </c>
      <c r="AC105" s="150"/>
      <c r="AD105" s="151"/>
      <c r="AE105" s="151"/>
      <c r="AF105" s="150"/>
      <c r="AG105" s="150"/>
      <c r="AH105" s="151"/>
      <c r="AI105" s="150"/>
      <c r="AJ105" s="150"/>
      <c r="AK105" s="152"/>
      <c r="AL105" s="230"/>
      <c r="AM105" s="230"/>
      <c r="AN105" s="1234" cm="1" t="str">
        <f t="array" ref="AN105:AN105">H105</f>
        <v>2040</v>
      </c>
    </row>
    <row s="2096" customFormat="1" customHeight="1" ht="16.5" hidden="1">
      <c r="A106" s="230"/>
      <c r="B106" s="955">
        <f>H106&lt;first_year+PERIOD_LENGTH</f>
        <v>0</v>
      </c>
      <c r="C106" s="230"/>
      <c r="D106" s="230"/>
      <c r="E106" s="797">
        <v>17.1</v>
      </c>
      <c r="F106" s="947" cm="1" t="str">
        <f t="array" ref="F106:F106">F105</f>
        <v>1</v>
      </c>
      <c r="G106" s="230"/>
      <c r="H106" s="228">
        <f>first_year+25</f>
        <v>2041</v>
      </c>
      <c r="I106" s="230"/>
      <c r="J106" s="230"/>
      <c r="K106" s="230"/>
      <c r="L106" s="230"/>
      <c r="M106" s="230"/>
      <c r="N106" s="230"/>
      <c r="O106" s="230"/>
      <c r="P106" s="230"/>
      <c r="Q106" s="230"/>
      <c r="R106" s="230"/>
      <c r="S106" s="230"/>
      <c r="T106" s="808" cm="1" t="str">
        <f t="array" ref="T106:T106">T105</f>
        <v>true</v>
      </c>
      <c r="U106" s="230"/>
      <c r="V106" s="230"/>
      <c r="W106" s="230"/>
      <c r="X106" s="230"/>
      <c r="Y106" s="230"/>
      <c r="Z106" s="230"/>
      <c r="AA106" s="230"/>
      <c r="AB106" s="333" t="str">
        <f>H106&amp;" год"</f>
        <v>2041 год</v>
      </c>
      <c r="AC106" s="150"/>
      <c r="AD106" s="151"/>
      <c r="AE106" s="151"/>
      <c r="AF106" s="150"/>
      <c r="AG106" s="150"/>
      <c r="AH106" s="151"/>
      <c r="AI106" s="150"/>
      <c r="AJ106" s="150"/>
      <c r="AK106" s="152"/>
      <c r="AL106" s="230"/>
      <c r="AM106" s="230"/>
      <c r="AN106" s="1234" cm="1" t="str">
        <f t="array" ref="AN106:AN106">H106</f>
        <v>2041</v>
      </c>
    </row>
    <row s="2097" customFormat="1" customHeight="1" ht="16.5" hidden="1">
      <c r="A107" s="230"/>
      <c r="B107" s="955">
        <f>H107&lt;first_year+PERIOD_LENGTH</f>
        <v>0</v>
      </c>
      <c r="C107" s="230"/>
      <c r="D107" s="230"/>
      <c r="E107" s="797">
        <v>17.1</v>
      </c>
      <c r="F107" s="947" cm="1" t="str">
        <f t="array" ref="F107:F107">F106</f>
        <v>1</v>
      </c>
      <c r="G107" s="230"/>
      <c r="H107" s="228">
        <f>first_year+26</f>
        <v>2042</v>
      </c>
      <c r="I107" s="230"/>
      <c r="J107" s="230"/>
      <c r="K107" s="230"/>
      <c r="L107" s="230"/>
      <c r="M107" s="230"/>
      <c r="N107" s="230"/>
      <c r="O107" s="230"/>
      <c r="P107" s="230"/>
      <c r="Q107" s="230"/>
      <c r="R107" s="230"/>
      <c r="S107" s="230"/>
      <c r="T107" s="808" cm="1" t="str">
        <f t="array" ref="T107:T107">T106</f>
        <v>true</v>
      </c>
      <c r="U107" s="230"/>
      <c r="V107" s="230"/>
      <c r="W107" s="230"/>
      <c r="X107" s="230"/>
      <c r="Y107" s="230"/>
      <c r="Z107" s="230"/>
      <c r="AA107" s="230"/>
      <c r="AB107" s="333" t="str">
        <f>H107&amp;" год"</f>
        <v>2042 год</v>
      </c>
      <c r="AC107" s="150"/>
      <c r="AD107" s="151"/>
      <c r="AE107" s="151"/>
      <c r="AF107" s="150"/>
      <c r="AG107" s="150"/>
      <c r="AH107" s="151"/>
      <c r="AI107" s="150"/>
      <c r="AJ107" s="150"/>
      <c r="AK107" s="152"/>
      <c r="AL107" s="230"/>
      <c r="AM107" s="230"/>
      <c r="AN107" s="1234" cm="1" t="str">
        <f t="array" ref="AN107:AN107">H107</f>
        <v>2042</v>
      </c>
    </row>
    <row s="2098" customFormat="1" customHeight="1" ht="16.5" hidden="1">
      <c r="A108" s="230"/>
      <c r="B108" s="955">
        <f>H108&lt;first_year+PERIOD_LENGTH</f>
        <v>0</v>
      </c>
      <c r="C108" s="230"/>
      <c r="D108" s="230"/>
      <c r="E108" s="797">
        <v>17.1</v>
      </c>
      <c r="F108" s="947" cm="1" t="str">
        <f t="array" ref="F108:F108">F107</f>
        <v>1</v>
      </c>
      <c r="G108" s="230"/>
      <c r="H108" s="228">
        <f>first_year+27</f>
        <v>2043</v>
      </c>
      <c r="I108" s="230"/>
      <c r="J108" s="230"/>
      <c r="K108" s="230"/>
      <c r="L108" s="230"/>
      <c r="M108" s="230"/>
      <c r="N108" s="230"/>
      <c r="O108" s="230"/>
      <c r="P108" s="230"/>
      <c r="Q108" s="230"/>
      <c r="R108" s="230"/>
      <c r="S108" s="230"/>
      <c r="T108" s="808" cm="1" t="str">
        <f t="array" ref="T108:T108">T107</f>
        <v>true</v>
      </c>
      <c r="U108" s="230"/>
      <c r="V108" s="230"/>
      <c r="W108" s="230"/>
      <c r="X108" s="230"/>
      <c r="Y108" s="230"/>
      <c r="Z108" s="230"/>
      <c r="AA108" s="230"/>
      <c r="AB108" s="333" t="str">
        <f>H108&amp;" год"</f>
        <v>2043 год</v>
      </c>
      <c r="AC108" s="150"/>
      <c r="AD108" s="151"/>
      <c r="AE108" s="151"/>
      <c r="AF108" s="150"/>
      <c r="AG108" s="150"/>
      <c r="AH108" s="151"/>
      <c r="AI108" s="150"/>
      <c r="AJ108" s="150"/>
      <c r="AK108" s="152"/>
      <c r="AL108" s="230"/>
      <c r="AM108" s="230"/>
      <c r="AN108" s="1234" cm="1" t="str">
        <f t="array" ref="AN108:AN108">H108</f>
        <v>2043</v>
      </c>
    </row>
    <row s="2099" customFormat="1" customHeight="1" ht="16.5" hidden="1">
      <c r="A109" s="230"/>
      <c r="B109" s="955">
        <f>H109&lt;first_year+PERIOD_LENGTH</f>
        <v>0</v>
      </c>
      <c r="C109" s="230"/>
      <c r="D109" s="230"/>
      <c r="E109" s="797">
        <v>17.1</v>
      </c>
      <c r="F109" s="947" cm="1" t="str">
        <f t="array" ref="F109:F109">F108</f>
        <v>1</v>
      </c>
      <c r="G109" s="230"/>
      <c r="H109" s="228">
        <f>first_year+28</f>
        <v>2044</v>
      </c>
      <c r="I109" s="230"/>
      <c r="J109" s="230"/>
      <c r="K109" s="230"/>
      <c r="L109" s="230"/>
      <c r="M109" s="230"/>
      <c r="N109" s="230"/>
      <c r="O109" s="230"/>
      <c r="P109" s="230"/>
      <c r="Q109" s="230"/>
      <c r="R109" s="230"/>
      <c r="S109" s="230"/>
      <c r="T109" s="808" cm="1" t="str">
        <f t="array" ref="T109:T109">T108</f>
        <v>true</v>
      </c>
      <c r="U109" s="230"/>
      <c r="V109" s="230"/>
      <c r="W109" s="230"/>
      <c r="X109" s="230"/>
      <c r="Y109" s="230"/>
      <c r="Z109" s="230"/>
      <c r="AA109" s="230"/>
      <c r="AB109" s="333" t="str">
        <f>H109&amp;" год"</f>
        <v>2044 год</v>
      </c>
      <c r="AC109" s="150"/>
      <c r="AD109" s="151"/>
      <c r="AE109" s="151"/>
      <c r="AF109" s="150"/>
      <c r="AG109" s="150"/>
      <c r="AH109" s="151"/>
      <c r="AI109" s="150"/>
      <c r="AJ109" s="150"/>
      <c r="AK109" s="152"/>
      <c r="AL109" s="230"/>
      <c r="AM109" s="230"/>
      <c r="AN109" s="1234" cm="1" t="str">
        <f t="array" ref="AN109:AN109">H109</f>
        <v>2044</v>
      </c>
    </row>
    <row s="2100" customFormat="1" customHeight="1" ht="16.5" hidden="1">
      <c r="A110" s="230"/>
      <c r="B110" s="955">
        <f>H110&lt;first_year+PERIOD_LENGTH</f>
        <v>0</v>
      </c>
      <c r="C110" s="230"/>
      <c r="D110" s="230"/>
      <c r="E110" s="797">
        <v>17.1</v>
      </c>
      <c r="F110" s="947" cm="1" t="str">
        <f t="array" ref="F110:F110">F109</f>
        <v>1</v>
      </c>
      <c r="G110" s="230"/>
      <c r="H110" s="228">
        <f>first_year+29</f>
        <v>2045</v>
      </c>
      <c r="I110" s="230"/>
      <c r="J110" s="230"/>
      <c r="K110" s="230"/>
      <c r="L110" s="230"/>
      <c r="M110" s="230"/>
      <c r="N110" s="230"/>
      <c r="O110" s="230"/>
      <c r="P110" s="230"/>
      <c r="Q110" s="230"/>
      <c r="R110" s="230"/>
      <c r="S110" s="230"/>
      <c r="T110" s="808" cm="1" t="str">
        <f t="array" ref="T110:T110">T109</f>
        <v>true</v>
      </c>
      <c r="U110" s="230"/>
      <c r="V110" s="230"/>
      <c r="W110" s="230"/>
      <c r="X110" s="230"/>
      <c r="Y110" s="230"/>
      <c r="Z110" s="230"/>
      <c r="AA110" s="230"/>
      <c r="AB110" s="333" t="str">
        <f>H110&amp;" год"</f>
        <v>2045 год</v>
      </c>
      <c r="AC110" s="150"/>
      <c r="AD110" s="151"/>
      <c r="AE110" s="151"/>
      <c r="AF110" s="150"/>
      <c r="AG110" s="150"/>
      <c r="AH110" s="151"/>
      <c r="AI110" s="150"/>
      <c r="AJ110" s="150"/>
      <c r="AK110" s="152"/>
      <c r="AL110" s="230"/>
      <c r="AM110" s="230"/>
      <c r="AN110" s="1234" cm="1" t="str">
        <f t="array" ref="AN110:AN110">H110</f>
        <v>2045</v>
      </c>
    </row>
    <row s="2101" customFormat="1" customHeight="1" ht="16.5" hidden="1">
      <c r="A111" s="230"/>
      <c r="B111" s="955">
        <f>H111&lt;first_year+PERIOD_LENGTH</f>
        <v>0</v>
      </c>
      <c r="C111" s="230"/>
      <c r="D111" s="230"/>
      <c r="E111" s="797">
        <v>17.1</v>
      </c>
      <c r="F111" s="947" cm="1" t="str">
        <f t="array" ref="F111:F111">F110</f>
        <v>1</v>
      </c>
      <c r="G111" s="230"/>
      <c r="H111" s="228">
        <f>first_year+30</f>
        <v>2046</v>
      </c>
      <c r="I111" s="230"/>
      <c r="J111" s="230"/>
      <c r="K111" s="230"/>
      <c r="L111" s="230"/>
      <c r="M111" s="230"/>
      <c r="N111" s="230"/>
      <c r="O111" s="230"/>
      <c r="P111" s="230"/>
      <c r="Q111" s="230"/>
      <c r="R111" s="230"/>
      <c r="S111" s="230"/>
      <c r="T111" s="808" cm="1" t="str">
        <f t="array" ref="T111:T111">T110</f>
        <v>true</v>
      </c>
      <c r="U111" s="230"/>
      <c r="V111" s="230"/>
      <c r="W111" s="230"/>
      <c r="X111" s="230"/>
      <c r="Y111" s="230"/>
      <c r="Z111" s="230"/>
      <c r="AA111" s="230"/>
      <c r="AB111" s="333" t="str">
        <f>H111&amp;" год"</f>
        <v>2046 год</v>
      </c>
      <c r="AC111" s="150"/>
      <c r="AD111" s="151"/>
      <c r="AE111" s="151"/>
      <c r="AF111" s="150"/>
      <c r="AG111" s="150"/>
      <c r="AH111" s="151"/>
      <c r="AI111" s="150"/>
      <c r="AJ111" s="150"/>
      <c r="AK111" s="152"/>
      <c r="AL111" s="230"/>
      <c r="AM111" s="230"/>
      <c r="AN111" s="1234" cm="1" t="str">
        <f t="array" ref="AN111:AN111">H111</f>
        <v>2046</v>
      </c>
    </row>
    <row s="2102" customFormat="1" customHeight="1" ht="16.5" hidden="1">
      <c r="A112" s="230"/>
      <c r="B112" s="955">
        <f>H112&lt;first_year+PERIOD_LENGTH</f>
        <v>0</v>
      </c>
      <c r="C112" s="230"/>
      <c r="D112" s="230"/>
      <c r="E112" s="797">
        <v>17.1</v>
      </c>
      <c r="F112" s="947" cm="1" t="str">
        <f t="array" ref="F112:F112">F111</f>
        <v>1</v>
      </c>
      <c r="G112" s="230"/>
      <c r="H112" s="228">
        <f>first_year+31</f>
        <v>2047</v>
      </c>
      <c r="I112" s="230"/>
      <c r="J112" s="230"/>
      <c r="K112" s="230"/>
      <c r="L112" s="230"/>
      <c r="M112" s="230"/>
      <c r="N112" s="230"/>
      <c r="O112" s="230"/>
      <c r="P112" s="230"/>
      <c r="Q112" s="230"/>
      <c r="R112" s="230"/>
      <c r="S112" s="230"/>
      <c r="T112" s="808" cm="1" t="str">
        <f t="array" ref="T112:T112">T111</f>
        <v>true</v>
      </c>
      <c r="U112" s="230"/>
      <c r="V112" s="230"/>
      <c r="W112" s="230"/>
      <c r="X112" s="230"/>
      <c r="Y112" s="230"/>
      <c r="Z112" s="230"/>
      <c r="AA112" s="230"/>
      <c r="AB112" s="333" t="str">
        <f>H112&amp;" год"</f>
        <v>2047 год</v>
      </c>
      <c r="AC112" s="150"/>
      <c r="AD112" s="151"/>
      <c r="AE112" s="151"/>
      <c r="AF112" s="150"/>
      <c r="AG112" s="150"/>
      <c r="AH112" s="151"/>
      <c r="AI112" s="150"/>
      <c r="AJ112" s="150"/>
      <c r="AK112" s="152"/>
      <c r="AL112" s="230"/>
      <c r="AM112" s="230"/>
      <c r="AN112" s="1234" cm="1" t="str">
        <f t="array" ref="AN112:AN112">H112</f>
        <v>2047</v>
      </c>
    </row>
    <row s="2103" customFormat="1" customHeight="1" ht="16.5" hidden="1">
      <c r="A113" s="230"/>
      <c r="B113" s="955">
        <f>H113&lt;first_year+PERIOD_LENGTH</f>
        <v>0</v>
      </c>
      <c r="C113" s="230"/>
      <c r="D113" s="230"/>
      <c r="E113" s="797">
        <v>17.1</v>
      </c>
      <c r="F113" s="947" cm="1" t="str">
        <f t="array" ref="F113:F113">F112</f>
        <v>1</v>
      </c>
      <c r="G113" s="230"/>
      <c r="H113" s="228">
        <f>first_year+32</f>
        <v>2048</v>
      </c>
      <c r="I113" s="230"/>
      <c r="J113" s="230"/>
      <c r="K113" s="230"/>
      <c r="L113" s="230"/>
      <c r="M113" s="230"/>
      <c r="N113" s="230"/>
      <c r="O113" s="230"/>
      <c r="P113" s="230"/>
      <c r="Q113" s="230"/>
      <c r="R113" s="230"/>
      <c r="S113" s="230"/>
      <c r="T113" s="808" cm="1" t="str">
        <f t="array" ref="T113:T113">T112</f>
        <v>true</v>
      </c>
      <c r="U113" s="230"/>
      <c r="V113" s="230"/>
      <c r="W113" s="230"/>
      <c r="X113" s="230"/>
      <c r="Y113" s="230"/>
      <c r="Z113" s="230"/>
      <c r="AA113" s="230"/>
      <c r="AB113" s="333" t="str">
        <f>H113&amp;" год"</f>
        <v>2048 год</v>
      </c>
      <c r="AC113" s="150"/>
      <c r="AD113" s="151"/>
      <c r="AE113" s="151"/>
      <c r="AF113" s="150"/>
      <c r="AG113" s="150"/>
      <c r="AH113" s="151"/>
      <c r="AI113" s="150"/>
      <c r="AJ113" s="150"/>
      <c r="AK113" s="152"/>
      <c r="AL113" s="230"/>
      <c r="AM113" s="230"/>
      <c r="AN113" s="1234" cm="1" t="str">
        <f t="array" ref="AN113:AN113">H113</f>
        <v>2048</v>
      </c>
    </row>
    <row s="2104" customFormat="1" customHeight="1" ht="16.5" hidden="1">
      <c r="A114" s="230"/>
      <c r="B114" s="955">
        <f>H114&lt;first_year+PERIOD_LENGTH</f>
        <v>0</v>
      </c>
      <c r="C114" s="230"/>
      <c r="D114" s="230"/>
      <c r="E114" s="797">
        <v>17.1</v>
      </c>
      <c r="F114" s="947" cm="1" t="str">
        <f t="array" ref="F114:F114">F113</f>
        <v>1</v>
      </c>
      <c r="G114" s="230"/>
      <c r="H114" s="228">
        <f>first_year+33</f>
        <v>2049</v>
      </c>
      <c r="I114" s="230"/>
      <c r="J114" s="230"/>
      <c r="K114" s="230"/>
      <c r="L114" s="230"/>
      <c r="M114" s="230"/>
      <c r="N114" s="230"/>
      <c r="O114" s="230"/>
      <c r="P114" s="230"/>
      <c r="Q114" s="230"/>
      <c r="R114" s="230"/>
      <c r="S114" s="230"/>
      <c r="T114" s="808" cm="1" t="str">
        <f t="array" ref="T114:T114">T113</f>
        <v>true</v>
      </c>
      <c r="U114" s="230"/>
      <c r="V114" s="230"/>
      <c r="W114" s="230"/>
      <c r="X114" s="230"/>
      <c r="Y114" s="230"/>
      <c r="Z114" s="230"/>
      <c r="AA114" s="230"/>
      <c r="AB114" s="333" t="str">
        <f>H114&amp;" год"</f>
        <v>2049 год</v>
      </c>
      <c r="AC114" s="150"/>
      <c r="AD114" s="151"/>
      <c r="AE114" s="151"/>
      <c r="AF114" s="150"/>
      <c r="AG114" s="150"/>
      <c r="AH114" s="151"/>
      <c r="AI114" s="150"/>
      <c r="AJ114" s="150"/>
      <c r="AK114" s="152"/>
      <c r="AL114" s="230"/>
      <c r="AM114" s="230"/>
      <c r="AN114" s="1234" cm="1" t="str">
        <f t="array" ref="AN114:AN114">H114</f>
        <v>2049</v>
      </c>
    </row>
    <row s="2105" customFormat="1" customHeight="1" ht="16.5" hidden="1">
      <c r="A115" s="230"/>
      <c r="B115" s="955">
        <f>H115&lt;first_year+PERIOD_LENGTH</f>
        <v>0</v>
      </c>
      <c r="C115" s="230"/>
      <c r="D115" s="230"/>
      <c r="E115" s="797">
        <v>17.1</v>
      </c>
      <c r="F115" s="947" cm="1" t="str">
        <f t="array" ref="F115:F115">F114</f>
        <v>1</v>
      </c>
      <c r="G115" s="230"/>
      <c r="H115" s="228">
        <f>first_year+34</f>
        <v>2050</v>
      </c>
      <c r="I115" s="230"/>
      <c r="J115" s="230"/>
      <c r="K115" s="230"/>
      <c r="L115" s="230"/>
      <c r="M115" s="230"/>
      <c r="N115" s="230"/>
      <c r="O115" s="230"/>
      <c r="P115" s="230"/>
      <c r="Q115" s="230"/>
      <c r="R115" s="230"/>
      <c r="S115" s="230"/>
      <c r="T115" s="808" cm="1" t="str">
        <f t="array" ref="T115:T115">T114</f>
        <v>true</v>
      </c>
      <c r="U115" s="230"/>
      <c r="V115" s="230"/>
      <c r="W115" s="230"/>
      <c r="X115" s="230"/>
      <c r="Y115" s="230"/>
      <c r="Z115" s="230"/>
      <c r="AA115" s="230"/>
      <c r="AB115" s="333" t="str">
        <f>H115&amp;" год"</f>
        <v>2050 год</v>
      </c>
      <c r="AC115" s="150"/>
      <c r="AD115" s="151"/>
      <c r="AE115" s="151"/>
      <c r="AF115" s="150"/>
      <c r="AG115" s="150"/>
      <c r="AH115" s="151"/>
      <c r="AI115" s="150"/>
      <c r="AJ115" s="150"/>
      <c r="AK115" s="152"/>
      <c r="AL115" s="230"/>
      <c r="AM115" s="230"/>
      <c r="AN115" s="1234" cm="1" t="str">
        <f t="array" ref="AN115:AN115">H115</f>
        <v>2050</v>
      </c>
    </row>
    <row s="2106" customFormat="1" customHeight="1" ht="16.5" hidden="1">
      <c r="A116" s="230"/>
      <c r="B116" s="955">
        <f>H116&lt;first_year+PERIOD_LENGTH</f>
        <v>0</v>
      </c>
      <c r="C116" s="230"/>
      <c r="D116" s="230"/>
      <c r="E116" s="797">
        <v>17.1</v>
      </c>
      <c r="F116" s="947" cm="1" t="str">
        <f t="array" ref="F116:F116">F115</f>
        <v>1</v>
      </c>
      <c r="G116" s="230"/>
      <c r="H116" s="228">
        <f>first_year+35</f>
        <v>2051</v>
      </c>
      <c r="I116" s="230"/>
      <c r="J116" s="230"/>
      <c r="K116" s="230"/>
      <c r="L116" s="230"/>
      <c r="M116" s="230"/>
      <c r="N116" s="230"/>
      <c r="O116" s="230"/>
      <c r="P116" s="230"/>
      <c r="Q116" s="230"/>
      <c r="R116" s="230"/>
      <c r="S116" s="230"/>
      <c r="T116" s="808" cm="1" t="str">
        <f t="array" ref="T116:T116">T115</f>
        <v>true</v>
      </c>
      <c r="U116" s="230"/>
      <c r="V116" s="230"/>
      <c r="W116" s="230"/>
      <c r="X116" s="230"/>
      <c r="Y116" s="230"/>
      <c r="Z116" s="230"/>
      <c r="AA116" s="230"/>
      <c r="AB116" s="333" t="str">
        <f>H116&amp;" год"</f>
        <v>2051 год</v>
      </c>
      <c r="AC116" s="150"/>
      <c r="AD116" s="151"/>
      <c r="AE116" s="151"/>
      <c r="AF116" s="150"/>
      <c r="AG116" s="150"/>
      <c r="AH116" s="151"/>
      <c r="AI116" s="150"/>
      <c r="AJ116" s="150"/>
      <c r="AK116" s="152"/>
      <c r="AL116" s="230"/>
      <c r="AM116" s="230"/>
      <c r="AN116" s="1234" cm="1" t="str">
        <f t="array" ref="AN116:AN116">H116</f>
        <v>2051</v>
      </c>
    </row>
    <row s="2107" customFormat="1" customHeight="1" ht="16.5" hidden="1">
      <c r="A117" s="230"/>
      <c r="B117" s="955">
        <f>H117&lt;first_year+PERIOD_LENGTH</f>
        <v>0</v>
      </c>
      <c r="C117" s="230"/>
      <c r="D117" s="230"/>
      <c r="E117" s="797">
        <v>17.1</v>
      </c>
      <c r="F117" s="947" cm="1" t="str">
        <f t="array" ref="F117:F117">F116</f>
        <v>1</v>
      </c>
      <c r="G117" s="230"/>
      <c r="H117" s="228">
        <f>first_year+36</f>
        <v>2052</v>
      </c>
      <c r="I117" s="230"/>
      <c r="J117" s="230"/>
      <c r="K117" s="230"/>
      <c r="L117" s="230"/>
      <c r="M117" s="230"/>
      <c r="N117" s="230"/>
      <c r="O117" s="230"/>
      <c r="P117" s="230"/>
      <c r="Q117" s="230"/>
      <c r="R117" s="230"/>
      <c r="S117" s="230"/>
      <c r="T117" s="808" cm="1" t="str">
        <f t="array" ref="T117:T117">T116</f>
        <v>true</v>
      </c>
      <c r="U117" s="230"/>
      <c r="V117" s="230"/>
      <c r="W117" s="230"/>
      <c r="X117" s="230"/>
      <c r="Y117" s="230"/>
      <c r="Z117" s="230"/>
      <c r="AA117" s="230"/>
      <c r="AB117" s="333" t="str">
        <f>H117&amp;" год"</f>
        <v>2052 год</v>
      </c>
      <c r="AC117" s="150"/>
      <c r="AD117" s="151"/>
      <c r="AE117" s="151"/>
      <c r="AF117" s="150"/>
      <c r="AG117" s="150"/>
      <c r="AH117" s="151"/>
      <c r="AI117" s="150"/>
      <c r="AJ117" s="150"/>
      <c r="AK117" s="152"/>
      <c r="AL117" s="230"/>
      <c r="AM117" s="230"/>
      <c r="AN117" s="1234" cm="1" t="str">
        <f t="array" ref="AN117:AN117">H117</f>
        <v>2052</v>
      </c>
    </row>
    <row s="2108" customFormat="1" customHeight="1" ht="16.5" hidden="1">
      <c r="A118" s="230"/>
      <c r="B118" s="955">
        <f>H118&lt;first_year+PERIOD_LENGTH</f>
        <v>0</v>
      </c>
      <c r="C118" s="230"/>
      <c r="D118" s="230"/>
      <c r="E118" s="797">
        <v>17.1</v>
      </c>
      <c r="F118" s="947" cm="1" t="str">
        <f t="array" ref="F118:F118">F117</f>
        <v>1</v>
      </c>
      <c r="G118" s="230"/>
      <c r="H118" s="228">
        <f>first_year+37</f>
        <v>2053</v>
      </c>
      <c r="I118" s="230"/>
      <c r="J118" s="230"/>
      <c r="K118" s="230"/>
      <c r="L118" s="230"/>
      <c r="M118" s="230"/>
      <c r="N118" s="230"/>
      <c r="O118" s="230"/>
      <c r="P118" s="230"/>
      <c r="Q118" s="230"/>
      <c r="R118" s="230"/>
      <c r="S118" s="230"/>
      <c r="T118" s="808" cm="1" t="str">
        <f t="array" ref="T118:T118">T117</f>
        <v>true</v>
      </c>
      <c r="U118" s="230"/>
      <c r="V118" s="230"/>
      <c r="W118" s="230"/>
      <c r="X118" s="230"/>
      <c r="Y118" s="230"/>
      <c r="Z118" s="230"/>
      <c r="AA118" s="230"/>
      <c r="AB118" s="333" t="str">
        <f>H118&amp;" год"</f>
        <v>2053 год</v>
      </c>
      <c r="AC118" s="150"/>
      <c r="AD118" s="151"/>
      <c r="AE118" s="151"/>
      <c r="AF118" s="150"/>
      <c r="AG118" s="150"/>
      <c r="AH118" s="151"/>
      <c r="AI118" s="150"/>
      <c r="AJ118" s="150"/>
      <c r="AK118" s="152"/>
      <c r="AL118" s="230"/>
      <c r="AM118" s="230"/>
      <c r="AN118" s="1234" cm="1" t="str">
        <f t="array" ref="AN118:AN118">H118</f>
        <v>2053</v>
      </c>
    </row>
    <row s="2109" customFormat="1" customHeight="1" ht="16.5" hidden="1">
      <c r="A119" s="230"/>
      <c r="B119" s="955">
        <f>H119&lt;first_year+PERIOD_LENGTH</f>
        <v>0</v>
      </c>
      <c r="C119" s="230"/>
      <c r="D119" s="230"/>
      <c r="E119" s="797">
        <v>17.1</v>
      </c>
      <c r="F119" s="947" cm="1" t="str">
        <f t="array" ref="F119:F119">F118</f>
        <v>1</v>
      </c>
      <c r="G119" s="230"/>
      <c r="H119" s="228">
        <f>first_year+38</f>
        <v>2054</v>
      </c>
      <c r="I119" s="230"/>
      <c r="J119" s="230"/>
      <c r="K119" s="230"/>
      <c r="L119" s="230"/>
      <c r="M119" s="230"/>
      <c r="N119" s="230"/>
      <c r="O119" s="230"/>
      <c r="P119" s="230"/>
      <c r="Q119" s="230"/>
      <c r="R119" s="230"/>
      <c r="S119" s="230"/>
      <c r="T119" s="808" cm="1" t="str">
        <f t="array" ref="T119:T119">T118</f>
        <v>true</v>
      </c>
      <c r="U119" s="230"/>
      <c r="V119" s="230"/>
      <c r="W119" s="230"/>
      <c r="X119" s="230"/>
      <c r="Y119" s="230"/>
      <c r="Z119" s="230"/>
      <c r="AA119" s="230"/>
      <c r="AB119" s="333" t="str">
        <f>H119&amp;" год"</f>
        <v>2054 год</v>
      </c>
      <c r="AC119" s="150"/>
      <c r="AD119" s="151"/>
      <c r="AE119" s="151"/>
      <c r="AF119" s="150"/>
      <c r="AG119" s="150"/>
      <c r="AH119" s="151"/>
      <c r="AI119" s="150"/>
      <c r="AJ119" s="150"/>
      <c r="AK119" s="152"/>
      <c r="AL119" s="230"/>
      <c r="AM119" s="230"/>
      <c r="AN119" s="1234" cm="1" t="str">
        <f t="array" ref="AN119:AN119">H119</f>
        <v>2054</v>
      </c>
    </row>
    <row s="2110" customFormat="1" customHeight="1" ht="16.5" hidden="1">
      <c r="A120" s="230"/>
      <c r="B120" s="955">
        <f>H120&lt;first_year+PERIOD_LENGTH</f>
        <v>0</v>
      </c>
      <c r="C120" s="230"/>
      <c r="D120" s="230"/>
      <c r="E120" s="797">
        <v>17.1</v>
      </c>
      <c r="F120" s="947" cm="1" t="str">
        <f t="array" ref="F120:F120">F119</f>
        <v>1</v>
      </c>
      <c r="G120" s="230"/>
      <c r="H120" s="228">
        <f>first_year+39</f>
        <v>2055</v>
      </c>
      <c r="I120" s="230"/>
      <c r="J120" s="230"/>
      <c r="K120" s="230"/>
      <c r="L120" s="230"/>
      <c r="M120" s="230"/>
      <c r="N120" s="230"/>
      <c r="O120" s="230"/>
      <c r="P120" s="230"/>
      <c r="Q120" s="230"/>
      <c r="R120" s="230"/>
      <c r="S120" s="230"/>
      <c r="T120" s="808" cm="1" t="str">
        <f t="array" ref="T120:T120">T119</f>
        <v>true</v>
      </c>
      <c r="U120" s="230"/>
      <c r="V120" s="230"/>
      <c r="W120" s="230"/>
      <c r="X120" s="230"/>
      <c r="Y120" s="230"/>
      <c r="Z120" s="230"/>
      <c r="AA120" s="230"/>
      <c r="AB120" s="333" t="str">
        <f>H120&amp;" год"</f>
        <v>2055 год</v>
      </c>
      <c r="AC120" s="150"/>
      <c r="AD120" s="151"/>
      <c r="AE120" s="151"/>
      <c r="AF120" s="150"/>
      <c r="AG120" s="150"/>
      <c r="AH120" s="151"/>
      <c r="AI120" s="150"/>
      <c r="AJ120" s="150"/>
      <c r="AK120" s="152"/>
      <c r="AL120" s="230"/>
      <c r="AM120" s="230"/>
      <c r="AN120" s="1234" cm="1" t="str">
        <f t="array" ref="AN120:AN120">H120</f>
        <v>2055</v>
      </c>
    </row>
    <row s="2111" customFormat="1" customHeight="1" ht="16.5" hidden="1">
      <c r="A121" s="230"/>
      <c r="B121" s="955">
        <f>H121&lt;first_year+PERIOD_LENGTH</f>
        <v>0</v>
      </c>
      <c r="C121" s="230"/>
      <c r="D121" s="230"/>
      <c r="E121" s="797">
        <v>17.1</v>
      </c>
      <c r="F121" s="947" cm="1" t="str">
        <f t="array" ref="F121:F121">F120</f>
        <v>1</v>
      </c>
      <c r="G121" s="230"/>
      <c r="H121" s="228">
        <f>first_year+40</f>
        <v>2056</v>
      </c>
      <c r="I121" s="230"/>
      <c r="J121" s="230"/>
      <c r="K121" s="230"/>
      <c r="L121" s="230"/>
      <c r="M121" s="230"/>
      <c r="N121" s="230"/>
      <c r="O121" s="230"/>
      <c r="P121" s="230"/>
      <c r="Q121" s="230"/>
      <c r="R121" s="230"/>
      <c r="S121" s="230"/>
      <c r="T121" s="808" cm="1" t="str">
        <f t="array" ref="T121:T121">T120</f>
        <v>true</v>
      </c>
      <c r="U121" s="230"/>
      <c r="V121" s="230"/>
      <c r="W121" s="230"/>
      <c r="X121" s="230"/>
      <c r="Y121" s="230"/>
      <c r="Z121" s="230"/>
      <c r="AA121" s="230"/>
      <c r="AB121" s="333" t="str">
        <f>H121&amp;" год"</f>
        <v>2056 год</v>
      </c>
      <c r="AC121" s="150"/>
      <c r="AD121" s="151"/>
      <c r="AE121" s="151"/>
      <c r="AF121" s="150"/>
      <c r="AG121" s="150"/>
      <c r="AH121" s="151"/>
      <c r="AI121" s="150"/>
      <c r="AJ121" s="150"/>
      <c r="AK121" s="152"/>
      <c r="AL121" s="230"/>
      <c r="AM121" s="230"/>
      <c r="AN121" s="1234" cm="1" t="str">
        <f t="array" ref="AN121:AN121">H121</f>
        <v>2056</v>
      </c>
    </row>
    <row s="2112" customFormat="1" customHeight="1" ht="16.5" hidden="1">
      <c r="A122" s="230"/>
      <c r="B122" s="955">
        <f>H122&lt;first_year+PERIOD_LENGTH</f>
        <v>0</v>
      </c>
      <c r="C122" s="230"/>
      <c r="D122" s="230"/>
      <c r="E122" s="797">
        <v>17.1</v>
      </c>
      <c r="F122" s="947" cm="1" t="str">
        <f t="array" ref="F122:F122">F121</f>
        <v>1</v>
      </c>
      <c r="G122" s="230"/>
      <c r="H122" s="228">
        <f>first_year+41</f>
        <v>2057</v>
      </c>
      <c r="I122" s="230"/>
      <c r="J122" s="230"/>
      <c r="K122" s="230"/>
      <c r="L122" s="230"/>
      <c r="M122" s="230"/>
      <c r="N122" s="230"/>
      <c r="O122" s="230"/>
      <c r="P122" s="230"/>
      <c r="Q122" s="230"/>
      <c r="R122" s="230"/>
      <c r="S122" s="230"/>
      <c r="T122" s="808" cm="1" t="str">
        <f t="array" ref="T122:T122">T121</f>
        <v>true</v>
      </c>
      <c r="U122" s="230"/>
      <c r="V122" s="230"/>
      <c r="W122" s="230"/>
      <c r="X122" s="230"/>
      <c r="Y122" s="230"/>
      <c r="Z122" s="230"/>
      <c r="AA122" s="230"/>
      <c r="AB122" s="333" t="str">
        <f>H122&amp;" год"</f>
        <v>2057 год</v>
      </c>
      <c r="AC122" s="150"/>
      <c r="AD122" s="151"/>
      <c r="AE122" s="151"/>
      <c r="AF122" s="150"/>
      <c r="AG122" s="150"/>
      <c r="AH122" s="151"/>
      <c r="AI122" s="150"/>
      <c r="AJ122" s="150"/>
      <c r="AK122" s="152"/>
      <c r="AL122" s="230"/>
      <c r="AM122" s="230"/>
      <c r="AN122" s="1234" cm="1" t="str">
        <f t="array" ref="AN122:AN122">H122</f>
        <v>2057</v>
      </c>
    </row>
    <row s="2113" customFormat="1" customHeight="1" ht="16.5" hidden="1">
      <c r="A123" s="230"/>
      <c r="B123" s="955">
        <f>H123&lt;first_year+PERIOD_LENGTH</f>
        <v>0</v>
      </c>
      <c r="C123" s="230"/>
      <c r="D123" s="230"/>
      <c r="E123" s="797">
        <v>17.1</v>
      </c>
      <c r="F123" s="947" cm="1" t="str">
        <f t="array" ref="F123:F123">F122</f>
        <v>1</v>
      </c>
      <c r="G123" s="230"/>
      <c r="H123" s="228">
        <f>first_year+42</f>
        <v>2058</v>
      </c>
      <c r="I123" s="230"/>
      <c r="J123" s="230"/>
      <c r="K123" s="230"/>
      <c r="L123" s="230"/>
      <c r="M123" s="230"/>
      <c r="N123" s="230"/>
      <c r="O123" s="230"/>
      <c r="P123" s="230"/>
      <c r="Q123" s="230"/>
      <c r="R123" s="230"/>
      <c r="S123" s="230"/>
      <c r="T123" s="808" cm="1" t="str">
        <f t="array" ref="T123:T123">T122</f>
        <v>true</v>
      </c>
      <c r="U123" s="230"/>
      <c r="V123" s="230"/>
      <c r="W123" s="230"/>
      <c r="X123" s="230"/>
      <c r="Y123" s="230"/>
      <c r="Z123" s="230"/>
      <c r="AA123" s="230"/>
      <c r="AB123" s="333" t="str">
        <f>H123&amp;" год"</f>
        <v>2058 год</v>
      </c>
      <c r="AC123" s="150"/>
      <c r="AD123" s="151"/>
      <c r="AE123" s="151"/>
      <c r="AF123" s="150"/>
      <c r="AG123" s="150"/>
      <c r="AH123" s="151"/>
      <c r="AI123" s="150"/>
      <c r="AJ123" s="150"/>
      <c r="AK123" s="152"/>
      <c r="AL123" s="230"/>
      <c r="AM123" s="230"/>
      <c r="AN123" s="1234" cm="1" t="str">
        <f t="array" ref="AN123:AN123">H123</f>
        <v>2058</v>
      </c>
    </row>
    <row s="2114" customFormat="1" customHeight="1" ht="16.5" hidden="1">
      <c r="A124" s="230"/>
      <c r="B124" s="955">
        <f>H124&lt;first_year+PERIOD_LENGTH</f>
        <v>0</v>
      </c>
      <c r="C124" s="230"/>
      <c r="D124" s="230"/>
      <c r="E124" s="797">
        <v>17.1</v>
      </c>
      <c r="F124" s="947" cm="1" t="str">
        <f t="array" ref="F124:F124">F123</f>
        <v>1</v>
      </c>
      <c r="G124" s="230"/>
      <c r="H124" s="228">
        <f>first_year+43</f>
        <v>2059</v>
      </c>
      <c r="I124" s="230"/>
      <c r="J124" s="230"/>
      <c r="K124" s="230"/>
      <c r="L124" s="230"/>
      <c r="M124" s="230"/>
      <c r="N124" s="230"/>
      <c r="O124" s="230"/>
      <c r="P124" s="230"/>
      <c r="Q124" s="230"/>
      <c r="R124" s="230"/>
      <c r="S124" s="230"/>
      <c r="T124" s="808" cm="1" t="str">
        <f t="array" ref="T124:T124">T123</f>
        <v>true</v>
      </c>
      <c r="U124" s="230"/>
      <c r="V124" s="230"/>
      <c r="W124" s="230"/>
      <c r="X124" s="230"/>
      <c r="Y124" s="230"/>
      <c r="Z124" s="230"/>
      <c r="AA124" s="230"/>
      <c r="AB124" s="333" t="str">
        <f>H124&amp;" год"</f>
        <v>2059 год</v>
      </c>
      <c r="AC124" s="150"/>
      <c r="AD124" s="151"/>
      <c r="AE124" s="151"/>
      <c r="AF124" s="150"/>
      <c r="AG124" s="150"/>
      <c r="AH124" s="151"/>
      <c r="AI124" s="150"/>
      <c r="AJ124" s="150"/>
      <c r="AK124" s="152"/>
      <c r="AL124" s="230"/>
      <c r="AM124" s="230"/>
      <c r="AN124" s="1234" cm="1" t="str">
        <f t="array" ref="AN124:AN124">H124</f>
        <v>2059</v>
      </c>
    </row>
    <row s="2115" customFormat="1" customHeight="1" ht="16.5" hidden="1">
      <c r="A125" s="230"/>
      <c r="B125" s="955">
        <f>H125&lt;first_year+PERIOD_LENGTH</f>
        <v>0</v>
      </c>
      <c r="C125" s="230"/>
      <c r="D125" s="230"/>
      <c r="E125" s="797">
        <v>17.1</v>
      </c>
      <c r="F125" s="947" cm="1" t="str">
        <f t="array" ref="F125:F125">F124</f>
        <v>1</v>
      </c>
      <c r="G125" s="230"/>
      <c r="H125" s="228">
        <f>first_year+44</f>
        <v>2060</v>
      </c>
      <c r="I125" s="230"/>
      <c r="J125" s="230"/>
      <c r="K125" s="230"/>
      <c r="L125" s="230"/>
      <c r="M125" s="230"/>
      <c r="N125" s="230"/>
      <c r="O125" s="230"/>
      <c r="P125" s="230"/>
      <c r="Q125" s="230"/>
      <c r="R125" s="230"/>
      <c r="S125" s="230"/>
      <c r="T125" s="808" cm="1" t="str">
        <f t="array" ref="T125:T125">T124</f>
        <v>true</v>
      </c>
      <c r="U125" s="230"/>
      <c r="V125" s="230"/>
      <c r="W125" s="230"/>
      <c r="X125" s="230"/>
      <c r="Y125" s="230"/>
      <c r="Z125" s="230"/>
      <c r="AA125" s="230"/>
      <c r="AB125" s="333" t="str">
        <f>H125&amp;" год"</f>
        <v>2060 год</v>
      </c>
      <c r="AC125" s="150"/>
      <c r="AD125" s="151"/>
      <c r="AE125" s="151"/>
      <c r="AF125" s="150"/>
      <c r="AG125" s="150"/>
      <c r="AH125" s="151"/>
      <c r="AI125" s="150"/>
      <c r="AJ125" s="150"/>
      <c r="AK125" s="152"/>
      <c r="AL125" s="230"/>
      <c r="AM125" s="230"/>
      <c r="AN125" s="1234" cm="1" t="str">
        <f t="array" ref="AN125:AN125">H125</f>
        <v>2060</v>
      </c>
    </row>
    <row s="2116" customFormat="1" customHeight="1" ht="16.5" hidden="1">
      <c r="A126" s="230"/>
      <c r="B126" s="955">
        <f>H126&lt;first_year+PERIOD_LENGTH</f>
        <v>0</v>
      </c>
      <c r="C126" s="230"/>
      <c r="D126" s="230"/>
      <c r="E126" s="797">
        <v>17.1</v>
      </c>
      <c r="F126" s="947" cm="1" t="str">
        <f t="array" ref="F126:F126">F125</f>
        <v>1</v>
      </c>
      <c r="G126" s="230"/>
      <c r="H126" s="228">
        <f>first_year+45</f>
        <v>2061</v>
      </c>
      <c r="I126" s="230"/>
      <c r="J126" s="230"/>
      <c r="K126" s="230"/>
      <c r="L126" s="230"/>
      <c r="M126" s="230"/>
      <c r="N126" s="230"/>
      <c r="O126" s="230"/>
      <c r="P126" s="230"/>
      <c r="Q126" s="230"/>
      <c r="R126" s="230"/>
      <c r="S126" s="230"/>
      <c r="T126" s="808" cm="1" t="str">
        <f t="array" ref="T126:T126">T125</f>
        <v>true</v>
      </c>
      <c r="U126" s="230"/>
      <c r="V126" s="230"/>
      <c r="W126" s="230"/>
      <c r="X126" s="230"/>
      <c r="Y126" s="230"/>
      <c r="Z126" s="230"/>
      <c r="AA126" s="230"/>
      <c r="AB126" s="333" t="str">
        <f>H126&amp;" год"</f>
        <v>2061 год</v>
      </c>
      <c r="AC126" s="150"/>
      <c r="AD126" s="151"/>
      <c r="AE126" s="151"/>
      <c r="AF126" s="150"/>
      <c r="AG126" s="150"/>
      <c r="AH126" s="151"/>
      <c r="AI126" s="150"/>
      <c r="AJ126" s="150"/>
      <c r="AK126" s="152"/>
      <c r="AL126" s="230"/>
      <c r="AM126" s="230"/>
      <c r="AN126" s="1234" cm="1" t="str">
        <f t="array" ref="AN126:AN126">H126</f>
        <v>2061</v>
      </c>
    </row>
    <row s="2117" customFormat="1" customHeight="1" ht="16.5" hidden="1">
      <c r="A127" s="230"/>
      <c r="B127" s="955">
        <f>H127&lt;first_year+PERIOD_LENGTH</f>
        <v>0</v>
      </c>
      <c r="C127" s="230"/>
      <c r="D127" s="230"/>
      <c r="E127" s="797">
        <v>17.1</v>
      </c>
      <c r="F127" s="947" cm="1" t="str">
        <f t="array" ref="F127:F127">F126</f>
        <v>1</v>
      </c>
      <c r="G127" s="230"/>
      <c r="H127" s="228">
        <f>first_year+46</f>
        <v>2062</v>
      </c>
      <c r="I127" s="230"/>
      <c r="J127" s="230"/>
      <c r="K127" s="230"/>
      <c r="L127" s="230"/>
      <c r="M127" s="230"/>
      <c r="N127" s="230"/>
      <c r="O127" s="230"/>
      <c r="P127" s="230"/>
      <c r="Q127" s="230"/>
      <c r="R127" s="230"/>
      <c r="S127" s="230"/>
      <c r="T127" s="808" cm="1" t="str">
        <f t="array" ref="T127:T127">T126</f>
        <v>true</v>
      </c>
      <c r="U127" s="230"/>
      <c r="V127" s="230"/>
      <c r="W127" s="230"/>
      <c r="X127" s="230"/>
      <c r="Y127" s="230"/>
      <c r="Z127" s="230"/>
      <c r="AA127" s="230"/>
      <c r="AB127" s="333" t="str">
        <f>H127&amp;" год"</f>
        <v>2062 год</v>
      </c>
      <c r="AC127" s="150"/>
      <c r="AD127" s="151"/>
      <c r="AE127" s="151"/>
      <c r="AF127" s="150"/>
      <c r="AG127" s="150"/>
      <c r="AH127" s="151"/>
      <c r="AI127" s="150"/>
      <c r="AJ127" s="150"/>
      <c r="AK127" s="152"/>
      <c r="AL127" s="230"/>
      <c r="AM127" s="230"/>
      <c r="AN127" s="1234" cm="1" t="str">
        <f t="array" ref="AN127:AN127">H127</f>
        <v>2062</v>
      </c>
    </row>
    <row s="2118" customFormat="1" customHeight="1" ht="16.5" hidden="1">
      <c r="A128" s="230"/>
      <c r="B128" s="955">
        <f>H128&lt;first_year+PERIOD_LENGTH</f>
        <v>0</v>
      </c>
      <c r="C128" s="230"/>
      <c r="D128" s="230"/>
      <c r="E128" s="797">
        <v>17.1</v>
      </c>
      <c r="F128" s="947" cm="1" t="str">
        <f t="array" ref="F128:F128">F127</f>
        <v>1</v>
      </c>
      <c r="G128" s="230"/>
      <c r="H128" s="228">
        <f>first_year+47</f>
        <v>2063</v>
      </c>
      <c r="I128" s="230"/>
      <c r="J128" s="230"/>
      <c r="K128" s="230"/>
      <c r="L128" s="230"/>
      <c r="M128" s="230"/>
      <c r="N128" s="230"/>
      <c r="O128" s="230"/>
      <c r="P128" s="230"/>
      <c r="Q128" s="230"/>
      <c r="R128" s="230"/>
      <c r="S128" s="230"/>
      <c r="T128" s="808" cm="1" t="str">
        <f t="array" ref="T128:T128">T127</f>
        <v>true</v>
      </c>
      <c r="U128" s="230"/>
      <c r="V128" s="230"/>
      <c r="W128" s="230"/>
      <c r="X128" s="230"/>
      <c r="Y128" s="230"/>
      <c r="Z128" s="230"/>
      <c r="AA128" s="230"/>
      <c r="AB128" s="333" t="str">
        <f>H128&amp;" год"</f>
        <v>2063 год</v>
      </c>
      <c r="AC128" s="150"/>
      <c r="AD128" s="151"/>
      <c r="AE128" s="151"/>
      <c r="AF128" s="150"/>
      <c r="AG128" s="150"/>
      <c r="AH128" s="151"/>
      <c r="AI128" s="150"/>
      <c r="AJ128" s="150"/>
      <c r="AK128" s="152"/>
      <c r="AL128" s="230"/>
      <c r="AM128" s="230"/>
      <c r="AN128" s="1234" cm="1" t="str">
        <f t="array" ref="AN128:AN128">H128</f>
        <v>2063</v>
      </c>
    </row>
    <row s="2119" customFormat="1" customHeight="1" ht="16.5" hidden="1">
      <c r="A129" s="230"/>
      <c r="B129" s="955">
        <f>H129&lt;first_year+PERIOD_LENGTH</f>
        <v>0</v>
      </c>
      <c r="C129" s="230"/>
      <c r="D129" s="230"/>
      <c r="E129" s="797">
        <v>17.1</v>
      </c>
      <c r="F129" s="947" cm="1" t="str">
        <f t="array" ref="F129:F129">F128</f>
        <v>1</v>
      </c>
      <c r="G129" s="230"/>
      <c r="H129" s="228">
        <f>first_year+48</f>
        <v>2064</v>
      </c>
      <c r="I129" s="230"/>
      <c r="J129" s="230"/>
      <c r="K129" s="230"/>
      <c r="L129" s="230"/>
      <c r="M129" s="230"/>
      <c r="N129" s="230"/>
      <c r="O129" s="230"/>
      <c r="P129" s="230"/>
      <c r="Q129" s="230"/>
      <c r="R129" s="230"/>
      <c r="S129" s="230"/>
      <c r="T129" s="808" cm="1" t="str">
        <f t="array" ref="T129:T129">T128</f>
        <v>true</v>
      </c>
      <c r="U129" s="230"/>
      <c r="V129" s="230"/>
      <c r="W129" s="230"/>
      <c r="X129" s="230"/>
      <c r="Y129" s="230"/>
      <c r="Z129" s="230"/>
      <c r="AA129" s="230"/>
      <c r="AB129" s="333" t="str">
        <f>H129&amp;" год"</f>
        <v>2064 год</v>
      </c>
      <c r="AC129" s="150"/>
      <c r="AD129" s="151"/>
      <c r="AE129" s="151"/>
      <c r="AF129" s="150"/>
      <c r="AG129" s="150"/>
      <c r="AH129" s="151"/>
      <c r="AI129" s="150"/>
      <c r="AJ129" s="150"/>
      <c r="AK129" s="152"/>
      <c r="AL129" s="230"/>
      <c r="AM129" s="230"/>
      <c r="AN129" s="1234" cm="1" t="str">
        <f t="array" ref="AN129:AN129">H129</f>
        <v>2064</v>
      </c>
    </row>
    <row s="2120" customFormat="1" customHeight="1" ht="16.5" hidden="1">
      <c r="A130" s="230"/>
      <c r="B130" s="955">
        <f>H130&lt;first_year+PERIOD_LENGTH</f>
        <v>0</v>
      </c>
      <c r="C130" s="230"/>
      <c r="D130" s="230"/>
      <c r="E130" s="797">
        <v>17.1</v>
      </c>
      <c r="F130" s="947" cm="1" t="str">
        <f t="array" ref="F130:F130">F129</f>
        <v>1</v>
      </c>
      <c r="G130" s="230"/>
      <c r="H130" s="228">
        <f>first_year+49</f>
        <v>2065</v>
      </c>
      <c r="I130" s="230"/>
      <c r="J130" s="230"/>
      <c r="K130" s="230"/>
      <c r="L130" s="230"/>
      <c r="M130" s="230"/>
      <c r="N130" s="230"/>
      <c r="O130" s="230"/>
      <c r="P130" s="230"/>
      <c r="Q130" s="230"/>
      <c r="R130" s="230"/>
      <c r="S130" s="230"/>
      <c r="T130" s="808" cm="1" t="str">
        <f t="array" ref="T130:T130">T129</f>
        <v>true</v>
      </c>
      <c r="U130" s="230"/>
      <c r="V130" s="230"/>
      <c r="W130" s="230"/>
      <c r="X130" s="230"/>
      <c r="Y130" s="230"/>
      <c r="Z130" s="230"/>
      <c r="AA130" s="230"/>
      <c r="AB130" s="333" t="str">
        <f>H130&amp;" год"</f>
        <v>2065 год</v>
      </c>
      <c r="AC130" s="150"/>
      <c r="AD130" s="151"/>
      <c r="AE130" s="151"/>
      <c r="AF130" s="150"/>
      <c r="AG130" s="150"/>
      <c r="AH130" s="151"/>
      <c r="AI130" s="150"/>
      <c r="AJ130" s="150"/>
      <c r="AK130" s="152"/>
      <c r="AL130" s="230"/>
      <c r="AM130" s="230"/>
      <c r="AN130" s="1234" cm="1" t="str">
        <f t="array" ref="AN130:AN130">H130</f>
        <v>2065</v>
      </c>
    </row>
    <row customHeight="1" ht="11.700000000000001">
      <c r="E131" s="797">
        <v>12</v>
      </c>
      <c r="U131" s="179" t="s">
        <v>236</v>
      </c>
      <c r="V131" s="171" t="s">
        <v>2198</v>
      </c>
    </row>
    <row customHeight="1" ht="14.625">
      <c r="E132" s="797">
        <v>15</v>
      </c>
      <c r="AB132" s="1480" t="s">
        <v>705</v>
      </c>
      <c r="AC132" s="1480"/>
      <c r="AD132" s="1480"/>
      <c r="AE132" s="1480"/>
      <c r="AF132" s="1480"/>
      <c r="AG132" s="1480"/>
      <c r="AH132" s="1480"/>
      <c r="AI132" s="1480"/>
      <c r="AJ132" s="1480"/>
      <c r="AK132" s="1480"/>
    </row>
    <row customHeight="1" ht="14.625">
      <c r="E133" s="797">
        <v>15</v>
      </c>
      <c r="AA133" s="921"/>
      <c r="AB133" s="1574"/>
      <c r="AC133" s="1574"/>
      <c r="AD133" s="1574"/>
      <c r="AE133" s="1574"/>
      <c r="AF133" s="1574"/>
      <c r="AG133" s="1574"/>
      <c r="AH133" s="1574"/>
      <c r="AI133" s="1574"/>
      <c r="AJ133" s="1574"/>
      <c r="AK133" s="1574"/>
    </row>
    <row customHeight="1" ht="14.625" hidden="1">
      <c r="A134" s="1582"/>
      <c r="B134" s="927"/>
      <c r="C134" s="1582"/>
      <c r="D134" s="1582"/>
      <c r="E134" s="797">
        <v>15</v>
      </c>
      <c r="F134" s="1582"/>
      <c r="G134" s="500"/>
      <c r="H134" s="1582"/>
      <c r="I134" s="1582"/>
      <c r="J134" s="1582"/>
      <c r="K134" s="1582"/>
      <c r="L134" s="1582"/>
      <c r="M134" s="1582"/>
      <c r="N134" s="1582"/>
      <c r="O134" s="1582"/>
      <c r="P134" s="1582"/>
      <c r="Q134" s="922"/>
      <c r="R134" s="922"/>
      <c r="S134" s="1582"/>
      <c r="T134" s="808">
        <f>ROW(W134)&gt;ROW(W$134)</f>
        <v>0</v>
      </c>
      <c r="U134" s="1582"/>
      <c r="V134" s="1582"/>
      <c r="W134" s="175" t="s">
        <v>234</v>
      </c>
      <c r="X134" s="1582"/>
      <c r="Y134" s="1582"/>
      <c r="Z134" s="1582"/>
      <c r="AA134" s="917" t="s">
        <v>218</v>
      </c>
      <c r="AB134" s="2121"/>
      <c r="AC134" s="2121"/>
      <c r="AD134" s="2121"/>
      <c r="AE134" s="2121"/>
      <c r="AF134" s="2121"/>
      <c r="AG134" s="2121"/>
      <c r="AH134" s="2121"/>
      <c r="AI134" s="2121"/>
      <c r="AJ134" s="2121"/>
      <c r="AK134" s="2121"/>
      <c r="AL134" s="500"/>
      <c r="AM134" s="500"/>
      <c r="AN134" s="1217"/>
    </row>
    <row customHeight="1" ht="14.625">
      <c r="E135" s="797">
        <v>15</v>
      </c>
      <c r="W135" s="171" t="s">
        <v>235</v>
      </c>
      <c r="AB135" s="1478" t="s">
        <v>706</v>
      </c>
      <c r="AC135" s="1479"/>
      <c r="AD135" s="386"/>
      <c r="AE135" s="386"/>
      <c r="AF135" s="386"/>
      <c r="AG135" s="386"/>
      <c r="AH135" s="386"/>
      <c r="AI135" s="386"/>
      <c r="AJ135" s="386"/>
      <c r="AK135" s="536"/>
    </row>
    <row customHeight="1" ht="11.25">
      <c r="AL136" s="213"/>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F67CE-3A89-D418-4063-3D223E3F7F6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3" width="3.57421875" hidden="1" customWidth="1"/>
    <col min="2" max="2" style="927" width="8.57421875" hidden="1" customWidth="1"/>
    <col min="3" max="4" style="1443" width="3.57421875" hidden="1" customWidth="1"/>
    <col min="5" max="5" style="925" width="8.421875" hidden="1" customWidth="1"/>
    <col min="6" max="21" style="1443" width="3.57421875" hidden="1" customWidth="1"/>
    <col min="22" max="22" style="1443" width="6.00390625" hidden="1" customWidth="1"/>
    <col min="23" max="23" style="1443" width="3.57421875" hidden="1" customWidth="1"/>
    <col min="24" max="25" style="1443" width="6.28125" hidden="1" customWidth="1"/>
    <col min="26" max="26" style="1443" width="5.7109375" hidden="1" customWidth="1"/>
    <col min="27" max="27" style="937" width="3.00390625" customWidth="1"/>
    <col min="28" max="28" style="937" width="94.25390625" customWidth="1"/>
    <col min="29" max="29" style="937" width="3.00390625" customWidth="1"/>
  </cols>
  <sheetData>
    <row s="1443" customFormat="1" customHeight="1" ht="12" hidden="1">
      <c r="B1" s="788"/>
      <c r="E1" s="788"/>
      <c r="W1" s="788"/>
      <c r="X1" s="808" t="s">
        <v>86</v>
      </c>
      <c r="Y1" s="808" t="s">
        <v>87</v>
      </c>
      <c r="Z1" s="808" t="s">
        <v>89</v>
      </c>
      <c r="AA1" s="808" t="s">
        <v>93</v>
      </c>
      <c r="AB1" s="808" t="s">
        <v>91</v>
      </c>
    </row>
    <row s="927" customFormat="1" customHeight="1" ht="12" hidden="1">
      <c r="B2" s="910" t="s">
        <v>15</v>
      </c>
    </row>
    <row s="1443" customFormat="1" customHeight="1" ht="12" hidden="1">
      <c r="B3" s="788"/>
      <c r="E3" s="788"/>
    </row>
    <row s="1443" customFormat="1" customHeight="1" ht="12" hidden="1">
      <c r="B4" s="788"/>
      <c r="E4" s="788"/>
    </row>
    <row s="925" customFormat="1" customHeight="1" ht="12" hidden="1">
      <c r="A5" s="788"/>
      <c r="B5" s="788"/>
      <c r="C5" s="788"/>
      <c r="D5" s="788"/>
      <c r="E5" s="797" t="s">
        <v>16</v>
      </c>
      <c r="AA5" s="797">
        <v>3</v>
      </c>
      <c r="AB5" s="797">
        <v>94.25</v>
      </c>
      <c r="AC5" s="797">
        <v>3</v>
      </c>
    </row>
    <row s="1443" customFormat="1" customHeight="1" ht="12" hidden="1">
      <c r="B6" s="788"/>
      <c r="E6" s="797"/>
    </row>
    <row s="965" customFormat="1" customHeight="1" ht="12" hidden="1">
      <c r="A7" s="179"/>
      <c r="B7" s="788"/>
      <c r="C7" s="179"/>
      <c r="D7" s="179"/>
      <c r="E7" s="797"/>
    </row>
    <row s="965" customFormat="1" customHeight="1" ht="12" hidden="1">
      <c r="A8" s="179"/>
      <c r="B8" s="788"/>
      <c r="C8" s="179"/>
      <c r="D8" s="179"/>
      <c r="E8" s="797"/>
    </row>
    <row s="1443" customFormat="1" customHeight="1" ht="12" hidden="1">
      <c r="B9" s="788"/>
      <c r="E9" s="797"/>
    </row>
    <row s="1443" customFormat="1" customHeight="1" ht="12" hidden="1">
      <c r="B10" s="788"/>
      <c r="E10" s="797"/>
    </row>
    <row s="1443" customFormat="1" customHeight="1" ht="12" hidden="1">
      <c r="B11" s="788"/>
      <c r="E11" s="797"/>
    </row>
    <row s="1443" customFormat="1" customHeight="1" ht="12" hidden="1">
      <c r="B12" s="788"/>
      <c r="E12" s="797"/>
    </row>
    <row s="1443" customFormat="1" customHeight="1" ht="12" hidden="1">
      <c r="B13" s="788"/>
      <c r="E13" s="797"/>
    </row>
    <row s="1443" customFormat="1" customHeight="1" ht="12" hidden="1">
      <c r="B14" s="788"/>
      <c r="E14" s="797"/>
    </row>
    <row s="1443" customFormat="1" customHeight="1" ht="12" hidden="1">
      <c r="B15" s="788"/>
      <c r="E15" s="797"/>
    </row>
    <row s="1443" customFormat="1" customHeight="1" ht="12" hidden="1">
      <c r="B16" s="788"/>
      <c r="E16" s="797"/>
    </row>
    <row s="1443" customFormat="1" customHeight="1" ht="12" hidden="1">
      <c r="B17" s="788"/>
      <c r="E17" s="797"/>
    </row>
    <row s="1443" customFormat="1" customHeight="1" ht="12" hidden="1">
      <c r="B18" s="788"/>
      <c r="E18" s="797"/>
    </row>
    <row s="1443" customFormat="1" customHeight="1" ht="12" hidden="1">
      <c r="B19" s="788"/>
      <c r="E19" s="797"/>
    </row>
    <row s="1443" customFormat="1" customHeight="1" ht="12" hidden="1">
      <c r="B20" s="788"/>
      <c r="E20" s="797"/>
    </row>
    <row customHeight="1" ht="11.115">
      <c r="E21" s="797">
        <v>11.4</v>
      </c>
      <c r="AA21" s="820"/>
      <c r="AB21" s="188"/>
    </row>
    <row customHeight="1" ht="19.5975">
      <c r="E22" s="797">
        <v>20.1</v>
      </c>
      <c r="AA22" s="188"/>
      <c r="AB22" s="186" t="s">
        <v>442</v>
      </c>
    </row>
    <row customHeight="1" ht="11.115">
      <c r="E23" s="797">
        <v>11.4</v>
      </c>
      <c r="AA23" s="188"/>
      <c r="AB23" s="188"/>
    </row>
    <row customHeight="1" ht="19.5975">
      <c r="E24" s="797">
        <v>20.1</v>
      </c>
      <c r="AA24" s="188"/>
      <c r="AB24" s="189"/>
    </row>
    <row customHeight="1" ht="19.5975">
      <c r="E25" s="797">
        <v>20.1</v>
      </c>
      <c r="V25" s="171"/>
      <c r="W25" s="171"/>
      <c r="X25" s="171"/>
      <c r="Z25" s="171"/>
      <c r="AA25" s="188"/>
      <c r="AB25" s="189"/>
    </row>
    <row customHeight="1" ht="19.5975">
      <c r="E26" s="797">
        <v>20.1</v>
      </c>
      <c r="V26" s="175"/>
      <c r="W26" s="175"/>
      <c r="X26" s="175"/>
      <c r="Y26" s="175"/>
      <c r="Z26" s="171"/>
      <c r="AA26" s="188"/>
      <c r="AB26" s="189"/>
    </row>
    <row customHeight="1" ht="19.5975">
      <c r="E27" s="797">
        <v>20.1</v>
      </c>
      <c r="V27" s="175"/>
      <c r="W27" s="175"/>
      <c r="X27" s="175"/>
      <c r="Y27" s="175"/>
      <c r="Z27" s="171"/>
      <c r="AA27" s="188"/>
      <c r="AB27" s="189"/>
    </row>
    <row customHeight="1" ht="19.5975">
      <c r="E28" s="797">
        <v>20.1</v>
      </c>
      <c r="V28" s="175"/>
      <c r="W28" s="175"/>
      <c r="X28" s="175"/>
      <c r="Y28" s="175"/>
      <c r="Z28" s="171"/>
      <c r="AA28" s="188"/>
      <c r="AB28" s="189"/>
    </row>
    <row customHeight="1" ht="19.5975">
      <c r="E29" s="797">
        <v>20.1</v>
      </c>
      <c r="V29" s="175"/>
      <c r="W29" s="175"/>
      <c r="X29" s="175"/>
      <c r="Y29" s="175"/>
      <c r="Z29" s="171"/>
      <c r="AA29" s="188"/>
      <c r="AB29" s="189"/>
    </row>
    <row customHeight="1" ht="19.5975">
      <c r="E30" s="797">
        <v>20.1</v>
      </c>
      <c r="V30" s="175"/>
      <c r="W30" s="175"/>
      <c r="X30" s="175"/>
      <c r="Y30" s="175"/>
      <c r="Z30" s="171"/>
      <c r="AA30" s="188"/>
      <c r="AB30" s="189"/>
    </row>
    <row customHeight="1" ht="19.5975">
      <c r="E31" s="797">
        <v>20.1</v>
      </c>
      <c r="V31" s="175"/>
      <c r="W31" s="175"/>
      <c r="X31" s="175"/>
      <c r="Y31" s="175"/>
      <c r="Z31" s="171"/>
      <c r="AA31" s="188"/>
      <c r="AB31" s="189"/>
    </row>
    <row customHeight="1" ht="19.5975">
      <c r="E32" s="797">
        <v>20.1</v>
      </c>
      <c r="V32" s="175"/>
      <c r="W32" s="175"/>
      <c r="X32" s="175"/>
      <c r="Y32" s="175"/>
      <c r="Z32" s="171"/>
      <c r="AA32" s="188"/>
      <c r="AB32" s="189"/>
    </row>
    <row customHeight="1" ht="19.5975">
      <c r="E33" s="797">
        <v>20.1</v>
      </c>
      <c r="V33" s="175"/>
      <c r="W33" s="175"/>
      <c r="X33" s="175"/>
      <c r="Y33" s="171"/>
      <c r="Z33" s="171"/>
      <c r="AA33" s="188"/>
      <c r="AB33" s="189"/>
    </row>
    <row customHeight="1" ht="19.5975" hidden="1">
      <c r="A34" s="1443"/>
      <c r="B34" s="927"/>
      <c r="C34" s="1443"/>
      <c r="D34" s="1443"/>
      <c r="E34" s="797">
        <v>20.1</v>
      </c>
      <c r="F34" s="1443"/>
      <c r="G34" s="1443"/>
      <c r="H34" s="1443"/>
      <c r="I34" s="1443"/>
      <c r="J34" s="1443"/>
      <c r="K34" s="1443"/>
      <c r="L34" s="1443"/>
      <c r="M34" s="1443"/>
      <c r="N34" s="1443"/>
      <c r="O34" s="1443"/>
      <c r="P34" s="1443"/>
      <c r="Q34" s="1443"/>
      <c r="R34" s="1443"/>
      <c r="S34" s="1443"/>
      <c r="T34" s="1443"/>
      <c r="U34" s="1443"/>
      <c r="V34" s="175"/>
      <c r="W34" s="175"/>
      <c r="X34" s="808">
        <f>Z34&gt;0</f>
        <v>0</v>
      </c>
      <c r="Y34" s="179" t="s">
        <v>310</v>
      </c>
      <c r="Z34" s="175">
        <v>0</v>
      </c>
      <c r="AA34" s="917" t="s">
        <v>218</v>
      </c>
      <c r="AB34" s="2122"/>
      <c r="AC34" s="937"/>
    </row>
    <row customHeight="1" ht="11.115">
      <c r="E35" s="797">
        <v>11.4</v>
      </c>
      <c r="Y35" s="171" t="s">
        <v>235</v>
      </c>
      <c r="AB35" s="901" t="s">
        <v>236</v>
      </c>
    </row>
    <row customHeight="1" ht="11.25">
      <c r="AC36" s="18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DA28E2-41EF-E657-7051-96C97C328DCE}"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9" width="42.7109375" customWidth="1"/>
    <col min="2" max="2" style="239" width="6.7109375" customWidth="1"/>
    <col min="3" max="3" width="40.7109375" customWidth="1"/>
    <col min="4" max="6" style="239" width="3.7109375" customWidth="1"/>
    <col min="7" max="7" style="239" width="23.7109375" customWidth="1"/>
    <col min="8" max="9" style="239" width="3.7109375" customWidth="1"/>
    <col min="10" max="10" style="239" width="4.7109375" customWidth="1"/>
    <col min="11" max="11" style="239" width="40.7109375" customWidth="1"/>
    <col min="12" max="12" style="239" width="4.7109375" customWidth="1"/>
    <col min="13" max="13" style="239" width="18.57421875" customWidth="1"/>
    <col min="14" max="15" style="239" width="4.7109375" customWidth="1"/>
    <col min="16" max="16" style="239" width="16.57421875" customWidth="1"/>
    <col min="17" max="18" style="239" width="12.57421875" customWidth="1"/>
    <col min="19" max="19" style="239" width="14.57421875" customWidth="1"/>
    <col min="20" max="20" style="239" width="18.8515625" customWidth="1"/>
    <col min="21" max="21" style="239" width="19.28125" customWidth="1"/>
    <col min="22" max="22" style="239" width="39.140625" customWidth="1"/>
    <col min="23" max="23" style="239" width="41.7109375" customWidth="1"/>
    <col min="24" max="24" style="239" width="54.8515625" customWidth="1"/>
    <col min="25" max="26" style="239" width="22.8515625" customWidth="1"/>
    <col min="27" max="27" style="239" width="9.140625"/>
    <col min="28" max="28" style="239" width="29.7109375" customWidth="1"/>
    <col min="29" max="29" style="239" width="15.57421875" customWidth="1"/>
  </cols>
  <sheetData>
    <row customHeight="1" ht="12">
      <c r="A1" s="239" t="s">
        <v>2199</v>
      </c>
      <c r="B1" s="239" t="s">
        <v>2200</v>
      </c>
      <c r="D1" s="778" t="s">
        <v>2201</v>
      </c>
      <c r="E1" s="236"/>
      <c r="F1" s="236"/>
      <c r="G1" s="238" t="s">
        <v>2202</v>
      </c>
      <c r="H1" s="236"/>
      <c r="I1" s="236"/>
      <c r="J1" s="236"/>
      <c r="K1" s="238" t="s">
        <v>2203</v>
      </c>
      <c r="L1" s="190"/>
      <c r="M1" s="238" t="s">
        <v>2204</v>
      </c>
      <c r="N1" s="236"/>
      <c r="O1" s="190"/>
      <c r="P1" s="238" t="s">
        <v>2205</v>
      </c>
      <c r="Q1" s="238" t="s">
        <v>2206</v>
      </c>
      <c r="R1" s="238" t="s">
        <v>2207</v>
      </c>
      <c r="S1" s="238" t="s">
        <v>2208</v>
      </c>
      <c r="T1" s="238" t="s">
        <v>2209</v>
      </c>
      <c r="U1" s="238" t="s">
        <v>2210</v>
      </c>
      <c r="V1" s="253" t="s">
        <v>2211</v>
      </c>
      <c r="W1" s="253" t="s">
        <v>2212</v>
      </c>
      <c r="X1" s="253" t="s">
        <v>2213</v>
      </c>
      <c r="Y1" s="253" t="s">
        <v>2214</v>
      </c>
      <c r="Z1" s="253" t="s">
        <v>2215</v>
      </c>
      <c r="AB1" s="253" t="s">
        <v>2216</v>
      </c>
      <c r="AC1" s="253" t="s">
        <v>2217</v>
      </c>
    </row>
    <row customHeight="1" ht="12">
      <c r="A2" s="239" t="s">
        <v>2218</v>
      </c>
      <c r="B2" s="239" t="s">
        <v>2219</v>
      </c>
      <c r="D2" s="777" t="s">
        <v>2220</v>
      </c>
      <c r="E2" s="236"/>
      <c r="F2" s="236"/>
      <c r="G2" s="240" t="s">
        <v>200</v>
      </c>
      <c r="H2" s="236"/>
      <c r="I2" s="236"/>
      <c r="J2" s="236"/>
      <c r="K2" s="825" t="s">
        <v>117</v>
      </c>
      <c r="L2" s="236"/>
      <c r="M2" s="241" t="s">
        <v>2221</v>
      </c>
      <c r="N2" s="236"/>
      <c r="O2" s="236"/>
      <c r="P2" s="240">
        <v>2025</v>
      </c>
      <c r="Q2" s="240">
        <v>2012</v>
      </c>
      <c r="R2" s="240" t="s">
        <v>2222</v>
      </c>
      <c r="S2" s="240">
        <v>3</v>
      </c>
      <c r="T2" s="252" t="s">
        <v>2223</v>
      </c>
      <c r="U2" s="252" t="s">
        <v>339</v>
      </c>
      <c r="V2" s="262" t="s">
        <v>2224</v>
      </c>
      <c r="W2" s="262" t="s">
        <v>2225</v>
      </c>
      <c r="X2" s="262" t="s">
        <v>2226</v>
      </c>
      <c r="Y2" s="262" t="s">
        <v>2227</v>
      </c>
      <c r="Z2" s="262" t="s">
        <v>2227</v>
      </c>
      <c r="AB2" s="870" t="s">
        <v>2228</v>
      </c>
      <c r="AC2" s="871" t="s">
        <v>2229</v>
      </c>
    </row>
    <row customHeight="1" ht="12">
      <c r="A3" s="239" t="s">
        <v>2230</v>
      </c>
      <c r="B3" s="239" t="s">
        <v>2231</v>
      </c>
      <c r="D3" s="236"/>
      <c r="E3" s="236"/>
      <c r="F3" s="236"/>
      <c r="G3" s="240" t="s">
        <v>190</v>
      </c>
      <c r="H3" s="236"/>
      <c r="I3" s="236"/>
      <c r="J3" s="236"/>
      <c r="K3" s="825" t="s">
        <v>2232</v>
      </c>
      <c r="L3" s="236"/>
      <c r="M3" s="236"/>
      <c r="N3" s="236"/>
      <c r="O3" s="236"/>
      <c r="P3" s="240">
        <v>2026</v>
      </c>
      <c r="Q3" s="240">
        <v>2013</v>
      </c>
      <c r="R3" s="240" t="s">
        <v>2233</v>
      </c>
      <c r="S3" s="240">
        <v>4</v>
      </c>
      <c r="T3" s="252" t="s">
        <v>2234</v>
      </c>
      <c r="U3" s="252" t="s">
        <v>967</v>
      </c>
      <c r="V3" s="262" t="s">
        <v>2235</v>
      </c>
      <c r="W3" s="262" t="s">
        <v>2236</v>
      </c>
      <c r="X3" s="262" t="s">
        <v>2237</v>
      </c>
      <c r="Y3" s="262" t="s">
        <v>2238</v>
      </c>
      <c r="Z3" s="262" t="s">
        <v>2239</v>
      </c>
      <c r="AB3" s="870" t="s">
        <v>2240</v>
      </c>
      <c r="AC3" s="871" t="s">
        <v>2229</v>
      </c>
    </row>
    <row customHeight="1" ht="12">
      <c r="A4" s="239" t="s">
        <v>2241</v>
      </c>
      <c r="B4" s="239" t="s">
        <v>2242</v>
      </c>
      <c r="D4" s="236"/>
      <c r="E4" s="236"/>
      <c r="F4" s="236"/>
      <c r="G4" s="236"/>
      <c r="H4" s="236"/>
      <c r="I4" s="236"/>
      <c r="J4" s="236"/>
      <c r="K4" s="825" t="s">
        <v>2243</v>
      </c>
      <c r="L4" s="236"/>
      <c r="M4" s="238" t="s">
        <v>2244</v>
      </c>
      <c r="N4" s="236"/>
      <c r="O4" s="236"/>
      <c r="P4" s="236"/>
      <c r="Q4" s="240">
        <v>2014</v>
      </c>
      <c r="R4" s="240" t="s">
        <v>2245</v>
      </c>
      <c r="S4" s="240">
        <v>5</v>
      </c>
      <c r="V4" s="262" t="s">
        <v>2246</v>
      </c>
      <c r="X4" s="262" t="s">
        <v>420</v>
      </c>
      <c r="Y4" s="600" t="s">
        <v>2239</v>
      </c>
      <c r="Z4" s="262" t="s">
        <v>2247</v>
      </c>
      <c r="AB4" s="870" t="s">
        <v>2248</v>
      </c>
      <c r="AC4" s="871" t="s">
        <v>2229</v>
      </c>
    </row>
    <row customHeight="1" ht="12">
      <c r="A5" s="239" t="s">
        <v>2249</v>
      </c>
      <c r="B5" s="239" t="s">
        <v>2250</v>
      </c>
      <c r="D5" s="236"/>
      <c r="E5" s="236"/>
      <c r="F5" s="236"/>
      <c r="G5" s="238" t="s">
        <v>2251</v>
      </c>
      <c r="H5" s="236"/>
      <c r="I5" s="236"/>
      <c r="J5" s="236"/>
      <c r="K5" s="825" t="s">
        <v>2252</v>
      </c>
      <c r="L5" s="236"/>
      <c r="M5" s="241">
        <v>1.2</v>
      </c>
      <c r="N5" s="236"/>
      <c r="O5" s="236"/>
      <c r="P5" s="236"/>
      <c r="Q5" s="240">
        <v>2015</v>
      </c>
      <c r="R5" s="240" t="s">
        <v>2253</v>
      </c>
      <c r="S5" s="240">
        <v>6</v>
      </c>
      <c r="V5" s="253" t="s">
        <v>2254</v>
      </c>
      <c r="W5" s="253" t="s">
        <v>2255</v>
      </c>
      <c r="X5" s="262" t="s">
        <v>2256</v>
      </c>
      <c r="Y5" s="262" t="s">
        <v>2247</v>
      </c>
      <c r="Z5" s="262" t="s">
        <v>2257</v>
      </c>
      <c r="AB5" s="870" t="s">
        <v>2258</v>
      </c>
      <c r="AC5" s="871" t="s">
        <v>2229</v>
      </c>
    </row>
    <row customHeight="1" ht="12">
      <c r="A6" s="239" t="s">
        <v>2259</v>
      </c>
      <c r="B6" s="239" t="s">
        <v>2260</v>
      </c>
      <c r="D6" s="236"/>
      <c r="E6" s="236"/>
      <c r="F6" s="236"/>
      <c r="G6" s="238" t="s">
        <v>2261</v>
      </c>
      <c r="H6" s="236"/>
      <c r="I6" s="236"/>
      <c r="J6" s="236"/>
      <c r="K6" s="236"/>
      <c r="L6" s="236"/>
      <c r="M6" s="236"/>
      <c r="N6" s="236"/>
      <c r="O6" s="236"/>
      <c r="P6" s="236"/>
      <c r="Q6" s="240">
        <v>2016</v>
      </c>
      <c r="R6" s="240" t="s">
        <v>2262</v>
      </c>
      <c r="S6" s="240">
        <v>7</v>
      </c>
      <c r="V6" s="262" t="s">
        <v>2263</v>
      </c>
      <c r="W6" s="338" t="s">
        <v>2264</v>
      </c>
      <c r="X6" s="262" t="s">
        <v>2265</v>
      </c>
      <c r="Y6" s="262" t="s">
        <v>2257</v>
      </c>
      <c r="Z6" s="262" t="s">
        <v>2266</v>
      </c>
      <c r="AB6" s="870" t="s">
        <v>2267</v>
      </c>
      <c r="AC6" s="871" t="s">
        <v>2229</v>
      </c>
    </row>
    <row customHeight="1" ht="12">
      <c r="A7" s="239" t="s">
        <v>2268</v>
      </c>
      <c r="B7" s="239" t="s">
        <v>2269</v>
      </c>
      <c r="D7" s="236"/>
      <c r="E7" s="236"/>
      <c r="F7" s="236"/>
      <c r="G7" s="242" t="s">
        <v>2270</v>
      </c>
      <c r="H7" s="236"/>
      <c r="I7" s="236"/>
      <c r="J7" s="236"/>
      <c r="K7" s="238" t="s">
        <v>2271</v>
      </c>
      <c r="L7" s="236"/>
      <c r="M7" s="238" t="s">
        <v>2272</v>
      </c>
      <c r="N7" s="236"/>
      <c r="O7" s="236"/>
      <c r="P7" s="236"/>
      <c r="Q7" s="240">
        <v>2017</v>
      </c>
      <c r="R7" s="240" t="s">
        <v>2273</v>
      </c>
      <c r="S7" s="240">
        <v>8</v>
      </c>
      <c r="V7" s="262" t="s">
        <v>2274</v>
      </c>
      <c r="X7" s="262" t="s">
        <v>2275</v>
      </c>
      <c r="Y7" s="262" t="s">
        <v>2266</v>
      </c>
      <c r="Z7" s="262" t="s">
        <v>992</v>
      </c>
      <c r="AB7" s="870" t="s">
        <v>2276</v>
      </c>
      <c r="AC7" s="871" t="s">
        <v>2229</v>
      </c>
    </row>
    <row customHeight="1" ht="12">
      <c r="A8" s="239" t="s">
        <v>2277</v>
      </c>
      <c r="B8" s="239" t="s">
        <v>2278</v>
      </c>
      <c r="D8" s="236"/>
      <c r="E8" s="236"/>
      <c r="F8" s="236"/>
      <c r="G8" s="242" t="s">
        <v>2279</v>
      </c>
      <c r="H8" s="236"/>
      <c r="I8" s="236"/>
      <c r="J8" s="236"/>
      <c r="K8" s="824" t="s">
        <v>2280</v>
      </c>
      <c r="L8" s="236"/>
      <c r="M8" s="241">
        <v>2021</v>
      </c>
      <c r="N8" s="236"/>
      <c r="O8" s="236"/>
      <c r="P8" s="236"/>
      <c r="Q8" s="240">
        <v>2018</v>
      </c>
      <c r="R8" s="240" t="s">
        <v>2281</v>
      </c>
      <c r="S8" s="240">
        <v>9</v>
      </c>
      <c r="V8" s="262" t="s">
        <v>2282</v>
      </c>
      <c r="X8" s="262" t="s">
        <v>2283</v>
      </c>
      <c r="Y8" s="262" t="s">
        <v>992</v>
      </c>
      <c r="Z8" s="262" t="s">
        <v>2284</v>
      </c>
      <c r="AB8" s="870" t="s">
        <v>2285</v>
      </c>
      <c r="AC8" s="871" t="s">
        <v>2229</v>
      </c>
    </row>
    <row customHeight="1" ht="12">
      <c r="A9" s="239" t="s">
        <v>2286</v>
      </c>
      <c r="B9" s="239" t="s">
        <v>2287</v>
      </c>
      <c r="D9" s="236"/>
      <c r="E9" s="236"/>
      <c r="F9" s="236"/>
      <c r="G9" s="242" t="s">
        <v>2288</v>
      </c>
      <c r="H9" s="236"/>
      <c r="I9" s="236"/>
      <c r="J9" s="236"/>
      <c r="K9" s="824" t="s">
        <v>204</v>
      </c>
      <c r="L9" s="236"/>
      <c r="M9" s="236"/>
      <c r="N9" s="236"/>
      <c r="O9" s="236"/>
      <c r="P9" s="236"/>
      <c r="Q9" s="240">
        <v>2019</v>
      </c>
      <c r="R9" s="240" t="s">
        <v>2289</v>
      </c>
      <c r="S9" s="240">
        <v>10</v>
      </c>
      <c r="V9" s="262" t="s">
        <v>2290</v>
      </c>
      <c r="X9" s="262" t="s">
        <v>2291</v>
      </c>
      <c r="AB9" s="870" t="s">
        <v>2292</v>
      </c>
      <c r="AC9" s="871" t="s">
        <v>2229</v>
      </c>
    </row>
    <row customHeight="1" ht="12">
      <c r="A10" s="239" t="s">
        <v>2293</v>
      </c>
      <c r="B10" s="239" t="s">
        <v>2294</v>
      </c>
      <c r="D10" s="236"/>
      <c r="E10" s="236"/>
      <c r="F10" s="236"/>
      <c r="G10" s="244"/>
      <c r="H10" s="236"/>
      <c r="I10" s="236"/>
      <c r="J10" s="236"/>
      <c r="K10" s="236"/>
      <c r="L10" s="236"/>
      <c r="M10" s="238" t="s">
        <v>2295</v>
      </c>
      <c r="N10" s="236"/>
      <c r="O10" s="236"/>
      <c r="P10" s="236"/>
      <c r="Q10" s="240">
        <v>2020</v>
      </c>
      <c r="R10" s="240" t="s">
        <v>2296</v>
      </c>
      <c r="S10" s="240">
        <v>11</v>
      </c>
      <c r="V10" s="262" t="s">
        <v>2297</v>
      </c>
      <c r="X10" s="262" t="s">
        <v>2298</v>
      </c>
      <c r="AB10" s="870" t="s">
        <v>2299</v>
      </c>
      <c r="AC10" s="871" t="s">
        <v>2229</v>
      </c>
    </row>
    <row customHeight="1" ht="12">
      <c r="A11" s="239" t="s">
        <v>2300</v>
      </c>
      <c r="B11" s="239" t="s">
        <v>2301</v>
      </c>
      <c r="D11" s="236"/>
      <c r="E11" s="236"/>
      <c r="F11" s="236"/>
      <c r="G11" s="238" t="s">
        <v>2302</v>
      </c>
      <c r="H11" s="236"/>
      <c r="I11" s="236"/>
      <c r="J11" s="236"/>
      <c r="K11" s="238" t="s">
        <v>2303</v>
      </c>
      <c r="L11" s="236"/>
      <c r="M11" s="241" t="str">
        <f>"01.01."&amp;PERIOD</f>
        <v>01.01.2021</v>
      </c>
      <c r="N11" s="236"/>
      <c r="O11" s="236"/>
      <c r="P11" s="236"/>
      <c r="Q11" s="240">
        <v>2021</v>
      </c>
      <c r="R11" s="240" t="s">
        <v>2304</v>
      </c>
      <c r="S11" s="240">
        <v>12</v>
      </c>
      <c r="V11" s="262" t="s">
        <v>2305</v>
      </c>
      <c r="X11" s="262" t="s">
        <v>2306</v>
      </c>
      <c r="AB11" s="870" t="s">
        <v>2307</v>
      </c>
      <c r="AC11" s="871" t="s">
        <v>2229</v>
      </c>
    </row>
    <row customHeight="1" ht="12">
      <c r="A12" s="239" t="s">
        <v>2308</v>
      </c>
      <c r="B12" s="239" t="s">
        <v>2309</v>
      </c>
      <c r="D12" s="236"/>
      <c r="E12" s="236"/>
      <c r="F12" s="236"/>
      <c r="G12" s="238" t="s">
        <v>2310</v>
      </c>
      <c r="H12" s="236"/>
      <c r="I12" s="236"/>
      <c r="J12" s="236"/>
      <c r="K12" s="833" t="s">
        <v>337</v>
      </c>
      <c r="L12" s="236"/>
      <c r="M12" s="241" t="str">
        <f>"31.12."&amp;PERIOD</f>
        <v>31.12.2021</v>
      </c>
      <c r="N12" s="236"/>
      <c r="O12" s="236"/>
      <c r="P12" s="236"/>
      <c r="Q12" s="240">
        <v>2022</v>
      </c>
      <c r="R12" s="240" t="s">
        <v>2311</v>
      </c>
      <c r="S12" s="240">
        <v>13</v>
      </c>
      <c r="X12" s="262" t="s">
        <v>2312</v>
      </c>
      <c r="AB12" s="870" t="s">
        <v>2313</v>
      </c>
      <c r="AC12" s="871" t="s">
        <v>2229</v>
      </c>
    </row>
    <row customHeight="1" ht="12">
      <c r="A13" s="239" t="s">
        <v>2314</v>
      </c>
      <c r="B13" s="239" t="s">
        <v>2315</v>
      </c>
      <c r="D13" s="236"/>
      <c r="E13" s="236"/>
      <c r="F13" s="236"/>
      <c r="G13" s="242" t="s">
        <v>2316</v>
      </c>
      <c r="H13" s="236"/>
      <c r="I13" s="236"/>
      <c r="J13" s="236"/>
      <c r="K13" s="833" t="s">
        <v>2317</v>
      </c>
      <c r="L13" s="236"/>
      <c r="M13" s="236"/>
      <c r="N13" s="236"/>
      <c r="O13" s="236"/>
      <c r="P13" s="236"/>
      <c r="Q13" s="240">
        <v>2023</v>
      </c>
      <c r="R13" s="240" t="s">
        <v>2318</v>
      </c>
      <c r="S13" s="240">
        <v>14</v>
      </c>
      <c r="X13" s="262" t="s">
        <v>2319</v>
      </c>
      <c r="AB13" s="870" t="s">
        <v>2320</v>
      </c>
      <c r="AC13" s="871" t="s">
        <v>2229</v>
      </c>
    </row>
    <row customHeight="1" ht="12">
      <c r="A14" s="239" t="s">
        <v>2321</v>
      </c>
      <c r="B14" s="239" t="s">
        <v>2322</v>
      </c>
      <c r="D14" s="236"/>
      <c r="E14" s="236"/>
      <c r="F14" s="236"/>
      <c r="G14" s="242" t="s">
        <v>2323</v>
      </c>
      <c r="H14" s="236"/>
      <c r="I14" s="236"/>
      <c r="J14" s="236"/>
      <c r="K14" s="833" t="s">
        <v>2324</v>
      </c>
      <c r="L14" s="236"/>
      <c r="M14" s="238" t="s">
        <v>2325</v>
      </c>
      <c r="N14" s="236"/>
      <c r="O14" s="236"/>
      <c r="P14" s="236"/>
      <c r="Q14" s="240">
        <v>2024</v>
      </c>
      <c r="R14" s="236"/>
      <c r="S14" s="240">
        <v>15</v>
      </c>
      <c r="X14" s="262" t="s">
        <v>2326</v>
      </c>
      <c r="AB14" s="870" t="s">
        <v>2327</v>
      </c>
      <c r="AC14" s="871" t="s">
        <v>2229</v>
      </c>
    </row>
    <row customHeight="1" ht="12">
      <c r="A15" s="239" t="s">
        <v>2328</v>
      </c>
      <c r="B15" s="239" t="s">
        <v>2329</v>
      </c>
      <c r="D15" s="236"/>
      <c r="E15" s="236"/>
      <c r="F15" s="236"/>
      <c r="G15" s="242" t="s">
        <v>2330</v>
      </c>
      <c r="H15" s="236"/>
      <c r="I15" s="236"/>
      <c r="J15" s="236"/>
      <c r="K15" s="833" t="s">
        <v>2331</v>
      </c>
      <c r="L15" s="236"/>
      <c r="M15" s="241" t="str">
        <f>"01.01."&amp;PERIOD</f>
        <v>01.01.2021</v>
      </c>
      <c r="N15" s="236"/>
      <c r="O15" s="236"/>
      <c r="P15" s="236"/>
      <c r="Q15" s="240">
        <v>2025</v>
      </c>
      <c r="R15" s="236"/>
      <c r="S15" s="240">
        <v>16</v>
      </c>
      <c r="AB15" s="870" t="s">
        <v>2332</v>
      </c>
      <c r="AC15" s="871" t="s">
        <v>2229</v>
      </c>
    </row>
    <row customHeight="1" ht="12">
      <c r="A16" s="239" t="s">
        <v>2333</v>
      </c>
      <c r="B16" s="239" t="s">
        <v>2334</v>
      </c>
      <c r="D16" s="236"/>
      <c r="E16" s="236"/>
      <c r="F16" s="236"/>
      <c r="G16" s="242" t="s">
        <v>2335</v>
      </c>
      <c r="H16" s="236"/>
      <c r="I16" s="236"/>
      <c r="J16" s="236"/>
      <c r="K16" s="833" t="s">
        <v>2336</v>
      </c>
      <c r="L16" s="236"/>
      <c r="M16" s="241" t="str">
        <f>"31.12."&amp;PERIOD</f>
        <v>31.12.2021</v>
      </c>
      <c r="N16" s="236"/>
      <c r="O16" s="236"/>
      <c r="P16" s="236"/>
      <c r="Q16" s="240">
        <v>2026</v>
      </c>
      <c r="R16" s="236"/>
      <c r="S16" s="240">
        <v>17</v>
      </c>
      <c r="X16" s="253" t="s">
        <v>2337</v>
      </c>
      <c r="AB16" s="870" t="s">
        <v>2338</v>
      </c>
      <c r="AC16" s="871" t="s">
        <v>2229</v>
      </c>
    </row>
    <row customHeight="1" ht="12">
      <c r="A17" s="239" t="s">
        <v>2339</v>
      </c>
      <c r="B17" s="239" t="s">
        <v>2340</v>
      </c>
      <c r="D17" s="236"/>
      <c r="E17" s="236"/>
      <c r="F17" s="236"/>
      <c r="G17" s="236"/>
      <c r="H17" s="236"/>
      <c r="I17" s="236"/>
      <c r="J17" s="236"/>
      <c r="K17" s="236"/>
      <c r="L17" s="236"/>
      <c r="M17" s="223"/>
      <c r="N17" s="236"/>
      <c r="O17" s="236"/>
      <c r="P17" s="236"/>
      <c r="Q17" s="240">
        <v>2027</v>
      </c>
      <c r="R17" s="236"/>
      <c r="S17" s="240">
        <v>18</v>
      </c>
      <c r="X17" s="262" t="s">
        <v>2341</v>
      </c>
      <c r="AB17" s="871" t="s">
        <v>2342</v>
      </c>
      <c r="AC17" s="871" t="s">
        <v>2229</v>
      </c>
    </row>
    <row customHeight="1" ht="12">
      <c r="A18" s="239" t="s">
        <v>2343</v>
      </c>
      <c r="B18" s="239" t="s">
        <v>2344</v>
      </c>
      <c r="D18" s="236"/>
      <c r="E18" s="236"/>
      <c r="F18" s="236"/>
      <c r="G18" s="236"/>
      <c r="H18" s="236"/>
      <c r="I18" s="236"/>
      <c r="J18" s="236"/>
      <c r="K18" s="238" t="s">
        <v>2345</v>
      </c>
      <c r="L18" s="236"/>
      <c r="M18" s="238" t="s">
        <v>2346</v>
      </c>
      <c r="N18" s="236"/>
      <c r="O18" s="236"/>
      <c r="P18" s="236"/>
      <c r="Q18" s="240">
        <v>2028</v>
      </c>
      <c r="R18" s="236"/>
      <c r="S18" s="240">
        <v>19</v>
      </c>
      <c r="X18" s="262" t="s">
        <v>2347</v>
      </c>
      <c r="AB18" s="871" t="s">
        <v>2348</v>
      </c>
      <c r="AC18" s="871" t="s">
        <v>2229</v>
      </c>
    </row>
    <row customHeight="1" ht="12">
      <c r="A19" s="239" t="s">
        <v>2349</v>
      </c>
      <c r="B19" s="239" t="s">
        <v>2350</v>
      </c>
      <c r="D19" s="236"/>
      <c r="E19" s="236"/>
      <c r="F19" s="236"/>
      <c r="G19" s="236"/>
      <c r="H19" s="236"/>
      <c r="I19" s="236"/>
      <c r="J19" s="236"/>
      <c r="K19" s="824" t="s">
        <v>338</v>
      </c>
      <c r="L19" s="236"/>
      <c r="M19" s="241" t="str">
        <f>"01.01."&amp;PERIOD</f>
        <v>01.01.2021</v>
      </c>
      <c r="N19" s="236"/>
      <c r="O19" s="236"/>
      <c r="P19" s="236"/>
      <c r="Q19" s="240">
        <v>2029</v>
      </c>
      <c r="R19" s="236"/>
      <c r="S19" s="240">
        <v>20</v>
      </c>
      <c r="X19" s="262" t="s">
        <v>421</v>
      </c>
      <c r="AB19" s="871" t="s">
        <v>2351</v>
      </c>
      <c r="AC19" s="871" t="s">
        <v>2229</v>
      </c>
    </row>
    <row customHeight="1" ht="12">
      <c r="A20" s="239" t="s">
        <v>2352</v>
      </c>
      <c r="B20" s="239" t="s">
        <v>2353</v>
      </c>
      <c r="D20" s="236"/>
      <c r="E20" s="236"/>
      <c r="F20" s="236"/>
      <c r="G20" s="236"/>
      <c r="H20" s="236"/>
      <c r="I20" s="236"/>
      <c r="J20" s="236"/>
      <c r="K20" s="824" t="s">
        <v>2354</v>
      </c>
      <c r="L20" s="236"/>
      <c r="M20" s="241" t="str">
        <f>"31.12."&amp;PERIOD</f>
        <v>31.12.2021</v>
      </c>
      <c r="N20" s="236"/>
      <c r="O20" s="236"/>
      <c r="P20" s="236"/>
      <c r="Q20" s="240">
        <v>2030</v>
      </c>
      <c r="R20" s="236"/>
      <c r="S20" s="240">
        <v>21</v>
      </c>
      <c r="X20" s="262" t="s">
        <v>303</v>
      </c>
      <c r="AB20" s="871" t="s">
        <v>2355</v>
      </c>
      <c r="AC20" s="871" t="s">
        <v>2229</v>
      </c>
    </row>
    <row customHeight="1" ht="12">
      <c r="A21" s="239" t="s">
        <v>2356</v>
      </c>
      <c r="B21" s="239" t="s">
        <v>2357</v>
      </c>
      <c r="D21" s="236"/>
      <c r="E21" s="236"/>
      <c r="F21" s="236"/>
      <c r="G21" s="236"/>
      <c r="H21" s="236"/>
      <c r="I21" s="236"/>
      <c r="J21" s="236"/>
      <c r="K21" s="824" t="s">
        <v>2358</v>
      </c>
      <c r="L21" s="236"/>
      <c r="M21" s="236"/>
      <c r="N21" s="236"/>
      <c r="O21" s="236"/>
      <c r="P21" s="236"/>
      <c r="Q21" s="236"/>
      <c r="R21" s="236"/>
      <c r="S21" s="240">
        <v>22</v>
      </c>
      <c r="X21" s="262" t="s">
        <v>2359</v>
      </c>
      <c r="AB21" s="871" t="s">
        <v>2360</v>
      </c>
      <c r="AC21" s="871" t="s">
        <v>2361</v>
      </c>
    </row>
    <row customHeight="1" ht="12">
      <c r="A22" s="239" t="s">
        <v>2362</v>
      </c>
      <c r="B22" s="239" t="s">
        <v>2363</v>
      </c>
      <c r="D22" s="236"/>
      <c r="E22" s="236"/>
      <c r="F22" s="236"/>
      <c r="G22" s="236"/>
      <c r="H22" s="236"/>
      <c r="I22" s="236"/>
      <c r="J22" s="236"/>
      <c r="K22" s="236"/>
      <c r="L22" s="236"/>
      <c r="M22" s="236"/>
      <c r="N22" s="236"/>
      <c r="O22" s="236"/>
      <c r="P22" s="236"/>
      <c r="Q22" s="236"/>
      <c r="R22" s="236"/>
      <c r="S22" s="240">
        <v>23</v>
      </c>
      <c r="X22" s="262" t="s">
        <v>2364</v>
      </c>
      <c r="AB22" s="871" t="s">
        <v>2365</v>
      </c>
      <c r="AC22" s="871" t="s">
        <v>2361</v>
      </c>
    </row>
    <row customHeight="1" ht="12">
      <c r="A23" s="239" t="s">
        <v>2366</v>
      </c>
      <c r="B23" s="239" t="s">
        <v>2367</v>
      </c>
      <c r="D23" s="236"/>
      <c r="E23" s="236"/>
      <c r="F23" s="236"/>
      <c r="G23" s="236"/>
      <c r="H23" s="236"/>
      <c r="I23" s="236"/>
      <c r="J23" s="236"/>
      <c r="K23" s="238" t="s">
        <v>2368</v>
      </c>
      <c r="L23" s="236"/>
      <c r="M23" s="236"/>
      <c r="N23" s="236"/>
      <c r="O23" s="236"/>
      <c r="P23" s="236"/>
      <c r="Q23" s="236"/>
      <c r="R23" s="236"/>
      <c r="S23" s="240">
        <v>24</v>
      </c>
      <c r="X23" s="262" t="s">
        <v>2369</v>
      </c>
      <c r="AB23" s="870" t="s">
        <v>2370</v>
      </c>
      <c r="AC23" s="871" t="s">
        <v>2361</v>
      </c>
    </row>
    <row customHeight="1" ht="12">
      <c r="A24" s="239" t="s">
        <v>2371</v>
      </c>
      <c r="B24" s="239" t="s">
        <v>2372</v>
      </c>
      <c r="D24" s="236"/>
      <c r="E24" s="236"/>
      <c r="F24" s="236"/>
      <c r="G24" s="236"/>
      <c r="H24" s="236"/>
      <c r="I24" s="236"/>
      <c r="J24" s="236"/>
      <c r="K24" s="825" t="s">
        <v>2373</v>
      </c>
      <c r="L24" s="236"/>
      <c r="M24" s="236"/>
      <c r="N24" s="236"/>
      <c r="O24" s="236"/>
      <c r="P24" s="236"/>
      <c r="Q24" s="236"/>
      <c r="R24" s="236"/>
      <c r="S24" s="240">
        <v>25</v>
      </c>
      <c r="X24" s="262" t="s">
        <v>2374</v>
      </c>
      <c r="AB24" s="870" t="s">
        <v>2375</v>
      </c>
      <c r="AC24" s="871" t="s">
        <v>2361</v>
      </c>
    </row>
    <row customHeight="1" ht="12">
      <c r="A25" s="239" t="s">
        <v>2376</v>
      </c>
      <c r="B25" s="239" t="s">
        <v>2377</v>
      </c>
      <c r="D25" s="236"/>
      <c r="E25" s="236"/>
      <c r="F25" s="236"/>
      <c r="G25" s="236"/>
      <c r="H25" s="236"/>
      <c r="I25" s="236"/>
      <c r="J25" s="236"/>
      <c r="K25" s="825" t="s">
        <v>2378</v>
      </c>
      <c r="L25" s="236"/>
      <c r="M25" s="236"/>
      <c r="N25" s="236"/>
      <c r="O25" s="236"/>
      <c r="P25" s="236"/>
      <c r="Q25" s="236"/>
      <c r="R25" s="236"/>
      <c r="S25" s="240">
        <v>26</v>
      </c>
      <c r="X25" s="262" t="s">
        <v>2379</v>
      </c>
      <c r="AB25" s="870" t="s">
        <v>2380</v>
      </c>
      <c r="AC25" s="871" t="s">
        <v>2361</v>
      </c>
    </row>
    <row customHeight="1" ht="12">
      <c r="A26" s="239" t="s">
        <v>114</v>
      </c>
      <c r="B26" s="239" t="s">
        <v>2381</v>
      </c>
      <c r="D26" s="236"/>
      <c r="E26" s="236"/>
      <c r="F26" s="236"/>
      <c r="G26" s="236"/>
      <c r="H26" s="236"/>
      <c r="I26" s="236"/>
      <c r="J26" s="236"/>
      <c r="K26" s="825" t="s">
        <v>340</v>
      </c>
      <c r="L26" s="236"/>
      <c r="M26" s="236"/>
      <c r="N26" s="236"/>
      <c r="O26" s="236"/>
      <c r="P26" s="236"/>
      <c r="Q26" s="236"/>
      <c r="R26" s="236"/>
      <c r="S26" s="240">
        <v>27</v>
      </c>
      <c r="X26" s="262" t="s">
        <v>2382</v>
      </c>
      <c r="AB26" s="870" t="s">
        <v>2383</v>
      </c>
      <c r="AC26" s="871" t="s">
        <v>2361</v>
      </c>
    </row>
    <row customHeight="1" ht="12">
      <c r="A27" s="239" t="s">
        <v>2384</v>
      </c>
      <c r="B27" s="239" t="s">
        <v>2385</v>
      </c>
      <c r="D27" s="236"/>
      <c r="E27" s="236"/>
      <c r="F27" s="236"/>
      <c r="G27" s="236"/>
      <c r="H27" s="236"/>
      <c r="I27" s="236"/>
      <c r="J27" s="236"/>
      <c r="K27" s="825" t="s">
        <v>2386</v>
      </c>
      <c r="L27" s="236"/>
      <c r="M27" s="236"/>
      <c r="N27" s="236"/>
      <c r="O27" s="236"/>
      <c r="P27" s="236"/>
      <c r="Q27" s="236"/>
      <c r="R27" s="236"/>
      <c r="S27" s="240">
        <v>28</v>
      </c>
      <c r="X27" s="262" t="s">
        <v>2387</v>
      </c>
      <c r="AB27" s="870" t="s">
        <v>2388</v>
      </c>
      <c r="AC27" s="871" t="s">
        <v>2361</v>
      </c>
    </row>
    <row customHeight="1" ht="12">
      <c r="A28" s="239" t="s">
        <v>2389</v>
      </c>
      <c r="B28" s="239" t="s">
        <v>2390</v>
      </c>
      <c r="D28" s="236"/>
      <c r="E28" s="236"/>
      <c r="F28" s="236"/>
      <c r="G28" s="236"/>
      <c r="H28" s="236"/>
      <c r="I28" s="236"/>
      <c r="J28" s="236"/>
      <c r="K28" s="825" t="s">
        <v>2391</v>
      </c>
      <c r="L28" s="236"/>
      <c r="M28" s="236"/>
      <c r="N28" s="236"/>
      <c r="O28" s="236"/>
      <c r="P28" s="236"/>
      <c r="Q28" s="236"/>
      <c r="R28" s="236"/>
      <c r="S28" s="240">
        <v>29</v>
      </c>
      <c r="X28" s="262" t="s">
        <v>2392</v>
      </c>
      <c r="AB28" s="870" t="s">
        <v>2393</v>
      </c>
      <c r="AC28" s="871" t="s">
        <v>2361</v>
      </c>
    </row>
    <row customHeight="1" ht="12">
      <c r="A29" s="239" t="s">
        <v>2394</v>
      </c>
      <c r="B29" s="239" t="s">
        <v>2395</v>
      </c>
      <c r="D29" s="236"/>
      <c r="E29" s="236"/>
      <c r="F29" s="236"/>
      <c r="G29" s="236"/>
      <c r="H29" s="236"/>
      <c r="I29" s="236"/>
      <c r="J29" s="236"/>
      <c r="K29" s="236"/>
      <c r="L29" s="236"/>
      <c r="M29" s="236"/>
      <c r="N29" s="236"/>
      <c r="O29" s="236"/>
      <c r="P29" s="236"/>
      <c r="Q29" s="236"/>
      <c r="R29" s="236"/>
      <c r="S29" s="240">
        <v>30</v>
      </c>
      <c r="X29" s="262" t="s">
        <v>2396</v>
      </c>
      <c r="AB29" s="870" t="s">
        <v>2397</v>
      </c>
      <c r="AC29" s="871" t="s">
        <v>2361</v>
      </c>
    </row>
    <row customHeight="1" ht="12">
      <c r="A30" s="239" t="s">
        <v>2398</v>
      </c>
      <c r="B30" s="239" t="s">
        <v>2399</v>
      </c>
      <c r="D30" s="236"/>
      <c r="E30" s="236"/>
      <c r="F30" s="236"/>
      <c r="G30" s="236"/>
      <c r="H30" s="236"/>
      <c r="I30" s="236"/>
      <c r="J30" s="236"/>
      <c r="K30" s="238" t="s">
        <v>2400</v>
      </c>
      <c r="L30" s="236"/>
      <c r="M30" s="236"/>
      <c r="N30" s="236"/>
      <c r="O30" s="236"/>
      <c r="P30" s="236"/>
      <c r="Q30" s="236"/>
      <c r="R30" s="236"/>
      <c r="S30" s="240">
        <v>31</v>
      </c>
      <c r="X30" s="262" t="s">
        <v>2401</v>
      </c>
      <c r="AB30" s="870" t="s">
        <v>2402</v>
      </c>
      <c r="AC30" s="871" t="s">
        <v>2361</v>
      </c>
    </row>
    <row customHeight="1" ht="12">
      <c r="A31" s="239" t="s">
        <v>2403</v>
      </c>
      <c r="B31" s="239" t="s">
        <v>2404</v>
      </c>
      <c r="D31" s="236"/>
      <c r="E31" s="236"/>
      <c r="F31" s="236"/>
      <c r="G31" s="236"/>
      <c r="H31" s="236"/>
      <c r="I31" s="236"/>
      <c r="J31" s="236"/>
      <c r="K31" s="825" t="s">
        <v>2405</v>
      </c>
      <c r="L31" s="236"/>
      <c r="M31" s="236"/>
      <c r="N31" s="236"/>
      <c r="O31" s="236"/>
      <c r="P31" s="236"/>
      <c r="Q31" s="236"/>
      <c r="R31" s="236"/>
      <c r="S31" s="240">
        <v>32</v>
      </c>
      <c r="X31" s="262" t="s">
        <v>2406</v>
      </c>
      <c r="AB31" s="870" t="s">
        <v>2407</v>
      </c>
      <c r="AC31" s="871" t="s">
        <v>2361</v>
      </c>
    </row>
    <row customHeight="1" ht="12">
      <c r="A32" s="239" t="s">
        <v>2408</v>
      </c>
      <c r="B32" s="239" t="s">
        <v>2409</v>
      </c>
      <c r="D32" s="236"/>
      <c r="E32" s="236"/>
      <c r="F32" s="236"/>
      <c r="G32" s="236"/>
      <c r="H32" s="236"/>
      <c r="I32" s="236"/>
      <c r="J32" s="236"/>
      <c r="K32" s="825" t="s">
        <v>2410</v>
      </c>
      <c r="L32" s="236"/>
      <c r="M32" s="236"/>
      <c r="N32" s="236"/>
      <c r="O32" s="236"/>
      <c r="P32" s="236"/>
      <c r="Q32" s="236"/>
      <c r="R32" s="236"/>
      <c r="S32" s="240">
        <v>33</v>
      </c>
      <c r="X32" s="262" t="s">
        <v>2411</v>
      </c>
      <c r="AB32" s="870" t="s">
        <v>2412</v>
      </c>
      <c r="AC32" s="871" t="s">
        <v>2361</v>
      </c>
    </row>
    <row customHeight="1" ht="12">
      <c r="A33" s="239" t="s">
        <v>2413</v>
      </c>
      <c r="B33" s="239" t="s">
        <v>2414</v>
      </c>
      <c r="D33" s="236"/>
      <c r="E33" s="236"/>
      <c r="F33" s="236"/>
      <c r="G33" s="236"/>
      <c r="H33" s="236"/>
      <c r="I33" s="236"/>
      <c r="J33" s="236"/>
      <c r="K33" s="825" t="s">
        <v>2415</v>
      </c>
      <c r="L33" s="236"/>
      <c r="M33" s="236"/>
      <c r="N33" s="236"/>
      <c r="O33" s="236"/>
      <c r="P33" s="236"/>
      <c r="Q33" s="236"/>
      <c r="R33" s="236"/>
      <c r="S33" s="240">
        <v>34</v>
      </c>
      <c r="X33" s="262" t="s">
        <v>2416</v>
      </c>
      <c r="AB33" s="871" t="s">
        <v>2417</v>
      </c>
      <c r="AC33" s="871" t="s">
        <v>2361</v>
      </c>
    </row>
    <row customHeight="1" ht="12">
      <c r="A34" s="239" t="s">
        <v>2418</v>
      </c>
      <c r="B34" s="239" t="s">
        <v>2419</v>
      </c>
      <c r="D34" s="236"/>
      <c r="E34" s="236"/>
      <c r="F34" s="236"/>
      <c r="G34" s="236"/>
      <c r="H34" s="236"/>
      <c r="I34" s="236"/>
      <c r="J34" s="236"/>
      <c r="K34" s="236"/>
      <c r="L34" s="236"/>
      <c r="M34" s="236"/>
      <c r="N34" s="236"/>
      <c r="O34" s="236"/>
      <c r="P34" s="236"/>
      <c r="Q34" s="236"/>
      <c r="R34" s="236"/>
      <c r="S34" s="240">
        <v>35</v>
      </c>
      <c r="X34" s="262" t="s">
        <v>2420</v>
      </c>
      <c r="AB34" s="871" t="s">
        <v>2421</v>
      </c>
      <c r="AC34" s="871" t="s">
        <v>2361</v>
      </c>
    </row>
    <row customHeight="1" ht="12">
      <c r="A35" s="239" t="s">
        <v>2422</v>
      </c>
      <c r="B35" s="239" t="s">
        <v>2423</v>
      </c>
      <c r="D35" s="236"/>
      <c r="E35" s="236"/>
      <c r="F35" s="236"/>
      <c r="G35" s="236"/>
      <c r="H35" s="236"/>
      <c r="I35" s="236"/>
      <c r="J35" s="236"/>
      <c r="K35" s="236"/>
      <c r="L35" s="236"/>
      <c r="M35" s="236"/>
      <c r="N35" s="236"/>
      <c r="O35" s="236"/>
      <c r="P35" s="236"/>
      <c r="Q35" s="236"/>
      <c r="R35" s="236"/>
      <c r="S35" s="240">
        <v>36</v>
      </c>
      <c r="X35" s="262" t="s">
        <v>2424</v>
      </c>
      <c r="AB35" s="871" t="s">
        <v>2425</v>
      </c>
      <c r="AC35" s="871" t="s">
        <v>2361</v>
      </c>
    </row>
    <row customHeight="1" ht="12">
      <c r="A36" s="239" t="s">
        <v>2426</v>
      </c>
      <c r="B36" s="239" t="s">
        <v>2427</v>
      </c>
      <c r="D36" s="236"/>
      <c r="E36" s="236"/>
      <c r="F36" s="236"/>
      <c r="G36" s="236"/>
      <c r="H36" s="236"/>
      <c r="I36" s="236"/>
      <c r="J36" s="236"/>
      <c r="K36" s="236"/>
      <c r="L36" s="236"/>
      <c r="M36" s="236"/>
      <c r="N36" s="236"/>
      <c r="O36" s="236"/>
      <c r="P36" s="236"/>
      <c r="Q36" s="236"/>
      <c r="R36" s="236"/>
      <c r="S36" s="240">
        <v>37</v>
      </c>
      <c r="X36" s="262" t="s">
        <v>2428</v>
      </c>
      <c r="AB36" s="871" t="s">
        <v>2429</v>
      </c>
      <c r="AC36" s="871" t="s">
        <v>2361</v>
      </c>
    </row>
    <row customHeight="1" ht="12">
      <c r="A37" s="239" t="s">
        <v>2430</v>
      </c>
      <c r="B37" s="239" t="s">
        <v>2431</v>
      </c>
      <c r="D37" s="236"/>
      <c r="E37" s="236"/>
      <c r="F37" s="236"/>
      <c r="G37" s="236"/>
      <c r="H37" s="236"/>
      <c r="I37" s="236"/>
      <c r="J37" s="236"/>
      <c r="K37" s="236"/>
      <c r="L37" s="236"/>
      <c r="M37" s="236"/>
      <c r="N37" s="236"/>
      <c r="O37" s="236"/>
      <c r="P37" s="236"/>
      <c r="Q37" s="236"/>
      <c r="R37" s="236"/>
      <c r="S37" s="240">
        <v>38</v>
      </c>
      <c r="AB37" s="871" t="s">
        <v>902</v>
      </c>
      <c r="AC37" s="871" t="s">
        <v>2361</v>
      </c>
    </row>
    <row customHeight="1" ht="12">
      <c r="A38" s="239" t="s">
        <v>2432</v>
      </c>
      <c r="B38" s="239" t="s">
        <v>2433</v>
      </c>
      <c r="D38" s="236"/>
      <c r="E38" s="236"/>
      <c r="F38" s="236"/>
      <c r="G38" s="236"/>
      <c r="H38" s="236"/>
      <c r="I38" s="236"/>
      <c r="J38" s="236"/>
      <c r="K38" s="238" t="s">
        <v>2434</v>
      </c>
      <c r="L38" s="236"/>
      <c r="M38" s="236"/>
      <c r="N38" s="236"/>
      <c r="O38" s="236"/>
      <c r="P38" s="236"/>
      <c r="Q38" s="236"/>
      <c r="R38" s="236"/>
      <c r="S38" s="240">
        <v>39</v>
      </c>
      <c r="AB38" s="871" t="s">
        <v>2435</v>
      </c>
      <c r="AC38" s="871" t="s">
        <v>2361</v>
      </c>
    </row>
    <row customHeight="1" ht="12">
      <c r="A39" s="239" t="s">
        <v>2436</v>
      </c>
      <c r="B39" s="239" t="s">
        <v>2437</v>
      </c>
      <c r="D39" s="236"/>
      <c r="E39" s="236"/>
      <c r="F39" s="236"/>
      <c r="G39" s="236"/>
      <c r="H39" s="236"/>
      <c r="I39" s="236"/>
      <c r="J39" s="236"/>
      <c r="K39" s="242" t="s">
        <v>2438</v>
      </c>
      <c r="L39" s="236"/>
      <c r="M39" s="236"/>
      <c r="N39" s="236"/>
      <c r="O39" s="236"/>
      <c r="P39" s="236"/>
      <c r="Q39" s="236"/>
      <c r="R39" s="236"/>
      <c r="S39" s="240">
        <v>40</v>
      </c>
      <c r="AB39" s="871" t="s">
        <v>2439</v>
      </c>
      <c r="AC39" s="871" t="s">
        <v>2361</v>
      </c>
    </row>
    <row customHeight="1" ht="12">
      <c r="A40" s="239" t="s">
        <v>2440</v>
      </c>
      <c r="B40" s="239" t="s">
        <v>2441</v>
      </c>
      <c r="D40" s="236"/>
      <c r="E40" s="236"/>
      <c r="F40" s="236"/>
      <c r="G40" s="236"/>
      <c r="H40" s="236"/>
      <c r="I40" s="236"/>
      <c r="J40" s="236"/>
      <c r="K40" s="242" t="s">
        <v>2442</v>
      </c>
      <c r="L40" s="236"/>
      <c r="M40" s="236"/>
      <c r="N40" s="236"/>
      <c r="O40" s="236"/>
      <c r="P40" s="236"/>
      <c r="Q40" s="236"/>
      <c r="R40" s="236"/>
      <c r="S40" s="240">
        <v>41</v>
      </c>
      <c r="AB40" s="871" t="s">
        <v>2443</v>
      </c>
      <c r="AC40" s="871" t="s">
        <v>2361</v>
      </c>
    </row>
    <row customHeight="1" ht="12">
      <c r="A41" s="239" t="s">
        <v>2444</v>
      </c>
      <c r="B41" s="239" t="s">
        <v>2445</v>
      </c>
      <c r="D41" s="236"/>
      <c r="E41" s="236"/>
      <c r="F41" s="236"/>
      <c r="G41" s="236"/>
      <c r="H41" s="236"/>
      <c r="I41" s="236"/>
      <c r="J41" s="236"/>
      <c r="K41" s="242" t="s">
        <v>2446</v>
      </c>
      <c r="L41" s="236"/>
      <c r="M41" s="236"/>
      <c r="N41" s="236"/>
      <c r="O41" s="236"/>
      <c r="P41" s="236"/>
      <c r="Q41" s="236"/>
      <c r="R41" s="236"/>
      <c r="S41" s="240">
        <v>42</v>
      </c>
      <c r="AB41" s="871" t="s">
        <v>2447</v>
      </c>
      <c r="AC41" s="871" t="s">
        <v>2361</v>
      </c>
    </row>
    <row customHeight="1" ht="12">
      <c r="A42" s="239" t="s">
        <v>2448</v>
      </c>
      <c r="B42" s="239" t="s">
        <v>2449</v>
      </c>
      <c r="D42" s="236"/>
      <c r="E42" s="236"/>
      <c r="F42" s="236"/>
      <c r="G42" s="236"/>
      <c r="H42" s="236"/>
      <c r="I42" s="236"/>
      <c r="J42" s="236"/>
      <c r="K42" s="242" t="s">
        <v>2450</v>
      </c>
      <c r="L42" s="236"/>
      <c r="M42" s="236"/>
      <c r="N42" s="236"/>
      <c r="O42" s="236"/>
      <c r="P42" s="236"/>
      <c r="Q42" s="236"/>
      <c r="R42" s="236"/>
      <c r="S42" s="240">
        <v>43</v>
      </c>
      <c r="AB42" s="871" t="s">
        <v>2451</v>
      </c>
      <c r="AC42" s="871" t="s">
        <v>2361</v>
      </c>
    </row>
    <row customHeight="1" ht="12">
      <c r="A43" s="239" t="s">
        <v>2452</v>
      </c>
      <c r="B43" s="239" t="s">
        <v>2453</v>
      </c>
      <c r="D43" s="236"/>
      <c r="E43" s="236"/>
      <c r="F43" s="236"/>
      <c r="G43" s="236"/>
      <c r="H43" s="236"/>
      <c r="I43" s="236"/>
      <c r="J43" s="236"/>
      <c r="K43" s="236"/>
      <c r="L43" s="236"/>
      <c r="M43" s="236"/>
      <c r="N43" s="236"/>
      <c r="O43" s="236"/>
      <c r="P43" s="236"/>
      <c r="Q43" s="236"/>
      <c r="R43" s="236"/>
      <c r="S43" s="240">
        <v>44</v>
      </c>
      <c r="AB43" s="871" t="s">
        <v>2454</v>
      </c>
      <c r="AC43" s="871" t="s">
        <v>2455</v>
      </c>
    </row>
    <row customHeight="1" ht="12">
      <c r="A44" s="239" t="s">
        <v>2456</v>
      </c>
      <c r="B44" s="239" t="s">
        <v>2457</v>
      </c>
      <c r="D44" s="236"/>
      <c r="E44" s="236"/>
      <c r="F44" s="236"/>
      <c r="G44" s="236"/>
      <c r="H44" s="236"/>
      <c r="I44" s="236"/>
      <c r="J44" s="236"/>
      <c r="K44" s="236"/>
      <c r="L44" s="236"/>
      <c r="M44" s="236"/>
      <c r="N44" s="236"/>
      <c r="O44" s="236"/>
      <c r="P44" s="236"/>
      <c r="Q44" s="236"/>
      <c r="R44" s="236"/>
      <c r="S44" s="240">
        <v>45</v>
      </c>
      <c r="AB44" s="871" t="s">
        <v>2458</v>
      </c>
      <c r="AC44" s="871" t="s">
        <v>2459</v>
      </c>
    </row>
    <row customHeight="1" ht="12">
      <c r="A45" s="239" t="s">
        <v>2460</v>
      </c>
      <c r="B45" s="239" t="s">
        <v>2461</v>
      </c>
      <c r="D45" s="236"/>
      <c r="E45" s="236"/>
      <c r="F45" s="236"/>
      <c r="G45" s="236"/>
      <c r="H45" s="236"/>
      <c r="I45" s="236"/>
      <c r="J45" s="236"/>
      <c r="K45" s="238" t="s">
        <v>2462</v>
      </c>
      <c r="L45" s="236"/>
      <c r="M45" s="236"/>
      <c r="N45" s="236"/>
      <c r="O45" s="236"/>
      <c r="P45" s="236"/>
      <c r="Q45" s="236"/>
      <c r="R45" s="236"/>
      <c r="S45" s="240">
        <v>46</v>
      </c>
      <c r="AB45" s="871" t="s">
        <v>2463</v>
      </c>
      <c r="AC45" s="871" t="s">
        <v>2361</v>
      </c>
    </row>
    <row customHeight="1" ht="12">
      <c r="A46" s="239" t="s">
        <v>2464</v>
      </c>
      <c r="B46" s="239" t="s">
        <v>2465</v>
      </c>
      <c r="D46" s="236"/>
      <c r="E46" s="236"/>
      <c r="F46" s="236"/>
      <c r="G46" s="236"/>
      <c r="H46" s="236"/>
      <c r="I46" s="236"/>
      <c r="J46" s="236"/>
      <c r="K46" s="242" t="s">
        <v>303</v>
      </c>
      <c r="L46" s="236"/>
      <c r="M46" s="236"/>
      <c r="N46" s="236"/>
      <c r="O46" s="236"/>
      <c r="P46" s="236"/>
      <c r="Q46" s="236"/>
      <c r="R46" s="236"/>
      <c r="S46" s="240">
        <v>47</v>
      </c>
      <c r="AB46" s="871" t="s">
        <v>2466</v>
      </c>
      <c r="AC46" s="871" t="s">
        <v>2361</v>
      </c>
    </row>
    <row customHeight="1" ht="12">
      <c r="A47" s="239" t="s">
        <v>2467</v>
      </c>
      <c r="B47" s="239" t="s">
        <v>2468</v>
      </c>
      <c r="D47" s="236"/>
      <c r="E47" s="236"/>
      <c r="F47" s="236"/>
      <c r="G47" s="236"/>
      <c r="H47" s="236"/>
      <c r="I47" s="236"/>
      <c r="J47" s="236"/>
      <c r="K47" s="242" t="s">
        <v>2359</v>
      </c>
      <c r="L47" s="236"/>
      <c r="M47" s="236"/>
      <c r="N47" s="236"/>
      <c r="O47" s="236"/>
      <c r="P47" s="236"/>
      <c r="Q47" s="236"/>
      <c r="R47" s="236"/>
      <c r="S47" s="240">
        <v>48</v>
      </c>
      <c r="AB47" s="871" t="s">
        <v>2469</v>
      </c>
      <c r="AC47" s="871" t="s">
        <v>2361</v>
      </c>
    </row>
    <row customHeight="1" ht="12">
      <c r="A48" s="239" t="s">
        <v>2470</v>
      </c>
      <c r="B48" s="239" t="s">
        <v>2471</v>
      </c>
      <c r="D48" s="236"/>
      <c r="E48" s="236"/>
      <c r="F48" s="236"/>
      <c r="G48" s="236"/>
      <c r="H48" s="236"/>
      <c r="I48" s="236"/>
      <c r="J48" s="236"/>
      <c r="K48" s="242" t="s">
        <v>2364</v>
      </c>
      <c r="L48" s="236"/>
      <c r="M48" s="236"/>
      <c r="N48" s="236"/>
      <c r="O48" s="236"/>
      <c r="P48" s="236"/>
      <c r="Q48" s="236"/>
      <c r="R48" s="236"/>
      <c r="S48" s="240">
        <v>49</v>
      </c>
      <c r="AB48" s="871" t="s">
        <v>2472</v>
      </c>
      <c r="AC48" s="871" t="s">
        <v>2361</v>
      </c>
    </row>
    <row customHeight="1" ht="12">
      <c r="A49" s="239" t="s">
        <v>2473</v>
      </c>
      <c r="B49" s="239" t="s">
        <v>2474</v>
      </c>
      <c r="D49" s="236"/>
      <c r="E49" s="236"/>
      <c r="F49" s="236"/>
      <c r="G49" s="236"/>
      <c r="H49" s="236"/>
      <c r="I49" s="236"/>
      <c r="J49" s="236"/>
      <c r="K49" s="242" t="s">
        <v>2369</v>
      </c>
      <c r="L49" s="236"/>
      <c r="M49" s="236"/>
      <c r="N49" s="236"/>
      <c r="O49" s="236"/>
      <c r="P49" s="236"/>
      <c r="Q49" s="236"/>
      <c r="R49" s="236"/>
      <c r="S49" s="240">
        <v>50</v>
      </c>
      <c r="AB49" s="871" t="s">
        <v>2475</v>
      </c>
      <c r="AC49" s="871" t="s">
        <v>2361</v>
      </c>
    </row>
    <row customHeight="1" ht="12">
      <c r="A50" s="239" t="s">
        <v>2476</v>
      </c>
      <c r="B50" s="239" t="s">
        <v>2477</v>
      </c>
      <c r="D50" s="236"/>
      <c r="E50" s="236"/>
      <c r="F50" s="236"/>
      <c r="G50" s="236"/>
      <c r="H50" s="236"/>
      <c r="I50" s="236"/>
      <c r="J50" s="236"/>
      <c r="K50" s="242" t="s">
        <v>242</v>
      </c>
      <c r="L50" s="236"/>
      <c r="M50" s="236"/>
      <c r="N50" s="236"/>
      <c r="O50" s="236"/>
      <c r="P50" s="236"/>
      <c r="Q50" s="236"/>
      <c r="R50" s="236"/>
      <c r="AB50" s="871" t="s">
        <v>2478</v>
      </c>
      <c r="AC50" s="871" t="s">
        <v>2361</v>
      </c>
    </row>
    <row customHeight="1" ht="12">
      <c r="A51" s="239" t="s">
        <v>2479</v>
      </c>
      <c r="B51" s="239" t="s">
        <v>2480</v>
      </c>
      <c r="D51" s="236"/>
      <c r="E51" s="236"/>
      <c r="F51" s="236"/>
      <c r="G51" s="236"/>
      <c r="H51" s="236"/>
      <c r="I51" s="236"/>
      <c r="J51" s="236"/>
      <c r="K51" s="242" t="s">
        <v>421</v>
      </c>
      <c r="L51" s="236"/>
      <c r="M51" s="236"/>
      <c r="N51" s="236"/>
      <c r="O51" s="236"/>
      <c r="P51" s="236"/>
      <c r="Q51" s="236"/>
      <c r="R51" s="236"/>
      <c r="AB51" s="871" t="s">
        <v>2481</v>
      </c>
      <c r="AC51" s="871" t="s">
        <v>2361</v>
      </c>
    </row>
    <row customHeight="1" ht="12">
      <c r="A52" s="239" t="s">
        <v>2482</v>
      </c>
      <c r="B52" s="239" t="s">
        <v>2483</v>
      </c>
      <c r="D52" s="236"/>
      <c r="E52" s="236"/>
      <c r="F52" s="236"/>
      <c r="G52" s="236"/>
      <c r="H52" s="236"/>
      <c r="I52" s="236"/>
      <c r="J52" s="236"/>
      <c r="K52" s="242" t="s">
        <v>2484</v>
      </c>
      <c r="L52" s="236"/>
      <c r="M52" s="236"/>
      <c r="N52" s="236"/>
      <c r="O52" s="236"/>
      <c r="P52" s="236"/>
      <c r="Q52" s="236"/>
      <c r="R52" s="236"/>
      <c r="AB52" s="871" t="s">
        <v>2485</v>
      </c>
      <c r="AC52" s="1026" t="s">
        <v>2361</v>
      </c>
    </row>
    <row customHeight="1" ht="12">
      <c r="A53" s="239" t="s">
        <v>2486</v>
      </c>
      <c r="B53" s="239" t="s">
        <v>2487</v>
      </c>
      <c r="D53" s="236"/>
      <c r="E53" s="236"/>
      <c r="F53" s="236"/>
      <c r="G53" s="236"/>
      <c r="H53" s="236"/>
      <c r="I53" s="236"/>
      <c r="J53" s="236"/>
      <c r="K53" s="236"/>
      <c r="L53" s="236"/>
      <c r="M53" s="236"/>
      <c r="N53" s="236"/>
      <c r="O53" s="236"/>
      <c r="P53" s="236"/>
      <c r="Q53" s="236"/>
      <c r="R53" s="236"/>
      <c r="AB53" s="871" t="s">
        <v>2488</v>
      </c>
      <c r="AC53" s="871" t="s">
        <v>2229</v>
      </c>
    </row>
    <row customHeight="1" ht="12">
      <c r="A54" s="239" t="s">
        <v>2489</v>
      </c>
      <c r="B54" s="239" t="s">
        <v>2490</v>
      </c>
      <c r="D54" s="236"/>
      <c r="E54" s="236"/>
      <c r="F54" s="236"/>
      <c r="G54" s="236"/>
      <c r="H54" s="236"/>
      <c r="I54" s="236"/>
      <c r="J54" s="236"/>
      <c r="K54" s="236"/>
      <c r="L54" s="236"/>
      <c r="M54" s="236"/>
      <c r="N54" s="236"/>
      <c r="O54" s="236"/>
      <c r="P54" s="236"/>
      <c r="Q54" s="236"/>
      <c r="R54" s="236"/>
      <c r="AB54" s="870" t="s">
        <v>2491</v>
      </c>
      <c r="AC54" s="871" t="s">
        <v>2229</v>
      </c>
    </row>
    <row customHeight="1" ht="12">
      <c r="A55" s="239" t="s">
        <v>2492</v>
      </c>
      <c r="B55" s="239" t="s">
        <v>2493</v>
      </c>
      <c r="D55" s="236"/>
      <c r="E55" s="236"/>
      <c r="F55" s="236"/>
      <c r="G55" s="236"/>
      <c r="H55" s="236"/>
      <c r="I55" s="236"/>
      <c r="J55" s="236"/>
      <c r="K55" s="236"/>
      <c r="L55" s="236"/>
      <c r="M55" s="236"/>
      <c r="N55" s="236"/>
      <c r="O55" s="236"/>
      <c r="P55" s="236"/>
      <c r="Q55" s="236"/>
      <c r="R55" s="236"/>
      <c r="AB55" s="870" t="s">
        <v>2494</v>
      </c>
      <c r="AC55" s="871" t="s">
        <v>2361</v>
      </c>
    </row>
    <row customHeight="1" ht="12">
      <c r="A56" s="239" t="s">
        <v>2495</v>
      </c>
      <c r="B56" s="239" t="s">
        <v>2496</v>
      </c>
      <c r="D56" s="236"/>
      <c r="E56" s="236"/>
      <c r="F56" s="236"/>
      <c r="G56" s="236"/>
      <c r="H56" s="236"/>
      <c r="I56" s="236"/>
      <c r="J56" s="236"/>
      <c r="K56" s="236"/>
      <c r="L56" s="236"/>
      <c r="M56" s="236"/>
      <c r="N56" s="236"/>
      <c r="O56" s="236"/>
      <c r="P56" s="236"/>
      <c r="Q56" s="236"/>
      <c r="R56" s="236"/>
      <c r="AB56" s="870" t="s">
        <v>2497</v>
      </c>
      <c r="AC56" s="871" t="s">
        <v>2361</v>
      </c>
    </row>
    <row customHeight="1" ht="12">
      <c r="A57" s="239" t="s">
        <v>2498</v>
      </c>
      <c r="B57" s="239" t="s">
        <v>2499</v>
      </c>
      <c r="D57" s="236"/>
      <c r="E57" s="236"/>
      <c r="F57" s="236"/>
      <c r="G57" s="236"/>
      <c r="H57" s="236"/>
      <c r="I57" s="236"/>
      <c r="J57" s="236"/>
      <c r="K57" s="236"/>
      <c r="L57" s="236"/>
      <c r="M57" s="236"/>
      <c r="N57" s="236"/>
      <c r="O57" s="236"/>
      <c r="P57" s="236"/>
      <c r="Q57" s="236"/>
      <c r="R57" s="236"/>
      <c r="AB57" s="870" t="s">
        <v>2500</v>
      </c>
      <c r="AC57" s="871" t="s">
        <v>2229</v>
      </c>
    </row>
    <row customHeight="1" ht="12">
      <c r="A58" s="239" t="s">
        <v>2501</v>
      </c>
      <c r="B58" s="239" t="s">
        <v>2502</v>
      </c>
      <c r="D58" s="236"/>
      <c r="E58" s="236"/>
      <c r="F58" s="236"/>
      <c r="G58" s="236"/>
      <c r="H58" s="236"/>
      <c r="I58" s="236"/>
      <c r="J58" s="236"/>
      <c r="K58" s="236"/>
      <c r="L58" s="236"/>
      <c r="M58" s="236"/>
      <c r="N58" s="236"/>
      <c r="O58" s="236"/>
      <c r="P58" s="236"/>
      <c r="Q58" s="236"/>
      <c r="R58" s="236"/>
    </row>
    <row customHeight="1" ht="12">
      <c r="A59" s="239" t="s">
        <v>2503</v>
      </c>
      <c r="B59" s="239" t="s">
        <v>2504</v>
      </c>
      <c r="D59" s="236"/>
      <c r="E59" s="236"/>
      <c r="F59" s="236"/>
      <c r="G59" s="236"/>
      <c r="H59" s="236"/>
      <c r="I59" s="236"/>
      <c r="J59" s="236"/>
      <c r="K59" s="236"/>
      <c r="L59" s="236"/>
      <c r="M59" s="236"/>
      <c r="N59" s="236"/>
      <c r="O59" s="236"/>
      <c r="P59" s="236"/>
      <c r="Q59" s="236"/>
      <c r="R59" s="236"/>
    </row>
    <row customHeight="1" ht="12">
      <c r="A60" s="239" t="s">
        <v>2505</v>
      </c>
      <c r="B60" s="239" t="s">
        <v>2506</v>
      </c>
      <c r="D60" s="236"/>
      <c r="E60" s="236"/>
      <c r="F60" s="236"/>
      <c r="G60" s="236"/>
      <c r="H60" s="236"/>
      <c r="I60" s="236"/>
      <c r="J60" s="236"/>
      <c r="K60" s="236"/>
      <c r="L60" s="236"/>
      <c r="M60" s="236"/>
      <c r="N60" s="236"/>
      <c r="O60" s="236"/>
      <c r="P60" s="236"/>
      <c r="Q60" s="236"/>
      <c r="R60" s="236"/>
    </row>
    <row customHeight="1" ht="12">
      <c r="A61" s="239" t="s">
        <v>2507</v>
      </c>
      <c r="B61" s="239" t="s">
        <v>2508</v>
      </c>
      <c r="D61" s="236"/>
      <c r="E61" s="236"/>
      <c r="F61" s="236"/>
      <c r="G61" s="236"/>
      <c r="H61" s="236"/>
      <c r="I61" s="236"/>
      <c r="J61" s="236"/>
      <c r="K61" s="236"/>
      <c r="L61" s="236"/>
      <c r="M61" s="236"/>
      <c r="N61" s="236"/>
      <c r="O61" s="236"/>
      <c r="P61" s="236"/>
      <c r="Q61" s="236"/>
      <c r="R61" s="236"/>
    </row>
    <row customHeight="1" ht="12">
      <c r="A62" s="239" t="s">
        <v>2509</v>
      </c>
      <c r="B62" s="239" t="s">
        <v>2510</v>
      </c>
      <c r="D62" s="236"/>
      <c r="E62" s="236"/>
      <c r="F62" s="236"/>
      <c r="G62" s="236"/>
      <c r="H62" s="236"/>
      <c r="I62" s="236"/>
      <c r="J62" s="236"/>
      <c r="K62" s="236"/>
      <c r="L62" s="236"/>
      <c r="M62" s="236"/>
      <c r="N62" s="236"/>
      <c r="O62" s="236"/>
      <c r="P62" s="236"/>
      <c r="Q62" s="236"/>
      <c r="R62" s="236"/>
    </row>
    <row customHeight="1" ht="12">
      <c r="A63" s="239" t="s">
        <v>2511</v>
      </c>
      <c r="B63" s="239" t="s">
        <v>2512</v>
      </c>
      <c r="D63" s="236"/>
      <c r="E63" s="236"/>
      <c r="F63" s="236"/>
      <c r="G63" s="236"/>
      <c r="H63" s="236"/>
      <c r="I63" s="236"/>
      <c r="J63" s="236"/>
      <c r="K63" s="236"/>
      <c r="L63" s="236"/>
      <c r="M63" s="236"/>
      <c r="N63" s="236"/>
      <c r="O63" s="236"/>
      <c r="P63" s="236"/>
      <c r="Q63" s="236"/>
      <c r="R63" s="236"/>
    </row>
    <row customHeight="1" ht="12">
      <c r="A64" s="239" t="s">
        <v>2513</v>
      </c>
      <c r="B64" s="239" t="s">
        <v>2514</v>
      </c>
      <c r="D64" s="236"/>
      <c r="E64" s="236"/>
      <c r="F64" s="236"/>
      <c r="G64" s="236"/>
      <c r="H64" s="236"/>
      <c r="I64" s="236"/>
      <c r="J64" s="236"/>
      <c r="K64" s="236"/>
      <c r="L64" s="236"/>
      <c r="M64" s="236"/>
      <c r="N64" s="236"/>
      <c r="O64" s="236"/>
      <c r="P64" s="236"/>
      <c r="Q64" s="236"/>
      <c r="R64" s="236"/>
    </row>
    <row customHeight="1" ht="12">
      <c r="A65" s="239" t="s">
        <v>2515</v>
      </c>
      <c r="B65" s="239" t="s">
        <v>2516</v>
      </c>
      <c r="D65" s="236"/>
      <c r="E65" s="236"/>
      <c r="F65" s="236"/>
      <c r="G65" s="236"/>
      <c r="H65" s="236"/>
      <c r="I65" s="236"/>
      <c r="J65" s="236"/>
      <c r="K65" s="236"/>
      <c r="L65" s="236"/>
      <c r="M65" s="236"/>
      <c r="N65" s="236"/>
      <c r="O65" s="236"/>
      <c r="P65" s="236"/>
      <c r="Q65" s="236"/>
      <c r="R65" s="236"/>
    </row>
    <row customHeight="1" ht="12">
      <c r="A66" s="239" t="s">
        <v>2517</v>
      </c>
      <c r="B66" s="239" t="s">
        <v>2518</v>
      </c>
      <c r="D66" s="236"/>
      <c r="E66" s="236"/>
      <c r="F66" s="236"/>
      <c r="G66" s="236"/>
      <c r="H66" s="236"/>
      <c r="I66" s="236"/>
      <c r="J66" s="236"/>
      <c r="K66" s="236"/>
      <c r="L66" s="236"/>
      <c r="M66" s="236"/>
      <c r="N66" s="236"/>
      <c r="O66" s="236"/>
      <c r="P66" s="236"/>
      <c r="Q66" s="236"/>
      <c r="R66" s="236"/>
    </row>
    <row customHeight="1" ht="12">
      <c r="A67" s="239" t="s">
        <v>2519</v>
      </c>
      <c r="B67" s="239" t="s">
        <v>2520</v>
      </c>
      <c r="D67" s="236"/>
      <c r="E67" s="236"/>
      <c r="F67" s="236"/>
      <c r="G67" s="236"/>
      <c r="H67" s="236"/>
      <c r="I67" s="236"/>
      <c r="J67" s="236"/>
      <c r="K67" s="236"/>
      <c r="L67" s="236"/>
      <c r="M67" s="236"/>
      <c r="N67" s="236"/>
      <c r="O67" s="236"/>
      <c r="P67" s="236"/>
      <c r="Q67" s="236"/>
      <c r="R67" s="236"/>
    </row>
    <row customHeight="1" ht="12">
      <c r="A68" s="239" t="s">
        <v>2521</v>
      </c>
      <c r="B68" s="239" t="s">
        <v>2522</v>
      </c>
      <c r="D68" s="236"/>
      <c r="E68" s="236"/>
      <c r="F68" s="236"/>
      <c r="G68" s="236"/>
      <c r="H68" s="236"/>
      <c r="I68" s="236"/>
      <c r="J68" s="236"/>
      <c r="K68" s="236"/>
      <c r="L68" s="236"/>
      <c r="M68" s="236"/>
      <c r="N68" s="236"/>
      <c r="O68" s="236"/>
      <c r="P68" s="236"/>
      <c r="Q68" s="236"/>
      <c r="R68" s="236"/>
    </row>
    <row customHeight="1" ht="12">
      <c r="A69" s="239" t="s">
        <v>2523</v>
      </c>
      <c r="B69" s="239" t="s">
        <v>2524</v>
      </c>
      <c r="D69" s="236"/>
      <c r="E69" s="236"/>
      <c r="F69" s="236"/>
      <c r="G69" s="236"/>
      <c r="H69" s="236"/>
      <c r="I69" s="236"/>
      <c r="J69" s="236"/>
      <c r="K69" s="236"/>
      <c r="L69" s="236"/>
      <c r="M69" s="236"/>
      <c r="N69" s="236"/>
      <c r="O69" s="236"/>
      <c r="P69" s="236"/>
      <c r="Q69" s="236"/>
      <c r="R69" s="236"/>
    </row>
    <row customHeight="1" ht="12">
      <c r="A70" s="239" t="s">
        <v>2525</v>
      </c>
      <c r="B70" s="239" t="s">
        <v>2526</v>
      </c>
      <c r="D70" s="236"/>
      <c r="E70" s="236"/>
      <c r="F70" s="236"/>
      <c r="G70" s="236"/>
      <c r="H70" s="236"/>
      <c r="I70" s="236"/>
      <c r="J70" s="236"/>
      <c r="K70" s="236"/>
      <c r="L70" s="236"/>
      <c r="M70" s="236"/>
      <c r="N70" s="236"/>
      <c r="O70" s="236"/>
      <c r="P70" s="236"/>
      <c r="Q70" s="236"/>
      <c r="R70" s="236"/>
    </row>
    <row customHeight="1" ht="12">
      <c r="A71" s="239" t="s">
        <v>2527</v>
      </c>
      <c r="B71" s="239" t="s">
        <v>2528</v>
      </c>
      <c r="D71" s="236"/>
      <c r="E71" s="236"/>
      <c r="F71" s="236"/>
      <c r="G71" s="236"/>
      <c r="H71" s="236"/>
      <c r="I71" s="236"/>
      <c r="J71" s="236"/>
      <c r="K71" s="236"/>
      <c r="L71" s="236"/>
      <c r="M71" s="236"/>
      <c r="N71" s="236"/>
      <c r="O71" s="236"/>
      <c r="P71" s="236"/>
      <c r="Q71" s="236"/>
      <c r="R71" s="236"/>
    </row>
    <row customHeight="1" ht="12">
      <c r="A72" s="239" t="s">
        <v>2529</v>
      </c>
      <c r="B72" s="239" t="s">
        <v>2530</v>
      </c>
      <c r="D72" s="236"/>
      <c r="E72" s="236"/>
      <c r="F72" s="236"/>
      <c r="G72" s="236"/>
      <c r="H72" s="236"/>
      <c r="I72" s="236"/>
      <c r="J72" s="236"/>
      <c r="K72" s="236"/>
      <c r="L72" s="236"/>
      <c r="M72" s="236"/>
      <c r="N72" s="236"/>
      <c r="O72" s="236"/>
      <c r="P72" s="236"/>
      <c r="Q72" s="236"/>
      <c r="R72" s="236"/>
    </row>
    <row customHeight="1" ht="12">
      <c r="A73" s="239" t="s">
        <v>2531</v>
      </c>
      <c r="B73" s="239" t="s">
        <v>2532</v>
      </c>
      <c r="D73" s="236"/>
      <c r="E73" s="236"/>
      <c r="F73" s="236"/>
      <c r="G73" s="236"/>
      <c r="H73" s="236"/>
      <c r="I73" s="236"/>
      <c r="J73" s="236"/>
      <c r="K73" s="236"/>
      <c r="L73" s="236"/>
      <c r="M73" s="236"/>
      <c r="N73" s="236"/>
      <c r="O73" s="236"/>
      <c r="P73" s="236"/>
      <c r="Q73" s="236"/>
      <c r="R73" s="236"/>
    </row>
    <row customHeight="1" ht="12">
      <c r="A74" s="239" t="s">
        <v>2533</v>
      </c>
      <c r="B74" s="239" t="s">
        <v>2534</v>
      </c>
      <c r="D74" s="236"/>
      <c r="E74" s="236"/>
      <c r="F74" s="236"/>
      <c r="G74" s="236"/>
      <c r="H74" s="236"/>
      <c r="I74" s="236"/>
      <c r="J74" s="236"/>
      <c r="K74" s="236"/>
      <c r="L74" s="236"/>
      <c r="M74" s="236"/>
      <c r="N74" s="236"/>
      <c r="O74" s="236"/>
      <c r="P74" s="236"/>
      <c r="Q74" s="236"/>
      <c r="R74" s="236"/>
    </row>
    <row customHeight="1" ht="12">
      <c r="A75" s="239" t="s">
        <v>2535</v>
      </c>
      <c r="B75" s="239" t="s">
        <v>2536</v>
      </c>
      <c r="D75" s="236"/>
      <c r="E75" s="236"/>
      <c r="F75" s="236"/>
      <c r="G75" s="236"/>
      <c r="H75" s="236"/>
      <c r="I75" s="236"/>
      <c r="J75" s="236"/>
      <c r="K75" s="236"/>
      <c r="L75" s="236"/>
      <c r="M75" s="236"/>
      <c r="N75" s="236"/>
      <c r="O75" s="236"/>
      <c r="P75" s="236"/>
      <c r="Q75" s="236"/>
      <c r="R75" s="236"/>
    </row>
    <row customHeight="1" ht="12">
      <c r="A76" s="239" t="s">
        <v>2537</v>
      </c>
      <c r="B76" s="239" t="s">
        <v>2538</v>
      </c>
      <c r="D76" s="236"/>
      <c r="E76" s="236"/>
      <c r="F76" s="236"/>
      <c r="G76" s="236"/>
      <c r="H76" s="236"/>
      <c r="I76" s="236"/>
      <c r="J76" s="236"/>
      <c r="K76" s="236"/>
      <c r="L76" s="236"/>
      <c r="M76" s="236"/>
      <c r="N76" s="236"/>
      <c r="O76" s="236"/>
      <c r="P76" s="236"/>
      <c r="Q76" s="236"/>
      <c r="R76" s="236"/>
    </row>
    <row customHeight="1" ht="12">
      <c r="A77" s="239" t="s">
        <v>2539</v>
      </c>
      <c r="B77" s="239" t="s">
        <v>2540</v>
      </c>
      <c r="D77" s="236"/>
      <c r="E77" s="236"/>
      <c r="F77" s="236"/>
      <c r="G77" s="236"/>
      <c r="H77" s="236"/>
      <c r="I77" s="236"/>
      <c r="J77" s="236"/>
      <c r="K77" s="236"/>
      <c r="L77" s="236"/>
      <c r="M77" s="236"/>
      <c r="N77" s="236"/>
      <c r="O77" s="236"/>
      <c r="P77" s="236"/>
      <c r="Q77" s="236"/>
      <c r="R77" s="236"/>
    </row>
    <row customHeight="1" ht="12">
      <c r="A78" s="239" t="s">
        <v>2541</v>
      </c>
      <c r="B78" s="239" t="s">
        <v>2542</v>
      </c>
      <c r="D78" s="236"/>
      <c r="E78" s="236"/>
      <c r="F78" s="236"/>
      <c r="G78" s="236"/>
      <c r="H78" s="236"/>
      <c r="I78" s="236"/>
      <c r="J78" s="236"/>
      <c r="K78" s="236"/>
      <c r="L78" s="236"/>
      <c r="M78" s="236"/>
      <c r="N78" s="236"/>
      <c r="O78" s="236"/>
      <c r="P78" s="236"/>
      <c r="Q78" s="236"/>
      <c r="R78" s="236"/>
    </row>
    <row customHeight="1" ht="12">
      <c r="A79" s="239" t="s">
        <v>2543</v>
      </c>
      <c r="B79" s="239" t="s">
        <v>2544</v>
      </c>
      <c r="D79" s="236"/>
      <c r="E79" s="236"/>
      <c r="F79" s="236"/>
      <c r="G79" s="236"/>
      <c r="H79" s="236"/>
      <c r="I79" s="236"/>
      <c r="J79" s="236"/>
      <c r="K79" s="236"/>
      <c r="L79" s="236"/>
      <c r="M79" s="236"/>
      <c r="N79" s="236"/>
      <c r="O79" s="236"/>
      <c r="P79" s="236"/>
      <c r="Q79" s="236"/>
      <c r="R79" s="236"/>
    </row>
    <row customHeight="1" ht="12">
      <c r="A80" s="239" t="s">
        <v>2545</v>
      </c>
      <c r="B80" s="239" t="s">
        <v>2546</v>
      </c>
      <c r="D80" s="236"/>
      <c r="E80" s="236"/>
      <c r="F80" s="236"/>
      <c r="G80" s="236"/>
      <c r="H80" s="236"/>
      <c r="I80" s="236"/>
      <c r="J80" s="236"/>
      <c r="K80" s="236"/>
      <c r="L80" s="236"/>
      <c r="M80" s="236"/>
      <c r="N80" s="236"/>
      <c r="O80" s="236"/>
      <c r="P80" s="236"/>
      <c r="Q80" s="236"/>
      <c r="R80" s="236"/>
    </row>
    <row customHeight="1" ht="12">
      <c r="A81" s="239" t="s">
        <v>2547</v>
      </c>
      <c r="B81" s="239" t="s">
        <v>2548</v>
      </c>
      <c r="D81" s="236"/>
      <c r="E81" s="236"/>
      <c r="F81" s="236"/>
      <c r="G81" s="236"/>
      <c r="H81" s="236"/>
      <c r="I81" s="236"/>
      <c r="J81" s="236"/>
      <c r="K81" s="236"/>
      <c r="L81" s="236"/>
      <c r="M81" s="236"/>
      <c r="N81" s="236"/>
      <c r="O81" s="236"/>
      <c r="P81" s="236"/>
      <c r="Q81" s="236"/>
      <c r="R81" s="236"/>
    </row>
    <row customHeight="1" ht="12">
      <c r="A82" s="239" t="s">
        <v>2549</v>
      </c>
      <c r="B82" s="239" t="s">
        <v>2550</v>
      </c>
      <c r="D82" s="236"/>
      <c r="E82" s="236"/>
      <c r="F82" s="236"/>
      <c r="G82" s="236"/>
      <c r="H82" s="236"/>
      <c r="I82" s="236"/>
      <c r="J82" s="236"/>
      <c r="K82" s="236"/>
      <c r="L82" s="236"/>
      <c r="M82" s="236"/>
      <c r="N82" s="236"/>
      <c r="O82" s="236"/>
      <c r="P82" s="236"/>
      <c r="Q82" s="236"/>
      <c r="R82" s="236"/>
    </row>
    <row customHeight="1" ht="12">
      <c r="A83" s="239" t="s">
        <v>2551</v>
      </c>
      <c r="B83" s="239" t="s">
        <v>2552</v>
      </c>
      <c r="D83" s="236"/>
      <c r="E83" s="236"/>
      <c r="F83" s="236"/>
      <c r="G83" s="236"/>
      <c r="H83" s="236"/>
      <c r="I83" s="236"/>
      <c r="J83" s="236"/>
      <c r="K83" s="236"/>
      <c r="L83" s="236"/>
      <c r="M83" s="236"/>
      <c r="N83" s="236"/>
      <c r="O83" s="236"/>
      <c r="P83" s="236"/>
      <c r="Q83" s="236"/>
      <c r="R83" s="236"/>
    </row>
    <row customHeight="1" ht="12">
      <c r="A84" s="239" t="s">
        <v>2553</v>
      </c>
      <c r="B84" s="239" t="s">
        <v>2554</v>
      </c>
      <c r="D84" s="236"/>
      <c r="E84" s="236"/>
      <c r="F84" s="236"/>
      <c r="G84" s="236"/>
      <c r="H84" s="236"/>
      <c r="I84" s="236"/>
      <c r="J84" s="236"/>
      <c r="K84" s="236"/>
      <c r="L84" s="236"/>
      <c r="M84" s="236"/>
      <c r="N84" s="236"/>
      <c r="O84" s="236"/>
      <c r="P84" s="236"/>
      <c r="Q84" s="236"/>
      <c r="R84" s="236"/>
    </row>
    <row customHeight="1" ht="12">
      <c r="A85" s="239" t="s">
        <v>2555</v>
      </c>
      <c r="B85" s="239" t="s">
        <v>2556</v>
      </c>
      <c r="D85" s="236"/>
      <c r="E85" s="236"/>
      <c r="F85" s="236"/>
      <c r="G85" s="236"/>
      <c r="H85" s="236"/>
      <c r="I85" s="236"/>
      <c r="J85" s="236"/>
      <c r="K85" s="236"/>
      <c r="L85" s="236"/>
      <c r="M85" s="236"/>
      <c r="N85" s="236"/>
      <c r="O85" s="236"/>
      <c r="P85" s="236"/>
      <c r="Q85" s="236"/>
      <c r="R85" s="236"/>
    </row>
    <row customHeight="1" ht="12">
      <c r="A86" s="239" t="s">
        <v>2557</v>
      </c>
      <c r="B86" s="239" t="s">
        <v>2558</v>
      </c>
      <c r="D86" s="236"/>
      <c r="E86" s="236"/>
      <c r="F86" s="236"/>
      <c r="G86" s="236"/>
      <c r="H86" s="236"/>
      <c r="I86" s="236"/>
      <c r="J86" s="236"/>
      <c r="K86" s="236"/>
      <c r="L86" s="236"/>
      <c r="M86" s="236"/>
      <c r="N86" s="236"/>
      <c r="O86" s="236"/>
      <c r="P86" s="236"/>
      <c r="Q86" s="236"/>
      <c r="R86" s="236"/>
    </row>
    <row customHeight="1" ht="12">
      <c r="A87" s="239" t="s">
        <v>2559</v>
      </c>
      <c r="B87" s="239" t="s">
        <v>2560</v>
      </c>
      <c r="D87" s="236"/>
      <c r="E87" s="236"/>
      <c r="F87" s="236"/>
      <c r="G87" s="236"/>
      <c r="H87" s="236"/>
      <c r="I87" s="236"/>
      <c r="J87" s="236"/>
      <c r="K87" s="236"/>
      <c r="L87" s="236"/>
      <c r="M87" s="236"/>
      <c r="N87" s="236"/>
      <c r="O87" s="236"/>
      <c r="P87" s="236"/>
      <c r="Q87" s="236"/>
      <c r="R87" s="236"/>
    </row>
    <row customHeight="1" ht="12">
      <c r="A88" s="239" t="s">
        <v>2561</v>
      </c>
      <c r="B88" s="239" t="s">
        <v>2562</v>
      </c>
      <c r="D88" s="236"/>
      <c r="E88" s="236"/>
      <c r="F88" s="236"/>
      <c r="G88" s="236"/>
      <c r="H88" s="236"/>
      <c r="I88" s="236"/>
      <c r="J88" s="236"/>
      <c r="K88" s="236"/>
      <c r="L88" s="236"/>
      <c r="M88" s="236"/>
      <c r="N88" s="236"/>
      <c r="O88" s="236"/>
      <c r="P88" s="236"/>
      <c r="Q88" s="236"/>
      <c r="R88" s="236"/>
    </row>
    <row customHeight="1" ht="12">
      <c r="A89" s="239" t="s">
        <v>2563</v>
      </c>
      <c r="B89" s="239" t="s">
        <v>2564</v>
      </c>
      <c r="D89" s="236"/>
      <c r="E89" s="236"/>
      <c r="F89" s="236"/>
      <c r="G89" s="236"/>
      <c r="H89" s="236"/>
      <c r="I89" s="236"/>
      <c r="J89" s="236"/>
      <c r="K89" s="236"/>
      <c r="L89" s="236"/>
      <c r="M89" s="236"/>
      <c r="N89" s="236"/>
      <c r="O89" s="236"/>
      <c r="P89" s="236"/>
      <c r="Q89" s="236"/>
      <c r="R89" s="236"/>
    </row>
    <row customHeight="1" ht="12">
      <c r="A90" s="239" t="s">
        <v>2565</v>
      </c>
      <c r="B90" s="239" t="s">
        <v>2566</v>
      </c>
      <c r="D90" s="236"/>
      <c r="E90" s="236"/>
      <c r="F90" s="236"/>
      <c r="G90" s="236"/>
      <c r="H90" s="236"/>
      <c r="I90" s="236"/>
      <c r="J90" s="236"/>
      <c r="K90" s="236"/>
      <c r="L90" s="236"/>
      <c r="M90" s="236"/>
      <c r="N90" s="236"/>
      <c r="O90" s="236"/>
      <c r="P90" s="236"/>
      <c r="Q90" s="236"/>
      <c r="R90" s="236"/>
    </row>
    <row customHeight="1" ht="12">
      <c r="D91" s="236"/>
      <c r="E91" s="236"/>
      <c r="F91" s="236"/>
      <c r="G91" s="236"/>
      <c r="H91" s="236"/>
      <c r="I91" s="236"/>
      <c r="J91" s="236"/>
      <c r="K91" s="236"/>
      <c r="L91" s="236"/>
      <c r="M91" s="236"/>
      <c r="N91" s="236"/>
      <c r="O91" s="236"/>
      <c r="P91" s="236"/>
      <c r="Q91" s="236"/>
      <c r="R91" s="236"/>
    </row>
    <row customHeight="1" ht="12">
      <c r="D92" s="236"/>
      <c r="E92" s="236"/>
      <c r="F92" s="236"/>
      <c r="G92" s="236"/>
      <c r="H92" s="236"/>
      <c r="I92" s="236"/>
      <c r="J92" s="236"/>
      <c r="K92" s="236"/>
      <c r="L92" s="236"/>
      <c r="M92" s="236"/>
      <c r="N92" s="236"/>
      <c r="O92" s="236"/>
      <c r="P92" s="236"/>
      <c r="Q92" s="236"/>
      <c r="R92" s="236"/>
    </row>
    <row customHeight="1" ht="12">
      <c r="D93" s="236"/>
      <c r="E93" s="236"/>
      <c r="F93" s="236"/>
      <c r="G93" s="236"/>
      <c r="H93" s="236"/>
      <c r="I93" s="236"/>
      <c r="J93" s="236"/>
      <c r="K93" s="236"/>
      <c r="L93" s="236"/>
      <c r="M93" s="236"/>
      <c r="N93" s="236"/>
      <c r="O93" s="236"/>
      <c r="P93" s="236"/>
      <c r="Q93" s="236"/>
      <c r="R93" s="236"/>
    </row>
    <row customHeight="1" ht="12">
      <c r="A94" s="239" t="s">
        <v>2199</v>
      </c>
      <c r="B94" s="239" t="s">
        <v>2567</v>
      </c>
      <c r="D94" s="236"/>
      <c r="E94" s="236"/>
      <c r="F94" s="236"/>
      <c r="G94" s="236"/>
      <c r="H94" s="236"/>
      <c r="I94" s="236"/>
      <c r="J94" s="236"/>
      <c r="K94" s="236"/>
      <c r="L94" s="236"/>
      <c r="M94" s="236"/>
      <c r="N94" s="236"/>
      <c r="O94" s="236"/>
      <c r="P94" s="236"/>
      <c r="Q94" s="236"/>
      <c r="R94" s="236"/>
    </row>
    <row customHeight="1" ht="12">
      <c r="A95" s="239" t="s">
        <v>2218</v>
      </c>
      <c r="B95" s="239" t="s">
        <v>2568</v>
      </c>
      <c r="D95" s="236"/>
      <c r="E95" s="236"/>
      <c r="F95" s="236"/>
      <c r="G95" s="236"/>
      <c r="H95" s="236"/>
      <c r="I95" s="236"/>
      <c r="J95" s="236"/>
      <c r="K95" s="236"/>
      <c r="L95" s="236"/>
      <c r="M95" s="236"/>
      <c r="N95" s="236"/>
      <c r="O95" s="236"/>
      <c r="P95" s="236"/>
      <c r="Q95" s="236"/>
      <c r="R95" s="236"/>
    </row>
    <row customHeight="1" ht="12">
      <c r="A96" s="239" t="s">
        <v>2230</v>
      </c>
      <c r="B96" s="239" t="s">
        <v>2569</v>
      </c>
      <c r="D96" s="236"/>
      <c r="E96" s="236"/>
      <c r="F96" s="236"/>
      <c r="G96" s="236"/>
      <c r="H96" s="236"/>
      <c r="I96" s="236"/>
      <c r="J96" s="236"/>
      <c r="K96" s="236"/>
      <c r="L96" s="236"/>
      <c r="M96" s="236"/>
      <c r="N96" s="236"/>
      <c r="O96" s="236"/>
      <c r="P96" s="236"/>
      <c r="Q96" s="236"/>
      <c r="R96" s="236"/>
    </row>
    <row customHeight="1" ht="12">
      <c r="A97" s="239" t="s">
        <v>2241</v>
      </c>
      <c r="B97" s="239" t="s">
        <v>2570</v>
      </c>
      <c r="D97" s="236"/>
      <c r="E97" s="236"/>
      <c r="F97" s="236"/>
      <c r="G97" s="236"/>
      <c r="H97" s="236"/>
      <c r="I97" s="236"/>
      <c r="J97" s="236"/>
      <c r="K97" s="236"/>
      <c r="L97" s="236"/>
      <c r="M97" s="236"/>
      <c r="N97" s="236"/>
      <c r="O97" s="236"/>
      <c r="P97" s="236"/>
      <c r="Q97" s="236"/>
      <c r="R97" s="236"/>
    </row>
    <row customHeight="1" ht="12">
      <c r="A98" s="239" t="s">
        <v>2249</v>
      </c>
      <c r="B98" s="239" t="s">
        <v>2571</v>
      </c>
      <c r="D98" s="236"/>
      <c r="E98" s="236"/>
      <c r="F98" s="236"/>
      <c r="G98" s="236"/>
      <c r="H98" s="236"/>
      <c r="I98" s="236"/>
      <c r="J98" s="236"/>
      <c r="K98" s="236"/>
      <c r="L98" s="236"/>
      <c r="M98" s="236"/>
      <c r="N98" s="236"/>
      <c r="O98" s="236"/>
      <c r="P98" s="236"/>
      <c r="Q98" s="236"/>
      <c r="R98" s="236"/>
    </row>
    <row customHeight="1" ht="12">
      <c r="A99" s="239" t="s">
        <v>2259</v>
      </c>
      <c r="B99" s="239" t="s">
        <v>2572</v>
      </c>
      <c r="D99" s="236"/>
      <c r="E99" s="236"/>
      <c r="F99" s="236"/>
      <c r="G99" s="236"/>
      <c r="H99" s="236"/>
      <c r="I99" s="236"/>
      <c r="J99" s="236"/>
      <c r="K99" s="236"/>
      <c r="L99" s="236"/>
      <c r="M99" s="236"/>
      <c r="N99" s="236"/>
      <c r="O99" s="236"/>
      <c r="P99" s="236"/>
      <c r="Q99" s="236"/>
      <c r="R99" s="236"/>
    </row>
    <row customHeight="1" ht="12">
      <c r="A100" s="239" t="s">
        <v>2268</v>
      </c>
      <c r="B100" s="239" t="s">
        <v>2573</v>
      </c>
      <c r="D100" s="236"/>
      <c r="E100" s="236"/>
      <c r="F100" s="236"/>
      <c r="G100" s="236"/>
      <c r="H100" s="236"/>
      <c r="I100" s="236"/>
      <c r="J100" s="236"/>
      <c r="K100" s="236"/>
      <c r="L100" s="236"/>
      <c r="M100" s="236"/>
      <c r="N100" s="236"/>
      <c r="O100" s="250"/>
      <c r="P100" s="236"/>
      <c r="Q100" s="236"/>
      <c r="R100" s="236"/>
    </row>
    <row customHeight="1" ht="12">
      <c r="A101" s="239" t="s">
        <v>2277</v>
      </c>
      <c r="B101" s="239" t="s">
        <v>2574</v>
      </c>
      <c r="D101" s="236"/>
      <c r="E101" s="236"/>
      <c r="F101" s="236"/>
      <c r="G101" s="236"/>
      <c r="H101" s="236"/>
      <c r="I101" s="236"/>
      <c r="J101" s="236"/>
      <c r="K101" s="236"/>
      <c r="L101" s="236"/>
      <c r="M101" s="236"/>
      <c r="N101" s="236"/>
      <c r="O101" s="250"/>
      <c r="P101" s="236"/>
      <c r="Q101" s="236"/>
      <c r="R101" s="236"/>
    </row>
    <row customHeight="1" ht="12">
      <c r="A102" s="239" t="s">
        <v>2286</v>
      </c>
      <c r="B102" s="239" t="s">
        <v>2575</v>
      </c>
      <c r="D102" s="236"/>
      <c r="E102" s="236"/>
      <c r="F102" s="236"/>
      <c r="G102" s="236"/>
      <c r="H102" s="236"/>
      <c r="I102" s="236"/>
      <c r="J102" s="236"/>
      <c r="K102" s="236"/>
      <c r="L102" s="236"/>
      <c r="M102" s="236"/>
      <c r="N102" s="236"/>
      <c r="O102" s="250"/>
      <c r="P102" s="236"/>
      <c r="Q102" s="236"/>
      <c r="R102" s="236"/>
    </row>
    <row customHeight="1" ht="12">
      <c r="A103" s="239" t="s">
        <v>2293</v>
      </c>
      <c r="B103" s="239" t="s">
        <v>2576</v>
      </c>
      <c r="D103" s="236"/>
      <c r="E103" s="236"/>
      <c r="F103" s="236"/>
      <c r="G103" s="236"/>
      <c r="H103" s="236"/>
      <c r="I103" s="236"/>
      <c r="J103" s="236"/>
      <c r="K103" s="236"/>
      <c r="L103" s="236"/>
      <c r="M103" s="236"/>
      <c r="N103" s="236"/>
      <c r="O103" s="250"/>
      <c r="P103" s="236"/>
      <c r="Q103" s="236"/>
      <c r="R103" s="236"/>
    </row>
    <row customHeight="1" ht="12">
      <c r="A104" s="239" t="s">
        <v>2300</v>
      </c>
      <c r="B104" s="239" t="s">
        <v>2577</v>
      </c>
      <c r="D104" s="236"/>
      <c r="E104" s="236"/>
      <c r="F104" s="236"/>
      <c r="G104" s="236"/>
      <c r="H104" s="236"/>
      <c r="I104" s="236"/>
      <c r="J104" s="236"/>
      <c r="K104" s="236"/>
      <c r="L104" s="236"/>
      <c r="M104" s="236"/>
      <c r="N104" s="236"/>
      <c r="O104" s="250"/>
      <c r="P104" s="236"/>
      <c r="Q104" s="236"/>
      <c r="R104" s="236"/>
    </row>
    <row customHeight="1" ht="12">
      <c r="A105" s="239" t="s">
        <v>2578</v>
      </c>
      <c r="B105" s="239" t="s">
        <v>2579</v>
      </c>
      <c r="D105" s="236"/>
      <c r="E105" s="236"/>
      <c r="F105" s="236"/>
      <c r="G105" s="236"/>
      <c r="H105" s="236"/>
      <c r="I105" s="236"/>
      <c r="J105" s="236"/>
      <c r="K105" s="236"/>
      <c r="L105" s="236"/>
      <c r="M105" s="236"/>
      <c r="N105" s="236"/>
      <c r="O105" s="250"/>
      <c r="P105" s="236"/>
      <c r="Q105" s="236"/>
      <c r="R105" s="236"/>
    </row>
    <row customHeight="1" ht="12">
      <c r="A106" s="239" t="s">
        <v>2580</v>
      </c>
      <c r="B106" s="239" t="s">
        <v>2581</v>
      </c>
      <c r="D106" s="236"/>
      <c r="E106" s="236"/>
      <c r="F106" s="236"/>
      <c r="G106" s="236"/>
      <c r="H106" s="236"/>
      <c r="I106" s="236"/>
      <c r="J106" s="236"/>
      <c r="K106" s="236"/>
      <c r="L106" s="236"/>
      <c r="M106" s="236"/>
      <c r="N106" s="236"/>
      <c r="O106" s="250"/>
      <c r="P106" s="236"/>
      <c r="Q106" s="236"/>
      <c r="R106" s="236"/>
    </row>
    <row customHeight="1" ht="12">
      <c r="A107" s="239" t="s">
        <v>2582</v>
      </c>
      <c r="B107" s="239" t="s">
        <v>2583</v>
      </c>
      <c r="D107" s="236"/>
      <c r="E107" s="236"/>
      <c r="F107" s="236"/>
      <c r="G107" s="236"/>
      <c r="H107" s="236"/>
      <c r="I107" s="236"/>
      <c r="J107" s="236"/>
      <c r="K107" s="236"/>
      <c r="L107" s="236"/>
      <c r="M107" s="236"/>
      <c r="N107" s="236"/>
      <c r="O107" s="250"/>
      <c r="P107" s="236"/>
      <c r="Q107" s="236"/>
      <c r="R107" s="236"/>
    </row>
    <row customHeight="1" ht="12">
      <c r="A108" s="239" t="s">
        <v>2333</v>
      </c>
      <c r="B108" s="239" t="s">
        <v>2584</v>
      </c>
      <c r="D108" s="236"/>
      <c r="E108" s="236"/>
      <c r="F108" s="236"/>
      <c r="G108" s="236"/>
      <c r="H108" s="236"/>
      <c r="I108" s="236"/>
      <c r="J108" s="236"/>
      <c r="K108" s="236"/>
      <c r="L108" s="236"/>
      <c r="M108" s="250"/>
      <c r="N108" s="236"/>
      <c r="O108" s="250"/>
      <c r="P108" s="236"/>
      <c r="Q108" s="236"/>
      <c r="R108" s="236"/>
    </row>
    <row customHeight="1" ht="12">
      <c r="A109" s="239" t="s">
        <v>2339</v>
      </c>
      <c r="B109" s="239" t="s">
        <v>2585</v>
      </c>
      <c r="D109" s="236"/>
      <c r="E109" s="236"/>
      <c r="F109" s="236"/>
      <c r="G109" s="236"/>
      <c r="H109" s="236"/>
      <c r="I109" s="236"/>
      <c r="J109" s="236"/>
      <c r="K109" s="236"/>
      <c r="L109" s="236"/>
      <c r="M109" s="250"/>
      <c r="N109" s="236"/>
      <c r="O109" s="250"/>
      <c r="P109" s="236"/>
      <c r="Q109" s="236"/>
      <c r="R109" s="236"/>
    </row>
    <row customHeight="1" ht="12">
      <c r="A110" s="239" t="s">
        <v>2349</v>
      </c>
      <c r="B110" s="239" t="s">
        <v>2586</v>
      </c>
      <c r="D110" s="236"/>
      <c r="E110" s="236"/>
      <c r="F110" s="236"/>
      <c r="G110" s="236"/>
      <c r="H110" s="236"/>
      <c r="I110" s="236"/>
      <c r="J110" s="236"/>
      <c r="K110" s="236"/>
      <c r="L110" s="236"/>
      <c r="M110" s="250"/>
      <c r="N110" s="236"/>
      <c r="O110" s="250"/>
      <c r="P110" s="236"/>
      <c r="Q110" s="236"/>
      <c r="R110" s="236"/>
    </row>
    <row customHeight="1" ht="12">
      <c r="A111" s="239" t="s">
        <v>2352</v>
      </c>
      <c r="B111" s="239" t="s">
        <v>2587</v>
      </c>
      <c r="D111" s="236"/>
      <c r="E111" s="236"/>
      <c r="F111" s="236"/>
      <c r="G111" s="236"/>
      <c r="H111" s="236"/>
      <c r="I111" s="236"/>
      <c r="J111" s="236"/>
      <c r="K111" s="236"/>
      <c r="L111" s="236"/>
      <c r="M111" s="250"/>
      <c r="N111" s="236"/>
      <c r="O111" s="250"/>
      <c r="P111" s="236"/>
      <c r="Q111" s="236"/>
      <c r="R111" s="236"/>
    </row>
    <row customHeight="1" ht="12">
      <c r="A112" s="239" t="s">
        <v>2356</v>
      </c>
      <c r="B112" s="239" t="s">
        <v>2588</v>
      </c>
      <c r="D112" s="236"/>
      <c r="E112" s="236"/>
      <c r="F112" s="236"/>
      <c r="G112" s="236"/>
      <c r="H112" s="236"/>
      <c r="I112" s="236"/>
      <c r="J112" s="236"/>
      <c r="K112" s="236"/>
      <c r="L112" s="236"/>
      <c r="M112" s="250"/>
      <c r="N112" s="236"/>
      <c r="O112" s="250"/>
      <c r="P112" s="236"/>
      <c r="Q112" s="236"/>
      <c r="R112" s="236"/>
    </row>
    <row customHeight="1" ht="12">
      <c r="A113" s="239" t="s">
        <v>2362</v>
      </c>
      <c r="B113" s="239" t="s">
        <v>2589</v>
      </c>
      <c r="D113" s="236"/>
      <c r="E113" s="236"/>
      <c r="F113" s="236"/>
      <c r="G113" s="236"/>
      <c r="H113" s="236"/>
      <c r="I113" s="236"/>
      <c r="J113" s="236"/>
      <c r="K113" s="236"/>
      <c r="L113" s="236"/>
      <c r="M113" s="250"/>
      <c r="N113" s="236"/>
      <c r="O113" s="250"/>
      <c r="P113" s="236"/>
      <c r="Q113" s="236"/>
      <c r="R113" s="236"/>
    </row>
    <row customHeight="1" ht="12">
      <c r="A114" s="239" t="s">
        <v>2366</v>
      </c>
      <c r="B114" s="239" t="s">
        <v>2590</v>
      </c>
      <c r="D114" s="236"/>
      <c r="E114" s="236"/>
      <c r="F114" s="236"/>
      <c r="G114" s="236"/>
      <c r="H114" s="236"/>
      <c r="I114" s="236"/>
      <c r="J114" s="236"/>
      <c r="K114" s="236"/>
      <c r="L114" s="236"/>
      <c r="M114" s="250"/>
      <c r="N114" s="236"/>
      <c r="O114" s="250"/>
      <c r="P114" s="236"/>
      <c r="Q114" s="236"/>
      <c r="R114" s="236"/>
    </row>
    <row customHeight="1" ht="12">
      <c r="A115" s="239" t="s">
        <v>2371</v>
      </c>
      <c r="B115" s="239" t="s">
        <v>2591</v>
      </c>
      <c r="D115" s="236"/>
      <c r="E115" s="236"/>
      <c r="F115" s="236"/>
      <c r="G115" s="236"/>
      <c r="H115" s="236"/>
      <c r="I115" s="236"/>
      <c r="J115" s="236"/>
      <c r="K115" s="236"/>
      <c r="L115" s="236"/>
      <c r="M115" s="250"/>
      <c r="N115" s="236"/>
      <c r="O115" s="250"/>
      <c r="P115" s="236"/>
      <c r="Q115" s="236"/>
      <c r="R115" s="236"/>
    </row>
    <row customHeight="1" ht="12">
      <c r="A116" s="239" t="s">
        <v>2376</v>
      </c>
      <c r="B116" s="239" t="s">
        <v>2592</v>
      </c>
      <c r="D116" s="236"/>
      <c r="E116" s="236"/>
      <c r="F116" s="236"/>
      <c r="G116" s="236"/>
      <c r="H116" s="236"/>
      <c r="I116" s="236"/>
      <c r="J116" s="236"/>
      <c r="K116" s="236"/>
      <c r="L116" s="236"/>
      <c r="M116" s="250"/>
      <c r="N116" s="236"/>
      <c r="O116" s="250"/>
      <c r="P116" s="236"/>
      <c r="Q116" s="236"/>
      <c r="R116" s="236"/>
    </row>
    <row customHeight="1" ht="12">
      <c r="A117" s="239" t="s">
        <v>114</v>
      </c>
      <c r="B117" s="239" t="s">
        <v>2593</v>
      </c>
      <c r="D117" s="236"/>
      <c r="E117" s="236"/>
      <c r="F117" s="236"/>
      <c r="G117" s="236"/>
      <c r="H117" s="236"/>
      <c r="I117" s="236"/>
      <c r="J117" s="236"/>
      <c r="K117" s="236"/>
      <c r="L117" s="236"/>
      <c r="M117" s="250"/>
      <c r="N117" s="236"/>
      <c r="O117" s="250"/>
      <c r="P117" s="236"/>
      <c r="Q117" s="236"/>
      <c r="R117" s="236"/>
    </row>
    <row customHeight="1" ht="12">
      <c r="A118" s="239" t="s">
        <v>2384</v>
      </c>
      <c r="B118" s="239" t="s">
        <v>2594</v>
      </c>
      <c r="D118" s="236"/>
      <c r="E118" s="236"/>
      <c r="F118" s="236"/>
      <c r="G118" s="236"/>
      <c r="H118" s="236"/>
      <c r="I118" s="236"/>
      <c r="J118" s="236"/>
      <c r="K118" s="236"/>
      <c r="L118" s="236"/>
      <c r="M118" s="250"/>
      <c r="N118" s="236"/>
      <c r="O118" s="250"/>
      <c r="P118" s="236"/>
      <c r="Q118" s="236"/>
      <c r="R118" s="236"/>
    </row>
    <row customHeight="1" ht="12">
      <c r="A119" s="239" t="s">
        <v>2389</v>
      </c>
      <c r="B119" s="239" t="s">
        <v>2595</v>
      </c>
      <c r="D119" s="236"/>
      <c r="E119" s="236"/>
      <c r="F119" s="236"/>
      <c r="G119" s="236"/>
      <c r="H119" s="236"/>
      <c r="I119" s="236"/>
      <c r="J119" s="236"/>
      <c r="K119" s="236"/>
      <c r="L119" s="236"/>
      <c r="M119" s="250"/>
      <c r="N119" s="236"/>
      <c r="O119" s="250"/>
      <c r="P119" s="236"/>
      <c r="Q119" s="236"/>
      <c r="R119" s="236"/>
    </row>
    <row customHeight="1" ht="12">
      <c r="A120" s="239" t="s">
        <v>2394</v>
      </c>
      <c r="B120" s="239" t="s">
        <v>2596</v>
      </c>
      <c r="D120" s="236"/>
      <c r="E120" s="236"/>
      <c r="F120" s="236"/>
      <c r="G120" s="236"/>
      <c r="H120" s="236"/>
      <c r="I120" s="236"/>
      <c r="J120" s="236"/>
      <c r="K120" s="236"/>
      <c r="L120" s="236"/>
      <c r="M120" s="250"/>
      <c r="N120" s="236"/>
      <c r="O120" s="250"/>
      <c r="P120" s="236"/>
      <c r="Q120" s="236"/>
      <c r="R120" s="236"/>
    </row>
    <row customHeight="1" ht="12">
      <c r="A121" s="239" t="s">
        <v>2398</v>
      </c>
      <c r="B121" s="239" t="s">
        <v>2597</v>
      </c>
      <c r="D121" s="236"/>
      <c r="E121" s="236"/>
      <c r="F121" s="236"/>
      <c r="G121" s="236"/>
      <c r="H121" s="236"/>
      <c r="I121" s="236"/>
      <c r="J121" s="236"/>
      <c r="K121" s="236"/>
      <c r="L121" s="236"/>
      <c r="M121" s="250"/>
      <c r="N121" s="236"/>
      <c r="O121" s="250"/>
      <c r="P121" s="236"/>
      <c r="Q121" s="236"/>
      <c r="R121" s="236"/>
    </row>
    <row customHeight="1" ht="12">
      <c r="A122" s="239" t="s">
        <v>2403</v>
      </c>
      <c r="B122" s="239" t="s">
        <v>2598</v>
      </c>
      <c r="D122" s="236"/>
      <c r="E122" s="236"/>
      <c r="F122" s="236"/>
      <c r="G122" s="236"/>
      <c r="H122" s="236"/>
      <c r="I122" s="236"/>
      <c r="J122" s="236"/>
      <c r="K122" s="236"/>
      <c r="L122" s="236"/>
      <c r="M122" s="250"/>
      <c r="N122" s="236"/>
      <c r="O122" s="250"/>
      <c r="P122" s="236"/>
      <c r="Q122" s="236"/>
      <c r="R122" s="236"/>
    </row>
    <row customHeight="1" ht="12">
      <c r="A123" s="239" t="s">
        <v>2408</v>
      </c>
      <c r="B123" s="239" t="s">
        <v>2599</v>
      </c>
      <c r="D123" s="236"/>
      <c r="E123" s="236"/>
      <c r="F123" s="236"/>
      <c r="G123" s="236"/>
      <c r="H123" s="236"/>
      <c r="I123" s="236"/>
      <c r="J123" s="236"/>
      <c r="K123" s="236"/>
      <c r="L123" s="236"/>
      <c r="M123" s="250"/>
      <c r="N123" s="236"/>
      <c r="O123" s="250"/>
      <c r="P123" s="236"/>
      <c r="Q123" s="236"/>
      <c r="R123" s="236"/>
    </row>
    <row customHeight="1" ht="12">
      <c r="A124" s="239" t="s">
        <v>2413</v>
      </c>
      <c r="B124" s="239" t="s">
        <v>2600</v>
      </c>
      <c r="D124" s="236"/>
      <c r="E124" s="236"/>
      <c r="F124" s="236"/>
      <c r="G124" s="236"/>
      <c r="H124" s="236"/>
      <c r="I124" s="236"/>
      <c r="J124" s="236"/>
      <c r="K124" s="236"/>
      <c r="L124" s="236"/>
      <c r="M124" s="250"/>
      <c r="N124" s="236"/>
      <c r="O124" s="250"/>
      <c r="P124" s="236"/>
      <c r="Q124" s="236"/>
      <c r="R124" s="236"/>
    </row>
    <row customHeight="1" ht="12">
      <c r="A125" s="239" t="s">
        <v>2418</v>
      </c>
      <c r="B125" s="239" t="s">
        <v>2601</v>
      </c>
      <c r="D125" s="236"/>
      <c r="E125" s="236"/>
      <c r="F125" s="236"/>
      <c r="G125" s="236"/>
      <c r="H125" s="236"/>
      <c r="I125" s="236"/>
      <c r="J125" s="236"/>
      <c r="K125" s="236"/>
      <c r="L125" s="236"/>
      <c r="M125" s="250"/>
      <c r="N125" s="236"/>
      <c r="O125" s="250"/>
      <c r="P125" s="236"/>
      <c r="Q125" s="236"/>
      <c r="R125" s="236"/>
    </row>
    <row customHeight="1" ht="12">
      <c r="A126" s="239" t="s">
        <v>2426</v>
      </c>
      <c r="B126" s="239" t="s">
        <v>2602</v>
      </c>
      <c r="D126" s="236"/>
      <c r="E126" s="236"/>
      <c r="F126" s="236"/>
      <c r="G126" s="236"/>
      <c r="H126" s="236"/>
      <c r="I126" s="236"/>
      <c r="J126" s="236"/>
      <c r="K126" s="236"/>
      <c r="L126" s="236"/>
      <c r="M126" s="250"/>
      <c r="N126" s="236"/>
      <c r="O126" s="250"/>
      <c r="P126" s="236"/>
      <c r="Q126" s="236"/>
      <c r="R126" s="236"/>
    </row>
    <row customHeight="1" ht="12">
      <c r="A127" s="239" t="s">
        <v>2430</v>
      </c>
      <c r="B127" s="239" t="s">
        <v>2603</v>
      </c>
      <c r="D127" s="236"/>
      <c r="E127" s="236"/>
      <c r="F127" s="236"/>
      <c r="G127" s="236"/>
      <c r="H127" s="236"/>
      <c r="I127" s="236"/>
      <c r="J127" s="236"/>
      <c r="K127" s="236"/>
      <c r="L127" s="236"/>
      <c r="M127" s="250"/>
      <c r="N127" s="236"/>
      <c r="O127" s="250"/>
      <c r="P127" s="236"/>
      <c r="Q127" s="236"/>
      <c r="R127" s="236"/>
    </row>
    <row customHeight="1" ht="12">
      <c r="A128" s="239" t="s">
        <v>2432</v>
      </c>
      <c r="B128" s="239" t="s">
        <v>2604</v>
      </c>
      <c r="D128" s="236"/>
      <c r="E128" s="236"/>
      <c r="F128" s="236"/>
      <c r="G128" s="236"/>
      <c r="H128" s="236"/>
      <c r="I128" s="236"/>
      <c r="J128" s="236"/>
      <c r="K128" s="236"/>
      <c r="L128" s="236"/>
      <c r="M128" s="250"/>
      <c r="N128" s="236"/>
      <c r="O128" s="250"/>
      <c r="P128" s="236"/>
      <c r="Q128" s="236"/>
      <c r="R128" s="236"/>
    </row>
    <row customHeight="1" ht="12">
      <c r="A129" s="239" t="s">
        <v>2436</v>
      </c>
      <c r="B129" s="239" t="s">
        <v>2605</v>
      </c>
      <c r="D129" s="236"/>
      <c r="E129" s="236"/>
      <c r="F129" s="236"/>
      <c r="G129" s="236"/>
      <c r="H129" s="236"/>
      <c r="I129" s="236"/>
      <c r="J129" s="236"/>
      <c r="K129" s="236"/>
      <c r="L129" s="236"/>
      <c r="M129" s="250"/>
      <c r="N129" s="236"/>
      <c r="O129" s="250"/>
      <c r="P129" s="236"/>
      <c r="Q129" s="236"/>
      <c r="R129" s="236"/>
    </row>
    <row customHeight="1" ht="12">
      <c r="A130" s="239" t="s">
        <v>2440</v>
      </c>
      <c r="B130" s="239" t="s">
        <v>2606</v>
      </c>
      <c r="D130" s="236"/>
      <c r="E130" s="236"/>
      <c r="F130" s="236"/>
      <c r="G130" s="236"/>
      <c r="H130" s="236"/>
      <c r="I130" s="236"/>
      <c r="J130" s="236"/>
      <c r="K130" s="236"/>
      <c r="L130" s="250"/>
      <c r="M130" s="250"/>
      <c r="N130" s="236"/>
      <c r="O130" s="236"/>
      <c r="P130" s="236"/>
      <c r="Q130" s="236"/>
      <c r="R130" s="236"/>
    </row>
    <row customHeight="1" ht="12">
      <c r="A131" s="239" t="s">
        <v>2444</v>
      </c>
      <c r="B131" s="239" t="s">
        <v>2607</v>
      </c>
      <c r="D131" s="236"/>
      <c r="E131" s="236"/>
      <c r="F131" s="236"/>
      <c r="G131" s="236"/>
      <c r="H131" s="236"/>
      <c r="I131" s="236"/>
      <c r="J131" s="236"/>
      <c r="K131" s="236"/>
      <c r="L131" s="250"/>
      <c r="M131" s="250"/>
      <c r="N131" s="236"/>
      <c r="O131" s="236"/>
      <c r="P131" s="236"/>
      <c r="Q131" s="236"/>
      <c r="R131" s="236"/>
    </row>
    <row customHeight="1" ht="12">
      <c r="A132" s="239" t="s">
        <v>2448</v>
      </c>
      <c r="B132" s="239" t="s">
        <v>2608</v>
      </c>
      <c r="D132" s="236"/>
      <c r="E132" s="236"/>
      <c r="F132" s="236"/>
      <c r="G132" s="236"/>
      <c r="H132" s="236"/>
      <c r="I132" s="236"/>
      <c r="J132" s="236"/>
      <c r="K132" s="236"/>
      <c r="L132" s="250"/>
      <c r="M132" s="250"/>
      <c r="N132" s="236"/>
      <c r="O132" s="236"/>
      <c r="P132" s="236"/>
      <c r="Q132" s="236"/>
      <c r="R132" s="236"/>
    </row>
    <row customHeight="1" ht="12">
      <c r="A133" s="239" t="s">
        <v>2452</v>
      </c>
      <c r="B133" s="239" t="s">
        <v>2609</v>
      </c>
      <c r="D133" s="236"/>
      <c r="E133" s="236"/>
      <c r="F133" s="236"/>
      <c r="G133" s="236"/>
      <c r="H133" s="236"/>
      <c r="I133" s="236"/>
      <c r="J133" s="236"/>
      <c r="K133" s="236"/>
      <c r="L133" s="250"/>
      <c r="M133" s="250"/>
      <c r="N133" s="236"/>
      <c r="O133" s="236"/>
      <c r="P133" s="236"/>
      <c r="Q133" s="236"/>
      <c r="R133" s="236"/>
    </row>
    <row customHeight="1" ht="12">
      <c r="A134" s="239" t="s">
        <v>2456</v>
      </c>
      <c r="B134" s="239" t="s">
        <v>2610</v>
      </c>
      <c r="D134" s="236"/>
      <c r="E134" s="236"/>
      <c r="F134" s="236"/>
      <c r="G134" s="236"/>
      <c r="H134" s="236"/>
      <c r="I134" s="236"/>
      <c r="J134" s="236"/>
      <c r="K134" s="236"/>
      <c r="L134" s="250"/>
      <c r="M134" s="250"/>
      <c r="N134" s="236"/>
      <c r="O134" s="236"/>
      <c r="P134" s="236"/>
      <c r="Q134" s="236"/>
      <c r="R134" s="236"/>
    </row>
    <row customHeight="1" ht="12">
      <c r="A135" s="239" t="s">
        <v>2460</v>
      </c>
      <c r="B135" s="239" t="s">
        <v>2611</v>
      </c>
      <c r="D135" s="236"/>
      <c r="E135" s="236"/>
      <c r="F135" s="236"/>
      <c r="G135" s="236"/>
      <c r="H135" s="236"/>
      <c r="I135" s="236"/>
      <c r="J135" s="236"/>
      <c r="K135" s="250"/>
      <c r="L135" s="250"/>
      <c r="M135" s="250"/>
      <c r="N135" s="236"/>
      <c r="O135" s="236"/>
      <c r="P135" s="236"/>
      <c r="Q135" s="236"/>
      <c r="R135" s="236"/>
    </row>
    <row customHeight="1" ht="12">
      <c r="A136" s="239" t="s">
        <v>2464</v>
      </c>
      <c r="B136" s="239" t="s">
        <v>2612</v>
      </c>
      <c r="D136" s="236"/>
      <c r="E136" s="236"/>
      <c r="F136" s="236"/>
      <c r="G136" s="236"/>
      <c r="H136" s="236"/>
      <c r="I136" s="236"/>
      <c r="J136" s="236"/>
      <c r="K136" s="250"/>
      <c r="L136" s="250"/>
      <c r="M136" s="250"/>
      <c r="N136" s="236"/>
      <c r="O136" s="236"/>
      <c r="P136" s="236"/>
      <c r="Q136" s="236"/>
      <c r="R136" s="236"/>
    </row>
    <row customHeight="1" ht="12">
      <c r="A137" s="239" t="s">
        <v>2467</v>
      </c>
      <c r="B137" s="239" t="s">
        <v>2613</v>
      </c>
      <c r="D137" s="236"/>
      <c r="E137" s="236"/>
      <c r="F137" s="236"/>
      <c r="G137" s="236"/>
      <c r="H137" s="236"/>
      <c r="I137" s="236"/>
      <c r="J137" s="236"/>
      <c r="K137" s="250"/>
      <c r="L137" s="250"/>
      <c r="M137" s="250"/>
      <c r="N137" s="236"/>
      <c r="O137" s="236"/>
      <c r="P137" s="236"/>
      <c r="Q137" s="236"/>
      <c r="R137" s="236"/>
    </row>
    <row customHeight="1" ht="12">
      <c r="A138" s="239" t="s">
        <v>2470</v>
      </c>
      <c r="B138" s="239" t="s">
        <v>2614</v>
      </c>
      <c r="D138" s="236"/>
      <c r="E138" s="236"/>
      <c r="F138" s="236"/>
      <c r="G138" s="236"/>
      <c r="H138" s="236"/>
      <c r="I138" s="236"/>
      <c r="J138" s="236"/>
      <c r="K138" s="250"/>
      <c r="L138" s="250"/>
      <c r="M138" s="250"/>
      <c r="N138" s="236"/>
      <c r="O138" s="236"/>
      <c r="P138" s="236"/>
      <c r="Q138" s="236"/>
      <c r="R138" s="236"/>
    </row>
    <row customHeight="1" ht="12">
      <c r="A139" s="239" t="s">
        <v>2473</v>
      </c>
      <c r="B139" s="239" t="s">
        <v>2615</v>
      </c>
      <c r="D139" s="236"/>
      <c r="E139" s="236"/>
      <c r="F139" s="236"/>
      <c r="G139" s="236"/>
      <c r="H139" s="236"/>
      <c r="I139" s="236"/>
      <c r="J139" s="236"/>
      <c r="K139" s="250"/>
      <c r="L139" s="250"/>
      <c r="M139" s="250"/>
      <c r="N139" s="236"/>
      <c r="O139" s="236"/>
      <c r="P139" s="236"/>
      <c r="Q139" s="236"/>
      <c r="R139" s="236"/>
    </row>
    <row customHeight="1" ht="12">
      <c r="A140" s="239" t="s">
        <v>2476</v>
      </c>
      <c r="B140" s="239" t="s">
        <v>2616</v>
      </c>
      <c r="D140" s="236"/>
      <c r="E140" s="236"/>
      <c r="F140" s="236"/>
      <c r="G140" s="236"/>
      <c r="H140" s="236"/>
      <c r="I140" s="236"/>
      <c r="J140" s="236"/>
      <c r="K140" s="250"/>
      <c r="L140" s="250"/>
      <c r="M140" s="250"/>
      <c r="N140" s="236"/>
      <c r="O140" s="236"/>
      <c r="P140" s="236"/>
      <c r="Q140" s="236"/>
      <c r="R140" s="236"/>
    </row>
    <row customHeight="1" ht="12">
      <c r="A141" s="239" t="s">
        <v>2479</v>
      </c>
      <c r="B141" s="239" t="s">
        <v>2617</v>
      </c>
      <c r="D141" s="236"/>
      <c r="E141" s="236"/>
      <c r="F141" s="236"/>
      <c r="G141" s="236"/>
      <c r="H141" s="236"/>
      <c r="I141" s="236"/>
      <c r="J141" s="236"/>
      <c r="K141" s="250"/>
      <c r="L141" s="250"/>
      <c r="M141" s="250"/>
      <c r="N141" s="236"/>
      <c r="O141" s="236"/>
      <c r="P141" s="236"/>
      <c r="Q141" s="236"/>
      <c r="R141" s="236"/>
    </row>
    <row customHeight="1" ht="12">
      <c r="A142" s="239" t="s">
        <v>2482</v>
      </c>
      <c r="B142" s="239" t="s">
        <v>2618</v>
      </c>
      <c r="D142" s="236"/>
      <c r="E142" s="236"/>
      <c r="F142" s="236"/>
      <c r="G142" s="236"/>
      <c r="H142" s="236"/>
      <c r="I142" s="236"/>
      <c r="J142" s="236"/>
      <c r="K142" s="250"/>
      <c r="L142" s="250"/>
      <c r="M142" s="250"/>
      <c r="N142" s="236"/>
      <c r="O142" s="236"/>
      <c r="P142" s="236"/>
      <c r="Q142" s="236"/>
      <c r="R142" s="236"/>
    </row>
    <row customHeight="1" ht="12">
      <c r="A143" s="239" t="s">
        <v>2486</v>
      </c>
      <c r="B143" s="239" t="s">
        <v>2619</v>
      </c>
      <c r="D143" s="236"/>
      <c r="E143" s="236"/>
      <c r="F143" s="236"/>
      <c r="G143" s="236"/>
      <c r="H143" s="236"/>
      <c r="I143" s="236"/>
      <c r="J143" s="236"/>
      <c r="K143" s="250"/>
      <c r="L143" s="250"/>
      <c r="M143" s="250"/>
      <c r="N143" s="236"/>
      <c r="O143" s="236"/>
      <c r="P143" s="236"/>
      <c r="Q143" s="236"/>
      <c r="R143" s="236"/>
    </row>
    <row customHeight="1" ht="12">
      <c r="A144" s="239" t="s">
        <v>2489</v>
      </c>
      <c r="B144" s="239" t="s">
        <v>2620</v>
      </c>
      <c r="D144" s="236"/>
      <c r="E144" s="236"/>
      <c r="F144" s="236"/>
      <c r="G144" s="236"/>
      <c r="H144" s="236"/>
      <c r="I144" s="236"/>
      <c r="J144" s="236"/>
      <c r="K144" s="250"/>
      <c r="L144" s="250"/>
      <c r="M144" s="250"/>
      <c r="N144" s="236"/>
      <c r="O144" s="236"/>
      <c r="P144" s="236"/>
      <c r="Q144" s="236"/>
      <c r="R144" s="236"/>
    </row>
    <row customHeight="1" ht="12">
      <c r="A145" s="239" t="s">
        <v>2492</v>
      </c>
      <c r="B145" s="239" t="s">
        <v>2621</v>
      </c>
      <c r="D145" s="236"/>
      <c r="E145" s="236"/>
      <c r="F145" s="236"/>
      <c r="G145" s="236"/>
      <c r="H145" s="236"/>
      <c r="I145" s="236"/>
      <c r="J145" s="236"/>
      <c r="K145" s="250"/>
      <c r="L145" s="250"/>
      <c r="M145" s="250"/>
      <c r="N145" s="236"/>
      <c r="O145" s="236"/>
      <c r="P145" s="236"/>
      <c r="R145" s="236"/>
    </row>
    <row customHeight="1" ht="12">
      <c r="A146" s="239" t="s">
        <v>2495</v>
      </c>
      <c r="B146" s="239" t="s">
        <v>2622</v>
      </c>
      <c r="D146" s="236"/>
      <c r="E146" s="236"/>
      <c r="F146" s="236"/>
      <c r="G146" s="236"/>
      <c r="H146" s="236"/>
      <c r="I146" s="236"/>
      <c r="J146" s="236"/>
      <c r="K146" s="250"/>
      <c r="L146" s="250"/>
      <c r="M146" s="250"/>
      <c r="N146" s="236"/>
      <c r="O146" s="236"/>
      <c r="P146" s="236"/>
      <c r="R146" s="236"/>
    </row>
    <row customHeight="1" ht="12">
      <c r="A147" s="239" t="s">
        <v>2498</v>
      </c>
      <c r="B147" s="239" t="s">
        <v>2623</v>
      </c>
      <c r="D147" s="236"/>
      <c r="E147" s="236"/>
      <c r="F147" s="236"/>
      <c r="G147" s="236"/>
      <c r="H147" s="236"/>
      <c r="I147" s="236"/>
      <c r="J147" s="236"/>
      <c r="K147" s="250"/>
      <c r="L147" s="250"/>
      <c r="M147" s="250"/>
      <c r="N147" s="236"/>
      <c r="O147" s="236"/>
      <c r="P147" s="236"/>
      <c r="R147" s="236"/>
    </row>
    <row customHeight="1" ht="12">
      <c r="A148" s="239" t="s">
        <v>2501</v>
      </c>
      <c r="B148" s="239" t="s">
        <v>2624</v>
      </c>
      <c r="D148" s="236"/>
      <c r="E148" s="236"/>
      <c r="F148" s="236"/>
      <c r="G148" s="236"/>
      <c r="H148" s="236"/>
      <c r="I148" s="236"/>
      <c r="J148" s="236"/>
      <c r="K148" s="250"/>
      <c r="L148" s="250"/>
      <c r="M148" s="250"/>
      <c r="N148" s="236"/>
      <c r="O148" s="236"/>
      <c r="P148" s="236"/>
      <c r="R148" s="236"/>
    </row>
    <row customHeight="1" ht="12">
      <c r="A149" s="239" t="s">
        <v>2503</v>
      </c>
      <c r="B149" s="239" t="s">
        <v>2625</v>
      </c>
      <c r="D149" s="236"/>
      <c r="E149" s="236"/>
      <c r="F149" s="236"/>
      <c r="G149" s="236"/>
      <c r="H149" s="236"/>
      <c r="I149" s="236"/>
      <c r="J149" s="236"/>
      <c r="K149" s="250"/>
      <c r="L149" s="250"/>
      <c r="M149" s="250"/>
      <c r="N149" s="236"/>
      <c r="O149" s="236"/>
      <c r="P149" s="236"/>
      <c r="R149" s="236"/>
    </row>
    <row customHeight="1" ht="12">
      <c r="A150" s="239" t="s">
        <v>2505</v>
      </c>
      <c r="B150" s="239" t="s">
        <v>2626</v>
      </c>
      <c r="D150" s="236"/>
      <c r="E150" s="236"/>
      <c r="F150" s="236"/>
      <c r="G150" s="236"/>
      <c r="H150" s="236"/>
      <c r="I150" s="236"/>
      <c r="J150" s="236"/>
      <c r="K150" s="250"/>
      <c r="L150" s="250"/>
      <c r="M150" s="250"/>
      <c r="N150" s="236"/>
      <c r="O150" s="236"/>
      <c r="P150" s="236"/>
      <c r="R150" s="236"/>
    </row>
    <row customHeight="1" ht="12">
      <c r="A151" s="239" t="s">
        <v>2507</v>
      </c>
      <c r="B151" s="239" t="s">
        <v>2627</v>
      </c>
      <c r="D151" s="236"/>
      <c r="E151" s="236"/>
      <c r="F151" s="236"/>
      <c r="G151" s="236"/>
      <c r="H151" s="236"/>
      <c r="I151" s="236"/>
      <c r="J151" s="236"/>
      <c r="K151" s="250"/>
      <c r="L151" s="250"/>
      <c r="M151" s="250"/>
      <c r="N151" s="236"/>
      <c r="O151" s="236"/>
      <c r="P151" s="236"/>
      <c r="R151" s="236"/>
    </row>
    <row customHeight="1" ht="12">
      <c r="A152" s="239" t="s">
        <v>2509</v>
      </c>
      <c r="B152" s="239" t="s">
        <v>2628</v>
      </c>
      <c r="D152" s="236"/>
      <c r="E152" s="236"/>
      <c r="F152" s="236"/>
      <c r="G152" s="236"/>
      <c r="H152" s="236"/>
      <c r="I152" s="236"/>
      <c r="J152" s="236"/>
      <c r="K152" s="250"/>
      <c r="L152" s="250"/>
      <c r="M152" s="250"/>
      <c r="N152" s="236"/>
      <c r="O152" s="236"/>
      <c r="P152" s="236"/>
      <c r="R152" s="236"/>
    </row>
    <row customHeight="1" ht="12">
      <c r="A153" s="239" t="s">
        <v>2511</v>
      </c>
      <c r="B153" s="239" t="s">
        <v>2629</v>
      </c>
      <c r="D153" s="236"/>
      <c r="E153" s="236"/>
      <c r="F153" s="236"/>
      <c r="G153" s="236"/>
      <c r="H153" s="236"/>
      <c r="I153" s="236"/>
      <c r="J153" s="236"/>
      <c r="K153" s="250"/>
      <c r="L153" s="250"/>
      <c r="M153" s="250"/>
      <c r="N153" s="236"/>
      <c r="O153" s="236"/>
      <c r="P153" s="236"/>
      <c r="R153" s="236"/>
    </row>
    <row customHeight="1" ht="12">
      <c r="A154" s="239" t="s">
        <v>2513</v>
      </c>
      <c r="B154" s="239" t="s">
        <v>2630</v>
      </c>
      <c r="D154" s="236"/>
      <c r="E154" s="236"/>
      <c r="F154" s="236"/>
      <c r="G154" s="236"/>
      <c r="H154" s="236"/>
      <c r="I154" s="236"/>
      <c r="J154" s="236"/>
      <c r="K154" s="250"/>
      <c r="L154" s="250"/>
      <c r="M154" s="250"/>
      <c r="N154" s="236"/>
      <c r="O154" s="236"/>
      <c r="P154" s="236"/>
      <c r="R154" s="236"/>
    </row>
    <row customHeight="1" ht="12">
      <c r="A155" s="239" t="s">
        <v>2515</v>
      </c>
      <c r="B155" s="239" t="s">
        <v>2631</v>
      </c>
      <c r="D155" s="236"/>
      <c r="E155" s="236"/>
      <c r="F155" s="236"/>
      <c r="G155" s="236"/>
      <c r="H155" s="236"/>
      <c r="I155" s="236"/>
      <c r="J155" s="236"/>
      <c r="K155" s="250"/>
      <c r="L155" s="250"/>
      <c r="M155" s="250"/>
      <c r="N155" s="236"/>
      <c r="O155" s="236"/>
      <c r="P155" s="236"/>
      <c r="R155" s="236"/>
    </row>
    <row customHeight="1" ht="12">
      <c r="A156" s="239" t="s">
        <v>2517</v>
      </c>
      <c r="B156" s="239" t="s">
        <v>2632</v>
      </c>
      <c r="D156" s="236"/>
      <c r="E156" s="236"/>
      <c r="F156" s="236"/>
      <c r="G156" s="236"/>
      <c r="H156" s="236"/>
      <c r="I156" s="236"/>
      <c r="J156" s="236"/>
      <c r="K156" s="250"/>
      <c r="L156" s="250"/>
      <c r="M156" s="250"/>
      <c r="N156" s="236"/>
      <c r="O156" s="236"/>
      <c r="P156" s="236"/>
      <c r="R156" s="236"/>
    </row>
    <row customHeight="1" ht="12">
      <c r="A157" s="239" t="s">
        <v>2519</v>
      </c>
      <c r="B157" s="239" t="s">
        <v>2633</v>
      </c>
      <c r="D157" s="236"/>
      <c r="E157" s="236"/>
      <c r="F157" s="236"/>
      <c r="G157" s="236"/>
      <c r="H157" s="236"/>
      <c r="I157" s="236"/>
      <c r="J157" s="236"/>
      <c r="K157" s="250"/>
      <c r="L157" s="250"/>
      <c r="M157" s="250"/>
      <c r="N157" s="236"/>
      <c r="O157" s="236"/>
      <c r="P157" s="236"/>
      <c r="R157" s="236"/>
    </row>
    <row customHeight="1" ht="12">
      <c r="A158" s="239" t="s">
        <v>2521</v>
      </c>
      <c r="B158" s="239" t="s">
        <v>2634</v>
      </c>
      <c r="D158" s="236"/>
      <c r="E158" s="236"/>
      <c r="F158" s="236"/>
      <c r="G158" s="236"/>
      <c r="H158" s="236"/>
      <c r="I158" s="236"/>
      <c r="J158" s="236"/>
      <c r="K158" s="250"/>
      <c r="L158" s="250"/>
      <c r="M158" s="250"/>
      <c r="N158" s="236"/>
      <c r="O158" s="236"/>
      <c r="P158" s="236"/>
      <c r="R158" s="236"/>
    </row>
    <row customHeight="1" ht="12">
      <c r="A159" s="239" t="s">
        <v>2523</v>
      </c>
      <c r="B159" s="239" t="s">
        <v>2635</v>
      </c>
      <c r="D159" s="236"/>
      <c r="E159" s="236"/>
      <c r="F159" s="236"/>
      <c r="G159" s="236"/>
      <c r="H159" s="236"/>
      <c r="I159" s="236"/>
      <c r="J159" s="236"/>
      <c r="K159" s="250"/>
      <c r="L159" s="250"/>
      <c r="M159" s="250"/>
      <c r="N159" s="236"/>
      <c r="O159" s="236"/>
      <c r="P159" s="236"/>
      <c r="R159" s="236"/>
    </row>
    <row customHeight="1" ht="12">
      <c r="A160" s="239" t="s">
        <v>2525</v>
      </c>
      <c r="B160" s="239" t="s">
        <v>2636</v>
      </c>
      <c r="D160" s="236"/>
      <c r="E160" s="236"/>
      <c r="F160" s="236"/>
      <c r="G160" s="236"/>
      <c r="H160" s="236"/>
      <c r="I160" s="236"/>
      <c r="J160" s="236"/>
      <c r="K160" s="250"/>
      <c r="L160" s="250"/>
      <c r="M160" s="250"/>
      <c r="N160" s="236"/>
      <c r="O160" s="236"/>
      <c r="P160" s="236"/>
      <c r="R160" s="236"/>
    </row>
    <row customHeight="1" ht="12">
      <c r="A161" s="239" t="s">
        <v>2527</v>
      </c>
      <c r="B161" s="239" t="s">
        <v>2637</v>
      </c>
      <c r="D161" s="236"/>
      <c r="E161" s="236"/>
      <c r="F161" s="236"/>
      <c r="G161" s="236"/>
      <c r="H161" s="236"/>
      <c r="I161" s="236"/>
      <c r="J161" s="236"/>
      <c r="K161" s="250"/>
      <c r="L161" s="250"/>
      <c r="M161" s="250"/>
      <c r="N161" s="236"/>
      <c r="O161" s="236"/>
      <c r="P161" s="236"/>
      <c r="R161" s="236"/>
    </row>
    <row customHeight="1" ht="12">
      <c r="A162" s="239" t="s">
        <v>2529</v>
      </c>
      <c r="B162" s="239" t="s">
        <v>2638</v>
      </c>
      <c r="D162" s="236"/>
      <c r="E162" s="236"/>
      <c r="F162" s="236"/>
      <c r="G162" s="236"/>
      <c r="H162" s="236"/>
      <c r="I162" s="236"/>
      <c r="J162" s="236"/>
      <c r="K162" s="250"/>
      <c r="L162" s="250"/>
      <c r="M162" s="250"/>
      <c r="N162" s="236"/>
      <c r="O162" s="236"/>
      <c r="P162" s="236"/>
      <c r="R162" s="236"/>
    </row>
    <row customHeight="1" ht="12">
      <c r="A163" s="239" t="s">
        <v>2531</v>
      </c>
      <c r="B163" s="239" t="s">
        <v>2639</v>
      </c>
      <c r="D163" s="236"/>
      <c r="E163" s="236"/>
      <c r="F163" s="236"/>
      <c r="G163" s="236"/>
      <c r="H163" s="236"/>
      <c r="I163" s="236"/>
      <c r="J163" s="236"/>
      <c r="K163" s="250"/>
      <c r="L163" s="250"/>
      <c r="M163" s="250"/>
      <c r="N163" s="236"/>
      <c r="O163" s="236"/>
      <c r="P163" s="236"/>
      <c r="R163" s="236"/>
    </row>
    <row customHeight="1" ht="12">
      <c r="A164" s="239" t="s">
        <v>2533</v>
      </c>
      <c r="B164" s="239" t="s">
        <v>2640</v>
      </c>
      <c r="D164" s="236"/>
      <c r="E164" s="236"/>
      <c r="F164" s="236"/>
      <c r="G164" s="236"/>
      <c r="H164" s="236"/>
      <c r="I164" s="236"/>
      <c r="J164" s="236"/>
      <c r="L164" s="250"/>
      <c r="M164" s="250"/>
      <c r="N164" s="236"/>
      <c r="O164" s="236"/>
      <c r="P164" s="236"/>
      <c r="R164" s="236"/>
    </row>
    <row customHeight="1" ht="12">
      <c r="A165" s="239" t="s">
        <v>2535</v>
      </c>
      <c r="B165" s="239" t="s">
        <v>2641</v>
      </c>
      <c r="D165" s="236"/>
      <c r="E165" s="236"/>
      <c r="F165" s="236"/>
      <c r="G165" s="236"/>
      <c r="H165" s="236"/>
      <c r="I165" s="236"/>
      <c r="J165" s="236"/>
      <c r="L165" s="250"/>
      <c r="M165" s="250"/>
      <c r="N165" s="236"/>
      <c r="O165" s="236"/>
      <c r="P165" s="236"/>
      <c r="R165" s="236"/>
    </row>
    <row customHeight="1" ht="12">
      <c r="A166" s="239" t="s">
        <v>2537</v>
      </c>
      <c r="B166" s="239" t="s">
        <v>2642</v>
      </c>
      <c r="D166" s="236"/>
      <c r="E166" s="236"/>
      <c r="F166" s="236"/>
      <c r="G166" s="236"/>
      <c r="H166" s="236"/>
      <c r="I166" s="236"/>
      <c r="J166" s="236"/>
      <c r="L166" s="250"/>
      <c r="M166" s="250"/>
      <c r="N166" s="236"/>
      <c r="O166" s="236"/>
      <c r="P166" s="236"/>
      <c r="R166" s="236"/>
    </row>
    <row customHeight="1" ht="12">
      <c r="A167" s="239" t="s">
        <v>2539</v>
      </c>
      <c r="B167" s="239" t="s">
        <v>2643</v>
      </c>
      <c r="D167" s="236"/>
      <c r="E167" s="236"/>
      <c r="F167" s="236"/>
      <c r="G167" s="236"/>
      <c r="H167" s="236"/>
      <c r="I167" s="236"/>
      <c r="J167" s="236"/>
      <c r="L167" s="250"/>
      <c r="M167" s="250"/>
      <c r="N167" s="236"/>
      <c r="O167" s="236"/>
      <c r="P167" s="236"/>
      <c r="R167" s="236"/>
    </row>
    <row customHeight="1" ht="12">
      <c r="A168" s="239" t="s">
        <v>2541</v>
      </c>
      <c r="B168" s="239" t="s">
        <v>2644</v>
      </c>
      <c r="D168" s="236"/>
      <c r="E168" s="236"/>
      <c r="F168" s="236"/>
      <c r="G168" s="236"/>
      <c r="H168" s="236"/>
      <c r="I168" s="236"/>
      <c r="J168" s="236"/>
      <c r="L168" s="250"/>
      <c r="M168" s="250"/>
      <c r="N168" s="236"/>
      <c r="O168" s="236"/>
      <c r="P168" s="236"/>
      <c r="R168" s="236"/>
    </row>
    <row customHeight="1" ht="12">
      <c r="A169" s="239" t="s">
        <v>2543</v>
      </c>
      <c r="B169" s="239" t="s">
        <v>2645</v>
      </c>
      <c r="D169" s="236"/>
      <c r="E169" s="236"/>
      <c r="F169" s="236"/>
      <c r="H169" s="236"/>
      <c r="I169" s="236"/>
      <c r="J169" s="236"/>
      <c r="L169" s="250"/>
      <c r="M169" s="250"/>
      <c r="N169" s="236"/>
      <c r="O169" s="236"/>
      <c r="P169" s="236"/>
      <c r="R169" s="236"/>
    </row>
    <row customHeight="1" ht="12">
      <c r="A170" s="239" t="s">
        <v>2545</v>
      </c>
      <c r="B170" s="239" t="s">
        <v>2646</v>
      </c>
      <c r="D170" s="236"/>
      <c r="E170" s="236"/>
      <c r="F170" s="236"/>
      <c r="H170" s="236"/>
      <c r="I170" s="236"/>
      <c r="J170" s="236"/>
      <c r="L170" s="250"/>
      <c r="M170" s="250"/>
      <c r="N170" s="236"/>
      <c r="O170" s="236"/>
      <c r="P170" s="236"/>
      <c r="R170" s="236"/>
    </row>
    <row customHeight="1" ht="12">
      <c r="A171" s="239" t="s">
        <v>2547</v>
      </c>
      <c r="B171" s="239" t="s">
        <v>2647</v>
      </c>
      <c r="D171" s="236"/>
      <c r="E171" s="236"/>
      <c r="F171" s="236"/>
      <c r="H171" s="236"/>
      <c r="I171" s="236"/>
      <c r="J171" s="236"/>
      <c r="L171" s="250"/>
      <c r="M171" s="250"/>
      <c r="N171" s="236"/>
      <c r="O171" s="236"/>
      <c r="P171" s="236"/>
      <c r="R171" s="236"/>
    </row>
    <row customHeight="1" ht="12">
      <c r="A172" s="239" t="s">
        <v>2549</v>
      </c>
      <c r="B172" s="239" t="s">
        <v>2648</v>
      </c>
      <c r="D172" s="236"/>
      <c r="E172" s="236"/>
      <c r="F172" s="236"/>
      <c r="H172" s="236"/>
      <c r="I172" s="236"/>
      <c r="J172" s="236"/>
      <c r="L172" s="250"/>
      <c r="M172" s="250"/>
      <c r="N172" s="236"/>
      <c r="O172" s="236"/>
      <c r="P172" s="236"/>
      <c r="R172" s="236"/>
    </row>
    <row customHeight="1" ht="12">
      <c r="A173" s="239" t="s">
        <v>2551</v>
      </c>
      <c r="B173" s="239" t="s">
        <v>2649</v>
      </c>
      <c r="D173" s="236"/>
      <c r="E173" s="236"/>
      <c r="F173" s="236"/>
      <c r="H173" s="236"/>
      <c r="I173" s="236"/>
      <c r="J173" s="236"/>
      <c r="L173" s="250"/>
      <c r="M173" s="250"/>
      <c r="N173" s="236"/>
      <c r="O173" s="236"/>
      <c r="P173" s="236"/>
      <c r="R173" s="236"/>
    </row>
    <row customHeight="1" ht="12">
      <c r="A174" s="239" t="s">
        <v>2555</v>
      </c>
      <c r="B174" s="239" t="s">
        <v>2650</v>
      </c>
      <c r="D174" s="236"/>
      <c r="E174" s="236"/>
      <c r="F174" s="236"/>
      <c r="H174" s="236"/>
      <c r="I174" s="236"/>
      <c r="J174" s="236"/>
      <c r="L174" s="250"/>
      <c r="M174" s="250"/>
      <c r="N174" s="236"/>
      <c r="O174" s="236"/>
      <c r="P174" s="236"/>
      <c r="R174" s="236"/>
    </row>
    <row customHeight="1" ht="12">
      <c r="A175" s="239" t="s">
        <v>2557</v>
      </c>
      <c r="B175" s="239" t="s">
        <v>2651</v>
      </c>
      <c r="D175" s="236"/>
      <c r="E175" s="236"/>
      <c r="F175" s="236"/>
      <c r="H175" s="236"/>
      <c r="I175" s="236"/>
      <c r="J175" s="236"/>
      <c r="L175" s="250"/>
      <c r="M175" s="250"/>
      <c r="N175" s="236"/>
      <c r="O175" s="236"/>
      <c r="P175" s="236"/>
      <c r="R175" s="236"/>
    </row>
    <row customHeight="1" ht="12">
      <c r="A176" s="239" t="s">
        <v>2559</v>
      </c>
      <c r="B176" s="239" t="s">
        <v>2652</v>
      </c>
    </row>
    <row customHeight="1" ht="12">
      <c r="A177" s="239" t="s">
        <v>2561</v>
      </c>
      <c r="B177" s="239" t="s">
        <v>2653</v>
      </c>
    </row>
    <row customHeight="1" ht="12">
      <c r="A178" s="239" t="s">
        <v>2563</v>
      </c>
      <c r="B178" s="239" t="s">
        <v>2654</v>
      </c>
    </row>
    <row customHeight="1" ht="12">
      <c r="A179" s="239" t="s">
        <v>2565</v>
      </c>
      <c r="B179" s="239" t="s">
        <v>2655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E0BA88-AEC8-0BB8-95E2-EFC1E631725D}" mc:Ignorable="x14ac xr xr2 xr3">
  <sheetPr>
    <tabColor rgb="FFFFCC99"/>
  </sheetPr>
  <dimension ref="A1:CY7"/>
  <sheetViews>
    <sheetView topLeftCell="A1" showGridLines="0" workbookViewId="0">
      <selection activeCell="A1" sqref="A1"/>
    </sheetView>
  </sheetViews>
  <sheetFormatPr customHeight="1" defaultRowHeight="11.25"/>
  <sheetData>
    <row customHeight="1" ht="11.25">
      <c r="A1" s="0" t="s">
        <v>2656</v>
      </c>
      <c r="B1" s="0" t="s">
        <v>2657</v>
      </c>
      <c r="C1" s="0" t="s">
        <v>2658</v>
      </c>
      <c r="D1" s="0" t="s">
        <v>2659</v>
      </c>
      <c r="E1" s="0" t="s">
        <v>2660</v>
      </c>
      <c r="F1" s="0" t="s">
        <v>2661</v>
      </c>
      <c r="G1" s="0" t="s">
        <v>2662</v>
      </c>
      <c r="H1" s="0" t="s">
        <v>2663</v>
      </c>
      <c r="I1" s="0" t="s">
        <v>2664</v>
      </c>
      <c r="J1" s="0" t="s">
        <v>2665</v>
      </c>
      <c r="K1" s="0" t="s">
        <v>2666</v>
      </c>
      <c r="L1" s="0" t="s">
        <v>2667</v>
      </c>
      <c r="M1" s="0" t="s">
        <v>2668</v>
      </c>
      <c r="N1" s="0" t="s">
        <v>2669</v>
      </c>
      <c r="O1" s="0" t="s">
        <v>2670</v>
      </c>
      <c r="P1" s="0" t="s">
        <v>2671</v>
      </c>
      <c r="Q1" s="0" t="s">
        <v>2672</v>
      </c>
      <c r="R1" s="0" t="s">
        <v>2673</v>
      </c>
      <c r="S1" s="0" t="s">
        <v>2674</v>
      </c>
      <c r="T1" s="0" t="s">
        <v>2675</v>
      </c>
      <c r="U1" s="0" t="s">
        <v>2676</v>
      </c>
      <c r="V1" s="0" t="s">
        <v>2677</v>
      </c>
      <c r="W1" s="0" t="s">
        <v>2678</v>
      </c>
      <c r="X1" s="0" t="s">
        <v>2679</v>
      </c>
      <c r="Y1" s="0" t="s">
        <v>2680</v>
      </c>
      <c r="Z1" s="0" t="s">
        <v>2681</v>
      </c>
      <c r="AA1" s="0" t="s">
        <v>2682</v>
      </c>
      <c r="AB1" s="0" t="s">
        <v>2683</v>
      </c>
      <c r="AC1" s="0" t="s">
        <v>2684</v>
      </c>
      <c r="AD1" s="0" t="s">
        <v>2685</v>
      </c>
      <c r="AE1" s="0" t="s">
        <v>2686</v>
      </c>
      <c r="AF1" s="0" t="s">
        <v>2687</v>
      </c>
      <c r="AG1" s="0" t="s">
        <v>2688</v>
      </c>
      <c r="AH1" s="0" t="s">
        <v>2689</v>
      </c>
      <c r="AI1" s="0" t="s">
        <v>2690</v>
      </c>
      <c r="AJ1" s="0" t="s">
        <v>2691</v>
      </c>
      <c r="AK1" s="0" t="s">
        <v>2692</v>
      </c>
      <c r="AL1" s="0" t="s">
        <v>2693</v>
      </c>
      <c r="AM1" s="0" t="s">
        <v>2694</v>
      </c>
      <c r="AN1" s="0" t="s">
        <v>2695</v>
      </c>
      <c r="AO1" s="0" t="s">
        <v>2696</v>
      </c>
      <c r="AP1" s="0" t="s">
        <v>2697</v>
      </c>
      <c r="AQ1" s="0" t="s">
        <v>2698</v>
      </c>
      <c r="AR1" s="0" t="s">
        <v>2699</v>
      </c>
      <c r="AS1" s="0" t="s">
        <v>2700</v>
      </c>
      <c r="AT1" s="0" t="s">
        <v>2701</v>
      </c>
      <c r="AU1" s="0" t="s">
        <v>2702</v>
      </c>
      <c r="AV1" s="0" t="s">
        <v>2703</v>
      </c>
      <c r="AW1" s="0" t="s">
        <v>2704</v>
      </c>
      <c r="AX1" s="0" t="s">
        <v>2705</v>
      </c>
      <c r="AY1" s="0" t="s">
        <v>2706</v>
      </c>
      <c r="AZ1" s="0" t="s">
        <v>2707</v>
      </c>
      <c r="BA1" s="0" t="s">
        <v>2708</v>
      </c>
      <c r="BB1" s="0" t="s">
        <v>2709</v>
      </c>
      <c r="BC1" s="0" t="s">
        <v>2710</v>
      </c>
      <c r="BD1" s="0" t="s">
        <v>2711</v>
      </c>
      <c r="BE1" s="0" t="s">
        <v>2712</v>
      </c>
      <c r="BF1" s="0" t="s">
        <v>2713</v>
      </c>
      <c r="BG1" s="0" t="s">
        <v>2714</v>
      </c>
      <c r="BH1" s="0" t="s">
        <v>2715</v>
      </c>
      <c r="BI1" s="0" t="s">
        <v>2716</v>
      </c>
      <c r="BJ1" s="0" t="s">
        <v>2717</v>
      </c>
      <c r="BK1" s="0" t="s">
        <v>2718</v>
      </c>
      <c r="BL1" s="0" t="s">
        <v>2719</v>
      </c>
      <c r="BM1" s="0" t="s">
        <v>2720</v>
      </c>
      <c r="BN1" s="0" t="s">
        <v>2721</v>
      </c>
      <c r="BO1" s="0" t="s">
        <v>2722</v>
      </c>
      <c r="BP1" s="0" t="s">
        <v>2723</v>
      </c>
      <c r="BQ1" s="0" t="s">
        <v>2724</v>
      </c>
      <c r="BR1" s="0" t="s">
        <v>2725</v>
      </c>
      <c r="BS1" s="0" t="s">
        <v>2726</v>
      </c>
      <c r="BT1" s="0" t="s">
        <v>2727</v>
      </c>
      <c r="BU1" s="0" t="s">
        <v>2728</v>
      </c>
      <c r="BV1" s="0" t="s">
        <v>2729</v>
      </c>
      <c r="BW1" s="0" t="s">
        <v>2730</v>
      </c>
      <c r="BX1" s="0" t="s">
        <v>2731</v>
      </c>
      <c r="BY1" s="0" t="s">
        <v>2732</v>
      </c>
      <c r="BZ1" s="0" t="s">
        <v>2733</v>
      </c>
      <c r="CA1" s="0" t="s">
        <v>2734</v>
      </c>
      <c r="CB1" s="0" t="s">
        <v>2735</v>
      </c>
      <c r="CC1" s="0" t="s">
        <v>2736</v>
      </c>
      <c r="CD1" s="0" t="s">
        <v>2737</v>
      </c>
      <c r="CE1" s="0" t="s">
        <v>2738</v>
      </c>
      <c r="CF1" s="0" t="s">
        <v>2739</v>
      </c>
      <c r="CG1" s="0" t="s">
        <v>2740</v>
      </c>
      <c r="CH1" s="0" t="s">
        <v>2741</v>
      </c>
      <c r="CI1" s="0" t="s">
        <v>2742</v>
      </c>
      <c r="CJ1" s="0" t="s">
        <v>2743</v>
      </c>
      <c r="CK1" s="0" t="s">
        <v>2744</v>
      </c>
      <c r="CL1" s="0" t="s">
        <v>2745</v>
      </c>
      <c r="CM1" s="0" t="s">
        <v>2746</v>
      </c>
      <c r="CN1" s="0" t="s">
        <v>2747</v>
      </c>
      <c r="CO1" s="0" t="s">
        <v>2748</v>
      </c>
      <c r="CP1" s="0" t="s">
        <v>2749</v>
      </c>
      <c r="CQ1" s="0" t="s">
        <v>2750</v>
      </c>
      <c r="CR1" s="0" t="s">
        <v>2751</v>
      </c>
      <c r="CS1" s="0" t="s">
        <v>2752</v>
      </c>
      <c r="CT1" s="0" t="s">
        <v>2753</v>
      </c>
      <c r="CU1" s="0" t="s">
        <v>2754</v>
      </c>
      <c r="CV1" s="0" t="s">
        <v>2755</v>
      </c>
      <c r="CW1" s="0" t="s">
        <v>2756</v>
      </c>
      <c r="CX1" s="0" t="s">
        <v>2757</v>
      </c>
      <c r="CY1" s="0" t="s">
        <v>2758</v>
      </c>
    </row>
    <row customHeight="1" ht="11.25">
      <c r="A2" s="0" t="s">
        <v>245</v>
      </c>
      <c r="B2" s="0" t="s">
        <v>245</v>
      </c>
      <c r="C2" s="0" t="s">
        <v>245</v>
      </c>
      <c r="D2" s="0" t="s">
        <v>245</v>
      </c>
      <c r="E2" s="0" t="s">
        <v>245</v>
      </c>
      <c r="F2" s="0" t="s">
        <v>2759</v>
      </c>
      <c r="G2" s="0" t="s">
        <v>245</v>
      </c>
      <c r="H2" s="0" t="s">
        <v>245</v>
      </c>
      <c r="I2" s="0" t="s">
        <v>435</v>
      </c>
      <c r="J2" s="0" t="s">
        <v>245</v>
      </c>
      <c r="K2" s="0" t="s">
        <v>430</v>
      </c>
      <c r="L2" s="0" t="s">
        <v>245</v>
      </c>
      <c r="M2" s="0" t="s">
        <v>114</v>
      </c>
      <c r="N2" s="0" t="s">
        <v>245</v>
      </c>
      <c r="O2" s="0" t="s">
        <v>2760</v>
      </c>
      <c r="P2" s="0" t="s">
        <v>2761</v>
      </c>
      <c r="Q2" s="0" t="s">
        <v>2762</v>
      </c>
      <c r="R2" s="0" t="s">
        <v>200</v>
      </c>
      <c r="S2" s="0" t="s">
        <v>200</v>
      </c>
      <c r="T2" s="0" t="s">
        <v>395</v>
      </c>
      <c r="U2" s="0" t="s">
        <v>395</v>
      </c>
      <c r="V2" s="0" t="s">
        <v>2763</v>
      </c>
      <c r="W2" s="0" t="s">
        <v>2764</v>
      </c>
      <c r="X2" s="0" t="s">
        <v>2765</v>
      </c>
      <c r="Y2" s="0" t="s">
        <v>2766</v>
      </c>
      <c r="Z2" s="0" t="s">
        <v>2767</v>
      </c>
      <c r="AA2" s="0" t="s">
        <v>2768</v>
      </c>
      <c r="AB2" s="0" t="s">
        <v>2769</v>
      </c>
      <c r="AC2" s="0" t="s">
        <v>2770</v>
      </c>
      <c r="AD2" s="0" t="s">
        <v>2771</v>
      </c>
      <c r="AE2" s="0" t="s">
        <v>2772</v>
      </c>
      <c r="AF2" s="0" t="s">
        <v>2773</v>
      </c>
      <c r="AG2" s="0" t="s">
        <v>2774</v>
      </c>
      <c r="AH2" s="0" t="s">
        <v>2775</v>
      </c>
      <c r="AI2" s="0" t="s">
        <v>2776</v>
      </c>
      <c r="AJ2" s="0" t="s">
        <v>2777</v>
      </c>
      <c r="AK2" s="0" t="s">
        <v>2778</v>
      </c>
      <c r="AL2" s="0" t="s">
        <v>2768</v>
      </c>
      <c r="AM2" s="0" t="s">
        <v>2769</v>
      </c>
      <c r="AN2" s="0" t="s">
        <v>2770</v>
      </c>
      <c r="AO2" s="0" t="s">
        <v>2779</v>
      </c>
      <c r="AP2" s="0" t="s">
        <v>2780</v>
      </c>
      <c r="AQ2" s="0" t="s">
        <v>2781</v>
      </c>
      <c r="AR2" s="0" t="s">
        <v>2782</v>
      </c>
      <c r="AS2" s="0" t="s">
        <v>2782</v>
      </c>
      <c r="AT2" s="0" t="s">
        <v>2777</v>
      </c>
      <c r="AU2" s="0" t="s">
        <v>2777</v>
      </c>
      <c r="AV2" s="0" t="s">
        <v>2777</v>
      </c>
      <c r="AW2" s="0" t="s">
        <v>2777</v>
      </c>
      <c r="AX2" s="0" t="s">
        <v>2777</v>
      </c>
      <c r="AY2" s="0" t="s">
        <v>2777</v>
      </c>
      <c r="AZ2" s="0" t="s">
        <v>2777</v>
      </c>
      <c r="BA2" s="0" t="s">
        <v>2777</v>
      </c>
      <c r="BB2" s="0" t="s">
        <v>2777</v>
      </c>
      <c r="BC2" s="0" t="s">
        <v>2777</v>
      </c>
      <c r="BD2" s="0" t="s">
        <v>2783</v>
      </c>
      <c r="BE2" s="0" t="s">
        <v>2783</v>
      </c>
      <c r="BF2" s="0" t="s">
        <v>245</v>
      </c>
      <c r="BG2" s="0" t="s">
        <v>245</v>
      </c>
      <c r="BH2" s="0" t="s">
        <v>245</v>
      </c>
      <c r="BI2" s="0" t="s">
        <v>245</v>
      </c>
      <c r="BJ2" s="0" t="s">
        <v>2777</v>
      </c>
      <c r="BK2" s="0" t="s">
        <v>245</v>
      </c>
      <c r="BL2" s="0" t="s">
        <v>245</v>
      </c>
      <c r="BM2" s="0" t="s">
        <v>245</v>
      </c>
      <c r="BN2" s="0" t="s">
        <v>245</v>
      </c>
      <c r="BO2" s="0" t="s">
        <v>245</v>
      </c>
      <c r="BP2" s="0" t="s">
        <v>2783</v>
      </c>
      <c r="BQ2" s="0" t="s">
        <v>2783</v>
      </c>
      <c r="BR2" s="0" t="s">
        <v>245</v>
      </c>
      <c r="BS2" s="0" t="s">
        <v>245</v>
      </c>
      <c r="BT2" s="0" t="s">
        <v>245</v>
      </c>
      <c r="BU2" s="0" t="s">
        <v>245</v>
      </c>
      <c r="BV2" s="0" t="s">
        <v>2777</v>
      </c>
      <c r="BW2" s="0" t="s">
        <v>245</v>
      </c>
      <c r="BX2" s="0" t="s">
        <v>245</v>
      </c>
      <c r="BY2" s="0" t="s">
        <v>245</v>
      </c>
      <c r="BZ2" s="0" t="s">
        <v>245</v>
      </c>
      <c r="CA2" s="0" t="s">
        <v>245</v>
      </c>
      <c r="CB2" s="0" t="s">
        <v>2777</v>
      </c>
      <c r="CC2" s="0" t="s">
        <v>245</v>
      </c>
      <c r="CD2" s="0" t="s">
        <v>245</v>
      </c>
      <c r="CE2" s="0" t="s">
        <v>245</v>
      </c>
      <c r="CF2" s="0" t="s">
        <v>245</v>
      </c>
      <c r="CG2" s="0" t="s">
        <v>245</v>
      </c>
      <c r="CH2" s="0" t="s">
        <v>2777</v>
      </c>
      <c r="CI2" s="0" t="s">
        <v>245</v>
      </c>
      <c r="CJ2" s="0" t="s">
        <v>245</v>
      </c>
      <c r="CK2" s="0" t="s">
        <v>245</v>
      </c>
      <c r="CL2" s="0" t="s">
        <v>245</v>
      </c>
      <c r="CM2" s="0" t="s">
        <v>245</v>
      </c>
      <c r="CN2" s="0" t="s">
        <v>2777</v>
      </c>
      <c r="CO2" s="0" t="s">
        <v>2784</v>
      </c>
      <c r="CP2" s="0" t="s">
        <v>2785</v>
      </c>
      <c r="CQ2" s="0" t="s">
        <v>420</v>
      </c>
      <c r="CR2" s="0" t="s">
        <v>2786</v>
      </c>
      <c r="CS2" s="0" t="s">
        <v>421</v>
      </c>
      <c r="CT2" s="0" t="s">
        <v>420</v>
      </c>
      <c r="CU2" s="0" t="s">
        <v>422</v>
      </c>
      <c r="CV2" s="0" t="s">
        <v>423</v>
      </c>
      <c r="CW2" s="0" t="s">
        <v>2786</v>
      </c>
      <c r="CX2" s="0" t="s">
        <v>2787</v>
      </c>
      <c r="CY2" s="0" t="s">
        <v>431</v>
      </c>
    </row>
    <row customHeight="1" ht="11.25">
      <c r="A3" s="0" t="s">
        <v>245</v>
      </c>
      <c r="B3" s="0" t="s">
        <v>245</v>
      </c>
      <c r="C3" s="0" t="s">
        <v>245</v>
      </c>
      <c r="D3" s="0" t="s">
        <v>245</v>
      </c>
      <c r="E3" s="0" t="s">
        <v>245</v>
      </c>
      <c r="F3" s="0" t="s">
        <v>2759</v>
      </c>
      <c r="G3" s="0" t="s">
        <v>245</v>
      </c>
      <c r="H3" s="0" t="s">
        <v>245</v>
      </c>
      <c r="I3" s="0" t="s">
        <v>426</v>
      </c>
      <c r="J3" s="0" t="s">
        <v>245</v>
      </c>
      <c r="K3" s="0" t="s">
        <v>433</v>
      </c>
      <c r="L3" s="0" t="s">
        <v>245</v>
      </c>
      <c r="M3" s="0" t="s">
        <v>114</v>
      </c>
      <c r="N3" s="0" t="s">
        <v>245</v>
      </c>
      <c r="O3" s="0" t="s">
        <v>2760</v>
      </c>
      <c r="P3" s="0" t="s">
        <v>2761</v>
      </c>
      <c r="Q3" s="0" t="s">
        <v>2762</v>
      </c>
      <c r="R3" s="0" t="s">
        <v>200</v>
      </c>
      <c r="S3" s="0" t="s">
        <v>200</v>
      </c>
      <c r="T3" s="0" t="s">
        <v>395</v>
      </c>
      <c r="U3" s="0" t="s">
        <v>395</v>
      </c>
      <c r="V3" s="0" t="s">
        <v>2763</v>
      </c>
      <c r="W3" s="0" t="s">
        <v>2788</v>
      </c>
      <c r="X3" s="0" t="s">
        <v>2789</v>
      </c>
      <c r="Y3" s="0" t="s">
        <v>2790</v>
      </c>
      <c r="Z3" s="0" t="s">
        <v>2791</v>
      </c>
      <c r="AA3" s="0" t="s">
        <v>2768</v>
      </c>
      <c r="AB3" s="0" t="s">
        <v>2792</v>
      </c>
      <c r="AC3" s="0" t="s">
        <v>2793</v>
      </c>
      <c r="AD3" s="0" t="s">
        <v>2771</v>
      </c>
      <c r="AE3" s="0" t="s">
        <v>2772</v>
      </c>
      <c r="AF3" s="0" t="s">
        <v>2773</v>
      </c>
      <c r="AG3" s="0" t="s">
        <v>2774</v>
      </c>
      <c r="AH3" s="0" t="s">
        <v>2775</v>
      </c>
      <c r="AI3" s="0" t="s">
        <v>2776</v>
      </c>
      <c r="AJ3" s="0" t="s">
        <v>2794</v>
      </c>
      <c r="AK3" s="0" t="s">
        <v>2795</v>
      </c>
      <c r="AL3" s="0" t="s">
        <v>2768</v>
      </c>
      <c r="AM3" s="0" t="s">
        <v>2792</v>
      </c>
      <c r="AN3" s="0" t="s">
        <v>2793</v>
      </c>
      <c r="AO3" s="0" t="s">
        <v>2779</v>
      </c>
      <c r="AP3" s="0" t="s">
        <v>2780</v>
      </c>
      <c r="AQ3" s="0" t="s">
        <v>2781</v>
      </c>
      <c r="AR3" s="0" t="s">
        <v>2783</v>
      </c>
      <c r="AS3" s="0" t="s">
        <v>2783</v>
      </c>
      <c r="AT3" s="0" t="s">
        <v>2777</v>
      </c>
      <c r="AU3" s="0" t="s">
        <v>2777</v>
      </c>
      <c r="AV3" s="0" t="s">
        <v>2777</v>
      </c>
      <c r="AW3" s="0" t="s">
        <v>2777</v>
      </c>
      <c r="AX3" s="0" t="s">
        <v>2777</v>
      </c>
      <c r="AY3" s="0" t="s">
        <v>2777</v>
      </c>
      <c r="AZ3" s="0" t="s">
        <v>2777</v>
      </c>
      <c r="BA3" s="0" t="s">
        <v>2777</v>
      </c>
      <c r="BB3" s="0" t="s">
        <v>2777</v>
      </c>
      <c r="BC3" s="0" t="s">
        <v>2777</v>
      </c>
      <c r="BD3" s="0" t="s">
        <v>2783</v>
      </c>
      <c r="BE3" s="0" t="s">
        <v>2783</v>
      </c>
      <c r="BF3" s="0" t="s">
        <v>245</v>
      </c>
      <c r="BG3" s="0" t="s">
        <v>245</v>
      </c>
      <c r="BH3" s="0" t="s">
        <v>245</v>
      </c>
      <c r="BI3" s="0" t="s">
        <v>245</v>
      </c>
      <c r="BJ3" s="0" t="s">
        <v>2777</v>
      </c>
      <c r="BK3" s="0" t="s">
        <v>245</v>
      </c>
      <c r="BL3" s="0" t="s">
        <v>245</v>
      </c>
      <c r="BM3" s="0" t="s">
        <v>245</v>
      </c>
      <c r="BN3" s="0" t="s">
        <v>245</v>
      </c>
      <c r="BO3" s="0" t="s">
        <v>245</v>
      </c>
      <c r="BP3" s="0" t="s">
        <v>2777</v>
      </c>
      <c r="BQ3" s="0" t="s">
        <v>245</v>
      </c>
      <c r="BR3" s="0" t="s">
        <v>245</v>
      </c>
      <c r="BS3" s="0" t="s">
        <v>245</v>
      </c>
      <c r="BT3" s="0" t="s">
        <v>245</v>
      </c>
      <c r="BU3" s="0" t="s">
        <v>245</v>
      </c>
      <c r="BV3" s="0" t="s">
        <v>2777</v>
      </c>
      <c r="BW3" s="0" t="s">
        <v>245</v>
      </c>
      <c r="BX3" s="0" t="s">
        <v>245</v>
      </c>
      <c r="BY3" s="0" t="s">
        <v>245</v>
      </c>
      <c r="BZ3" s="0" t="s">
        <v>245</v>
      </c>
      <c r="CA3" s="0" t="s">
        <v>245</v>
      </c>
      <c r="CB3" s="0" t="s">
        <v>2777</v>
      </c>
      <c r="CC3" s="0" t="s">
        <v>245</v>
      </c>
      <c r="CD3" s="0" t="s">
        <v>245</v>
      </c>
      <c r="CE3" s="0" t="s">
        <v>245</v>
      </c>
      <c r="CF3" s="0" t="s">
        <v>245</v>
      </c>
      <c r="CG3" s="0" t="s">
        <v>245</v>
      </c>
      <c r="CH3" s="0" t="s">
        <v>2777</v>
      </c>
      <c r="CI3" s="0" t="s">
        <v>245</v>
      </c>
      <c r="CJ3" s="0" t="s">
        <v>245</v>
      </c>
      <c r="CK3" s="0" t="s">
        <v>245</v>
      </c>
      <c r="CL3" s="0" t="s">
        <v>245</v>
      </c>
      <c r="CM3" s="0" t="s">
        <v>245</v>
      </c>
      <c r="CN3" s="0" t="s">
        <v>2794</v>
      </c>
      <c r="CO3" s="0" t="s">
        <v>2784</v>
      </c>
      <c r="CP3" s="0" t="s">
        <v>2785</v>
      </c>
      <c r="CQ3" s="0" t="s">
        <v>420</v>
      </c>
      <c r="CR3" s="0" t="s">
        <v>2786</v>
      </c>
      <c r="CS3" s="0" t="s">
        <v>421</v>
      </c>
      <c r="CT3" s="0" t="s">
        <v>420</v>
      </c>
      <c r="CU3" s="0" t="s">
        <v>422</v>
      </c>
      <c r="CV3" s="0" t="s">
        <v>423</v>
      </c>
      <c r="CW3" s="0" t="s">
        <v>2786</v>
      </c>
      <c r="CX3" s="0" t="s">
        <v>2787</v>
      </c>
      <c r="CY3" s="0" t="s">
        <v>434</v>
      </c>
    </row>
    <row customHeight="1" ht="11.25">
      <c r="A4" s="0" t="s">
        <v>245</v>
      </c>
      <c r="B4" s="0" t="s">
        <v>245</v>
      </c>
      <c r="C4" s="0" t="s">
        <v>245</v>
      </c>
      <c r="D4" s="0" t="s">
        <v>245</v>
      </c>
      <c r="E4" s="0" t="s">
        <v>245</v>
      </c>
      <c r="F4" s="0" t="s">
        <v>2759</v>
      </c>
      <c r="G4" s="0" t="s">
        <v>245</v>
      </c>
      <c r="H4" s="0" t="s">
        <v>245</v>
      </c>
      <c r="I4" s="0" t="s">
        <v>336</v>
      </c>
      <c r="J4" s="0" t="s">
        <v>245</v>
      </c>
      <c r="K4" s="0" t="s">
        <v>427</v>
      </c>
      <c r="L4" s="0" t="s">
        <v>245</v>
      </c>
      <c r="M4" s="0" t="s">
        <v>114</v>
      </c>
      <c r="N4" s="0" t="s">
        <v>245</v>
      </c>
      <c r="O4" s="0" t="s">
        <v>2760</v>
      </c>
      <c r="P4" s="0" t="s">
        <v>2761</v>
      </c>
      <c r="Q4" s="0" t="s">
        <v>2762</v>
      </c>
      <c r="R4" s="0" t="s">
        <v>200</v>
      </c>
      <c r="S4" s="0" t="s">
        <v>200</v>
      </c>
      <c r="T4" s="0" t="s">
        <v>395</v>
      </c>
      <c r="U4" s="0" t="s">
        <v>395</v>
      </c>
      <c r="V4" s="0" t="s">
        <v>2763</v>
      </c>
      <c r="W4" s="0" t="s">
        <v>2796</v>
      </c>
      <c r="X4" s="0" t="s">
        <v>2797</v>
      </c>
      <c r="Y4" s="0" t="s">
        <v>2798</v>
      </c>
      <c r="Z4" s="0" t="s">
        <v>426</v>
      </c>
      <c r="AA4" s="0" t="s">
        <v>2799</v>
      </c>
      <c r="AB4" s="0" t="s">
        <v>2800</v>
      </c>
      <c r="AC4" s="0" t="s">
        <v>2801</v>
      </c>
      <c r="AD4" s="0" t="s">
        <v>2771</v>
      </c>
      <c r="AE4" s="0" t="s">
        <v>2772</v>
      </c>
      <c r="AF4" s="0" t="s">
        <v>2773</v>
      </c>
      <c r="AG4" s="0" t="s">
        <v>2774</v>
      </c>
      <c r="AH4" s="0" t="s">
        <v>2775</v>
      </c>
      <c r="AI4" s="0" t="s">
        <v>2776</v>
      </c>
      <c r="AJ4" s="0" t="s">
        <v>2794</v>
      </c>
      <c r="AK4" s="0" t="s">
        <v>2802</v>
      </c>
      <c r="AL4" s="0" t="s">
        <v>2799</v>
      </c>
      <c r="AM4" s="0" t="s">
        <v>2800</v>
      </c>
      <c r="AN4" s="0" t="s">
        <v>2801</v>
      </c>
      <c r="AO4" s="0" t="s">
        <v>2779</v>
      </c>
      <c r="AP4" s="0" t="s">
        <v>2780</v>
      </c>
      <c r="AQ4" s="0" t="s">
        <v>2781</v>
      </c>
      <c r="AR4" s="0" t="s">
        <v>2782</v>
      </c>
      <c r="AS4" s="0" t="s">
        <v>2782</v>
      </c>
      <c r="AT4" s="0" t="s">
        <v>2777</v>
      </c>
      <c r="AU4" s="0" t="s">
        <v>2777</v>
      </c>
      <c r="AV4" s="0" t="s">
        <v>2777</v>
      </c>
      <c r="AW4" s="0" t="s">
        <v>2777</v>
      </c>
      <c r="AX4" s="0" t="s">
        <v>2777</v>
      </c>
      <c r="AY4" s="0" t="s">
        <v>2777</v>
      </c>
      <c r="AZ4" s="0" t="s">
        <v>2777</v>
      </c>
      <c r="BA4" s="0" t="s">
        <v>2777</v>
      </c>
      <c r="BB4" s="0" t="s">
        <v>2777</v>
      </c>
      <c r="BC4" s="0" t="s">
        <v>2777</v>
      </c>
      <c r="BD4" s="0" t="s">
        <v>2783</v>
      </c>
      <c r="BE4" s="0" t="s">
        <v>2783</v>
      </c>
      <c r="BF4" s="0" t="s">
        <v>245</v>
      </c>
      <c r="BG4" s="0" t="s">
        <v>245</v>
      </c>
      <c r="BH4" s="0" t="s">
        <v>245</v>
      </c>
      <c r="BI4" s="0" t="s">
        <v>245</v>
      </c>
      <c r="BJ4" s="0" t="s">
        <v>2777</v>
      </c>
      <c r="BK4" s="0" t="s">
        <v>245</v>
      </c>
      <c r="BL4" s="0" t="s">
        <v>245</v>
      </c>
      <c r="BM4" s="0" t="s">
        <v>245</v>
      </c>
      <c r="BN4" s="0" t="s">
        <v>245</v>
      </c>
      <c r="BO4" s="0" t="s">
        <v>245</v>
      </c>
      <c r="BP4" s="0" t="s">
        <v>2783</v>
      </c>
      <c r="BQ4" s="0" t="s">
        <v>2783</v>
      </c>
      <c r="BR4" s="0" t="s">
        <v>245</v>
      </c>
      <c r="BS4" s="0" t="s">
        <v>245</v>
      </c>
      <c r="BT4" s="0" t="s">
        <v>245</v>
      </c>
      <c r="BU4" s="0" t="s">
        <v>245</v>
      </c>
      <c r="BV4" s="0" t="s">
        <v>2777</v>
      </c>
      <c r="BW4" s="0" t="s">
        <v>245</v>
      </c>
      <c r="BX4" s="0" t="s">
        <v>245</v>
      </c>
      <c r="BY4" s="0" t="s">
        <v>245</v>
      </c>
      <c r="BZ4" s="0" t="s">
        <v>245</v>
      </c>
      <c r="CA4" s="0" t="s">
        <v>245</v>
      </c>
      <c r="CB4" s="0" t="s">
        <v>2777</v>
      </c>
      <c r="CC4" s="0" t="s">
        <v>245</v>
      </c>
      <c r="CD4" s="0" t="s">
        <v>245</v>
      </c>
      <c r="CE4" s="0" t="s">
        <v>245</v>
      </c>
      <c r="CF4" s="0" t="s">
        <v>245</v>
      </c>
      <c r="CG4" s="0" t="s">
        <v>245</v>
      </c>
      <c r="CH4" s="0" t="s">
        <v>2777</v>
      </c>
      <c r="CI4" s="0" t="s">
        <v>245</v>
      </c>
      <c r="CJ4" s="0" t="s">
        <v>245</v>
      </c>
      <c r="CK4" s="0" t="s">
        <v>245</v>
      </c>
      <c r="CL4" s="0" t="s">
        <v>245</v>
      </c>
      <c r="CM4" s="0" t="s">
        <v>245</v>
      </c>
      <c r="CN4" s="0" t="s">
        <v>2794</v>
      </c>
      <c r="CO4" s="0" t="s">
        <v>2784</v>
      </c>
      <c r="CP4" s="0" t="s">
        <v>2785</v>
      </c>
      <c r="CQ4" s="0" t="s">
        <v>420</v>
      </c>
      <c r="CR4" s="0" t="s">
        <v>2786</v>
      </c>
      <c r="CS4" s="0" t="s">
        <v>421</v>
      </c>
      <c r="CT4" s="0" t="s">
        <v>420</v>
      </c>
      <c r="CU4" s="0" t="s">
        <v>422</v>
      </c>
      <c r="CV4" s="0" t="s">
        <v>423</v>
      </c>
      <c r="CW4" s="0" t="s">
        <v>2786</v>
      </c>
      <c r="CX4" s="0" t="s">
        <v>2787</v>
      </c>
      <c r="CY4" s="0" t="s">
        <v>428</v>
      </c>
    </row>
    <row customHeight="1" ht="11.25">
      <c r="A5" s="0" t="s">
        <v>245</v>
      </c>
      <c r="B5" s="0" t="s">
        <v>245</v>
      </c>
      <c r="C5" s="0" t="s">
        <v>245</v>
      </c>
      <c r="D5" s="0" t="s">
        <v>245</v>
      </c>
      <c r="E5" s="0" t="s">
        <v>245</v>
      </c>
      <c r="F5" s="0" t="s">
        <v>2759</v>
      </c>
      <c r="G5" s="0" t="s">
        <v>245</v>
      </c>
      <c r="H5" s="0" t="s">
        <v>245</v>
      </c>
      <c r="I5" s="0" t="s">
        <v>637</v>
      </c>
      <c r="J5" s="0" t="s">
        <v>245</v>
      </c>
      <c r="K5" s="0" t="s">
        <v>2803</v>
      </c>
      <c r="L5" s="0" t="s">
        <v>245</v>
      </c>
      <c r="M5" s="0" t="s">
        <v>114</v>
      </c>
      <c r="N5" s="0" t="s">
        <v>245</v>
      </c>
      <c r="O5" s="0" t="s">
        <v>2760</v>
      </c>
      <c r="P5" s="0" t="s">
        <v>2761</v>
      </c>
      <c r="Q5" s="0" t="s">
        <v>2762</v>
      </c>
      <c r="R5" s="0" t="s">
        <v>200</v>
      </c>
      <c r="S5" s="0" t="s">
        <v>200</v>
      </c>
      <c r="T5" s="0" t="s">
        <v>395</v>
      </c>
      <c r="U5" s="0" t="s">
        <v>395</v>
      </c>
      <c r="V5" s="0" t="s">
        <v>2763</v>
      </c>
      <c r="W5" s="0" t="s">
        <v>2804</v>
      </c>
      <c r="X5" s="0" t="s">
        <v>2805</v>
      </c>
      <c r="Y5" s="0" t="s">
        <v>2806</v>
      </c>
      <c r="Z5" s="0" t="s">
        <v>2807</v>
      </c>
      <c r="AA5" s="0" t="s">
        <v>2808</v>
      </c>
      <c r="AB5" s="0" t="s">
        <v>2809</v>
      </c>
      <c r="AC5" s="0" t="s">
        <v>2777</v>
      </c>
      <c r="AD5" s="0" t="s">
        <v>2810</v>
      </c>
      <c r="AE5" s="0" t="s">
        <v>2772</v>
      </c>
      <c r="AF5" s="0" t="s">
        <v>2811</v>
      </c>
      <c r="AG5" s="0" t="s">
        <v>2811</v>
      </c>
      <c r="AH5" s="0" t="s">
        <v>2775</v>
      </c>
      <c r="AI5" s="0" t="s">
        <v>2776</v>
      </c>
      <c r="AJ5" s="0" t="s">
        <v>2812</v>
      </c>
      <c r="AK5" s="0" t="s">
        <v>2813</v>
      </c>
      <c r="AL5" s="0" t="s">
        <v>2808</v>
      </c>
      <c r="AM5" s="0" t="s">
        <v>2809</v>
      </c>
      <c r="AN5" s="0" t="s">
        <v>2777</v>
      </c>
      <c r="AO5" s="0" t="s">
        <v>2779</v>
      </c>
      <c r="AP5" s="0" t="s">
        <v>2780</v>
      </c>
      <c r="AQ5" s="0" t="s">
        <v>2781</v>
      </c>
      <c r="AR5" s="0" t="s">
        <v>2814</v>
      </c>
      <c r="AS5" s="0" t="s">
        <v>2814</v>
      </c>
      <c r="AT5" s="0" t="s">
        <v>2777</v>
      </c>
      <c r="AU5" s="0" t="s">
        <v>2777</v>
      </c>
      <c r="AV5" s="0" t="s">
        <v>2777</v>
      </c>
      <c r="AW5" s="0" t="s">
        <v>2777</v>
      </c>
      <c r="AX5" s="0" t="s">
        <v>2777</v>
      </c>
      <c r="AY5" s="0" t="s">
        <v>2777</v>
      </c>
      <c r="AZ5" s="0" t="s">
        <v>2777</v>
      </c>
      <c r="BA5" s="0" t="s">
        <v>2777</v>
      </c>
      <c r="BB5" s="0" t="s">
        <v>2777</v>
      </c>
      <c r="BC5" s="0" t="s">
        <v>2777</v>
      </c>
      <c r="BD5" s="0" t="s">
        <v>2815</v>
      </c>
      <c r="BE5" s="0" t="s">
        <v>2815</v>
      </c>
      <c r="BF5" s="0" t="s">
        <v>245</v>
      </c>
      <c r="BG5" s="0" t="s">
        <v>245</v>
      </c>
      <c r="BH5" s="0" t="s">
        <v>245</v>
      </c>
      <c r="BI5" s="0" t="s">
        <v>245</v>
      </c>
      <c r="BJ5" s="0" t="s">
        <v>2777</v>
      </c>
      <c r="BK5" s="0" t="s">
        <v>245</v>
      </c>
      <c r="BL5" s="0" t="s">
        <v>245</v>
      </c>
      <c r="BM5" s="0" t="s">
        <v>245</v>
      </c>
      <c r="BN5" s="0" t="s">
        <v>245</v>
      </c>
      <c r="BO5" s="0" t="s">
        <v>245</v>
      </c>
      <c r="BP5" s="0" t="s">
        <v>2816</v>
      </c>
      <c r="BQ5" s="0" t="s">
        <v>2816</v>
      </c>
      <c r="BR5" s="0" t="s">
        <v>245</v>
      </c>
      <c r="BS5" s="0" t="s">
        <v>245</v>
      </c>
      <c r="BT5" s="0" t="s">
        <v>245</v>
      </c>
      <c r="BU5" s="0" t="s">
        <v>245</v>
      </c>
      <c r="BV5" s="0" t="s">
        <v>2777</v>
      </c>
      <c r="BW5" s="0" t="s">
        <v>245</v>
      </c>
      <c r="BX5" s="0" t="s">
        <v>245</v>
      </c>
      <c r="BY5" s="0" t="s">
        <v>245</v>
      </c>
      <c r="BZ5" s="0" t="s">
        <v>245</v>
      </c>
      <c r="CA5" s="0" t="s">
        <v>245</v>
      </c>
      <c r="CB5" s="0" t="s">
        <v>2777</v>
      </c>
      <c r="CC5" s="0" t="s">
        <v>245</v>
      </c>
      <c r="CD5" s="0" t="s">
        <v>245</v>
      </c>
      <c r="CE5" s="0" t="s">
        <v>245</v>
      </c>
      <c r="CF5" s="0" t="s">
        <v>245</v>
      </c>
      <c r="CG5" s="0" t="s">
        <v>245</v>
      </c>
      <c r="CH5" s="0" t="s">
        <v>2777</v>
      </c>
      <c r="CI5" s="0" t="s">
        <v>245</v>
      </c>
      <c r="CJ5" s="0" t="s">
        <v>245</v>
      </c>
      <c r="CK5" s="0" t="s">
        <v>245</v>
      </c>
      <c r="CL5" s="0" t="s">
        <v>245</v>
      </c>
      <c r="CM5" s="0" t="s">
        <v>245</v>
      </c>
      <c r="CN5" s="0" t="s">
        <v>2812</v>
      </c>
      <c r="CO5" s="0" t="s">
        <v>2784</v>
      </c>
      <c r="CP5" s="0" t="s">
        <v>2785</v>
      </c>
      <c r="CQ5" s="0" t="s">
        <v>2226</v>
      </c>
      <c r="CR5" s="0" t="s">
        <v>2817</v>
      </c>
      <c r="CS5" s="0" t="s">
        <v>2341</v>
      </c>
      <c r="CT5" s="0" t="s">
        <v>2226</v>
      </c>
      <c r="CU5" s="0" t="s">
        <v>701</v>
      </c>
      <c r="CV5" s="0" t="s">
        <v>2818</v>
      </c>
      <c r="CW5" s="0" t="s">
        <v>2817</v>
      </c>
      <c r="CX5" s="0" t="s">
        <v>2787</v>
      </c>
      <c r="CY5" s="0" t="s">
        <v>2819</v>
      </c>
    </row>
    <row customHeight="1" ht="11.25">
      <c r="A6" s="0" t="s">
        <v>245</v>
      </c>
      <c r="B6" s="0" t="s">
        <v>245</v>
      </c>
      <c r="C6" s="0" t="s">
        <v>245</v>
      </c>
      <c r="D6" s="0" t="s">
        <v>245</v>
      </c>
      <c r="E6" s="0" t="s">
        <v>245</v>
      </c>
      <c r="F6" s="0" t="s">
        <v>2759</v>
      </c>
      <c r="G6" s="0" t="s">
        <v>245</v>
      </c>
      <c r="H6" s="0" t="s">
        <v>245</v>
      </c>
      <c r="I6" s="0" t="s">
        <v>429</v>
      </c>
      <c r="J6" s="0" t="s">
        <v>245</v>
      </c>
      <c r="K6" s="0" t="s">
        <v>418</v>
      </c>
      <c r="L6" s="0" t="s">
        <v>245</v>
      </c>
      <c r="M6" s="0" t="s">
        <v>114</v>
      </c>
      <c r="N6" s="0" t="s">
        <v>245</v>
      </c>
      <c r="O6" s="0" t="s">
        <v>2760</v>
      </c>
      <c r="P6" s="0" t="s">
        <v>2761</v>
      </c>
      <c r="Q6" s="0" t="s">
        <v>2762</v>
      </c>
      <c r="R6" s="0" t="s">
        <v>200</v>
      </c>
      <c r="S6" s="0" t="s">
        <v>200</v>
      </c>
      <c r="T6" s="0" t="s">
        <v>395</v>
      </c>
      <c r="U6" s="0" t="s">
        <v>395</v>
      </c>
      <c r="V6" s="0" t="s">
        <v>2763</v>
      </c>
      <c r="W6" s="0" t="s">
        <v>2820</v>
      </c>
      <c r="X6" s="0" t="s">
        <v>2821</v>
      </c>
      <c r="Y6" s="0" t="s">
        <v>2822</v>
      </c>
      <c r="Z6" s="0" t="s">
        <v>637</v>
      </c>
      <c r="AA6" s="0" t="s">
        <v>2823</v>
      </c>
      <c r="AB6" s="0" t="s">
        <v>2824</v>
      </c>
      <c r="AC6" s="0" t="s">
        <v>2825</v>
      </c>
      <c r="AD6" s="0" t="s">
        <v>2771</v>
      </c>
      <c r="AE6" s="0" t="s">
        <v>2772</v>
      </c>
      <c r="AF6" s="0" t="s">
        <v>2773</v>
      </c>
      <c r="AG6" s="0" t="s">
        <v>2774</v>
      </c>
      <c r="AH6" s="0" t="s">
        <v>2775</v>
      </c>
      <c r="AI6" s="0" t="s">
        <v>2776</v>
      </c>
      <c r="AJ6" s="0" t="s">
        <v>2794</v>
      </c>
      <c r="AK6" s="0" t="s">
        <v>2826</v>
      </c>
      <c r="AL6" s="0" t="s">
        <v>2823</v>
      </c>
      <c r="AM6" s="0" t="s">
        <v>2824</v>
      </c>
      <c r="AN6" s="0" t="s">
        <v>2825</v>
      </c>
      <c r="AO6" s="0" t="s">
        <v>2827</v>
      </c>
      <c r="AP6" s="0" t="s">
        <v>2780</v>
      </c>
      <c r="AQ6" s="0" t="s">
        <v>2781</v>
      </c>
      <c r="AR6" s="0" t="s">
        <v>2783</v>
      </c>
      <c r="AS6" s="0" t="s">
        <v>2783</v>
      </c>
      <c r="AT6" s="0" t="s">
        <v>2777</v>
      </c>
      <c r="AU6" s="0" t="s">
        <v>2777</v>
      </c>
      <c r="AV6" s="0" t="s">
        <v>2777</v>
      </c>
      <c r="AW6" s="0" t="s">
        <v>2777</v>
      </c>
      <c r="AX6" s="0" t="s">
        <v>2777</v>
      </c>
      <c r="AY6" s="0" t="s">
        <v>2777</v>
      </c>
      <c r="AZ6" s="0" t="s">
        <v>2777</v>
      </c>
      <c r="BA6" s="0" t="s">
        <v>2777</v>
      </c>
      <c r="BB6" s="0" t="s">
        <v>2777</v>
      </c>
      <c r="BC6" s="0" t="s">
        <v>2777</v>
      </c>
      <c r="BD6" s="0" t="s">
        <v>2777</v>
      </c>
      <c r="BE6" s="0" t="s">
        <v>245</v>
      </c>
      <c r="BF6" s="0" t="s">
        <v>245</v>
      </c>
      <c r="BG6" s="0" t="s">
        <v>245</v>
      </c>
      <c r="BH6" s="0" t="s">
        <v>245</v>
      </c>
      <c r="BI6" s="0" t="s">
        <v>245</v>
      </c>
      <c r="BJ6" s="0" t="s">
        <v>2777</v>
      </c>
      <c r="BK6" s="0" t="s">
        <v>245</v>
      </c>
      <c r="BL6" s="0" t="s">
        <v>245</v>
      </c>
      <c r="BM6" s="0" t="s">
        <v>245</v>
      </c>
      <c r="BN6" s="0" t="s">
        <v>245</v>
      </c>
      <c r="BO6" s="0" t="s">
        <v>245</v>
      </c>
      <c r="BP6" s="0" t="s">
        <v>2783</v>
      </c>
      <c r="BQ6" s="0" t="s">
        <v>2783</v>
      </c>
      <c r="BR6" s="0" t="s">
        <v>245</v>
      </c>
      <c r="BS6" s="0" t="s">
        <v>245</v>
      </c>
      <c r="BT6" s="0" t="s">
        <v>245</v>
      </c>
      <c r="BU6" s="0" t="s">
        <v>245</v>
      </c>
      <c r="BV6" s="0" t="s">
        <v>2777</v>
      </c>
      <c r="BW6" s="0" t="s">
        <v>245</v>
      </c>
      <c r="BX6" s="0" t="s">
        <v>245</v>
      </c>
      <c r="BY6" s="0" t="s">
        <v>245</v>
      </c>
      <c r="BZ6" s="0" t="s">
        <v>245</v>
      </c>
      <c r="CA6" s="0" t="s">
        <v>245</v>
      </c>
      <c r="CB6" s="0" t="s">
        <v>2777</v>
      </c>
      <c r="CC6" s="0" t="s">
        <v>245</v>
      </c>
      <c r="CD6" s="0" t="s">
        <v>245</v>
      </c>
      <c r="CE6" s="0" t="s">
        <v>245</v>
      </c>
      <c r="CF6" s="0" t="s">
        <v>245</v>
      </c>
      <c r="CG6" s="0" t="s">
        <v>245</v>
      </c>
      <c r="CH6" s="0" t="s">
        <v>2777</v>
      </c>
      <c r="CI6" s="0" t="s">
        <v>245</v>
      </c>
      <c r="CJ6" s="0" t="s">
        <v>245</v>
      </c>
      <c r="CK6" s="0" t="s">
        <v>245</v>
      </c>
      <c r="CL6" s="0" t="s">
        <v>245</v>
      </c>
      <c r="CM6" s="0" t="s">
        <v>245</v>
      </c>
      <c r="CN6" s="0" t="s">
        <v>2794</v>
      </c>
      <c r="CO6" s="0" t="s">
        <v>2784</v>
      </c>
      <c r="CP6" s="0" t="s">
        <v>2785</v>
      </c>
      <c r="CQ6" s="0" t="s">
        <v>420</v>
      </c>
      <c r="CR6" s="0" t="s">
        <v>2786</v>
      </c>
      <c r="CS6" s="0" t="s">
        <v>421</v>
      </c>
      <c r="CT6" s="0" t="s">
        <v>420</v>
      </c>
      <c r="CU6" s="0" t="s">
        <v>422</v>
      </c>
      <c r="CV6" s="0" t="s">
        <v>423</v>
      </c>
      <c r="CW6" s="0" t="s">
        <v>2786</v>
      </c>
      <c r="CX6" s="0" t="s">
        <v>2787</v>
      </c>
      <c r="CY6" s="0" t="s">
        <v>419</v>
      </c>
    </row>
    <row customHeight="1" ht="11.25">
      <c r="A7" s="0" t="s">
        <v>245</v>
      </c>
      <c r="B7" s="0" t="s">
        <v>245</v>
      </c>
      <c r="C7" s="0" t="s">
        <v>245</v>
      </c>
      <c r="D7" s="0" t="s">
        <v>245</v>
      </c>
      <c r="E7" s="0" t="s">
        <v>245</v>
      </c>
      <c r="F7" s="0" t="s">
        <v>2759</v>
      </c>
      <c r="G7" s="0" t="s">
        <v>245</v>
      </c>
      <c r="H7" s="0" t="s">
        <v>245</v>
      </c>
      <c r="I7" s="0" t="s">
        <v>432</v>
      </c>
      <c r="J7" s="0" t="s">
        <v>245</v>
      </c>
      <c r="K7" s="0" t="s">
        <v>424</v>
      </c>
      <c r="L7" s="0" t="s">
        <v>245</v>
      </c>
      <c r="M7" s="0" t="s">
        <v>114</v>
      </c>
      <c r="N7" s="0" t="s">
        <v>245</v>
      </c>
      <c r="O7" s="0" t="s">
        <v>2760</v>
      </c>
      <c r="P7" s="0" t="s">
        <v>2761</v>
      </c>
      <c r="Q7" s="0" t="s">
        <v>2762</v>
      </c>
      <c r="R7" s="0" t="s">
        <v>200</v>
      </c>
      <c r="S7" s="0" t="s">
        <v>200</v>
      </c>
      <c r="T7" s="0" t="s">
        <v>395</v>
      </c>
      <c r="U7" s="0" t="s">
        <v>395</v>
      </c>
      <c r="V7" s="0" t="s">
        <v>2763</v>
      </c>
      <c r="W7" s="0" t="s">
        <v>2828</v>
      </c>
      <c r="X7" s="0" t="s">
        <v>2829</v>
      </c>
      <c r="Y7" s="0" t="s">
        <v>2830</v>
      </c>
      <c r="Z7" s="0" t="s">
        <v>2831</v>
      </c>
      <c r="AA7" s="0" t="s">
        <v>2824</v>
      </c>
      <c r="AB7" s="0" t="s">
        <v>2832</v>
      </c>
      <c r="AC7" s="0" t="s">
        <v>2833</v>
      </c>
      <c r="AD7" s="0" t="s">
        <v>2771</v>
      </c>
      <c r="AE7" s="0" t="s">
        <v>2772</v>
      </c>
      <c r="AF7" s="0" t="s">
        <v>2773</v>
      </c>
      <c r="AG7" s="0" t="s">
        <v>2774</v>
      </c>
      <c r="AH7" s="0" t="s">
        <v>2775</v>
      </c>
      <c r="AI7" s="0" t="s">
        <v>2776</v>
      </c>
      <c r="AJ7" s="0" t="s">
        <v>2794</v>
      </c>
      <c r="AK7" s="0" t="s">
        <v>2834</v>
      </c>
      <c r="AL7" s="0" t="s">
        <v>2824</v>
      </c>
      <c r="AM7" s="0" t="s">
        <v>2832</v>
      </c>
      <c r="AN7" s="0" t="s">
        <v>2833</v>
      </c>
      <c r="AO7" s="0" t="s">
        <v>2827</v>
      </c>
      <c r="AP7" s="0" t="s">
        <v>2780</v>
      </c>
      <c r="AQ7" s="0" t="s">
        <v>2781</v>
      </c>
      <c r="AR7" s="0" t="s">
        <v>2783</v>
      </c>
      <c r="AS7" s="0" t="s">
        <v>2783</v>
      </c>
      <c r="AT7" s="0" t="s">
        <v>2777</v>
      </c>
      <c r="AU7" s="0" t="s">
        <v>2777</v>
      </c>
      <c r="AV7" s="0" t="s">
        <v>2777</v>
      </c>
      <c r="AW7" s="0" t="s">
        <v>2777</v>
      </c>
      <c r="AX7" s="0" t="s">
        <v>2777</v>
      </c>
      <c r="AY7" s="0" t="s">
        <v>2777</v>
      </c>
      <c r="AZ7" s="0" t="s">
        <v>2777</v>
      </c>
      <c r="BA7" s="0" t="s">
        <v>2777</v>
      </c>
      <c r="BB7" s="0" t="s">
        <v>2777</v>
      </c>
      <c r="BC7" s="0" t="s">
        <v>2777</v>
      </c>
      <c r="BD7" s="0" t="s">
        <v>2777</v>
      </c>
      <c r="BE7" s="0" t="s">
        <v>245</v>
      </c>
      <c r="BF7" s="0" t="s">
        <v>245</v>
      </c>
      <c r="BG7" s="0" t="s">
        <v>245</v>
      </c>
      <c r="BH7" s="0" t="s">
        <v>245</v>
      </c>
      <c r="BI7" s="0" t="s">
        <v>245</v>
      </c>
      <c r="BJ7" s="0" t="s">
        <v>2777</v>
      </c>
      <c r="BK7" s="0" t="s">
        <v>245</v>
      </c>
      <c r="BL7" s="0" t="s">
        <v>245</v>
      </c>
      <c r="BM7" s="0" t="s">
        <v>245</v>
      </c>
      <c r="BN7" s="0" t="s">
        <v>245</v>
      </c>
      <c r="BO7" s="0" t="s">
        <v>245</v>
      </c>
      <c r="BP7" s="0" t="s">
        <v>2783</v>
      </c>
      <c r="BQ7" s="0" t="s">
        <v>2783</v>
      </c>
      <c r="BR7" s="0" t="s">
        <v>245</v>
      </c>
      <c r="BS7" s="0" t="s">
        <v>245</v>
      </c>
      <c r="BT7" s="0" t="s">
        <v>245</v>
      </c>
      <c r="BU7" s="0" t="s">
        <v>245</v>
      </c>
      <c r="BV7" s="0" t="s">
        <v>2777</v>
      </c>
      <c r="BW7" s="0" t="s">
        <v>245</v>
      </c>
      <c r="BX7" s="0" t="s">
        <v>245</v>
      </c>
      <c r="BY7" s="0" t="s">
        <v>245</v>
      </c>
      <c r="BZ7" s="0" t="s">
        <v>245</v>
      </c>
      <c r="CA7" s="0" t="s">
        <v>245</v>
      </c>
      <c r="CB7" s="0" t="s">
        <v>2777</v>
      </c>
      <c r="CC7" s="0" t="s">
        <v>245</v>
      </c>
      <c r="CD7" s="0" t="s">
        <v>245</v>
      </c>
      <c r="CE7" s="0" t="s">
        <v>245</v>
      </c>
      <c r="CF7" s="0" t="s">
        <v>245</v>
      </c>
      <c r="CG7" s="0" t="s">
        <v>245</v>
      </c>
      <c r="CH7" s="0" t="s">
        <v>2777</v>
      </c>
      <c r="CI7" s="0" t="s">
        <v>245</v>
      </c>
      <c r="CJ7" s="0" t="s">
        <v>245</v>
      </c>
      <c r="CK7" s="0" t="s">
        <v>245</v>
      </c>
      <c r="CL7" s="0" t="s">
        <v>245</v>
      </c>
      <c r="CM7" s="0" t="s">
        <v>245</v>
      </c>
      <c r="CN7" s="0" t="s">
        <v>2794</v>
      </c>
      <c r="CO7" s="0" t="s">
        <v>2784</v>
      </c>
      <c r="CP7" s="0" t="s">
        <v>2785</v>
      </c>
      <c r="CQ7" s="0" t="s">
        <v>420</v>
      </c>
      <c r="CR7" s="0" t="s">
        <v>2786</v>
      </c>
      <c r="CS7" s="0" t="s">
        <v>421</v>
      </c>
      <c r="CT7" s="0" t="s">
        <v>420</v>
      </c>
      <c r="CU7" s="0" t="s">
        <v>422</v>
      </c>
      <c r="CV7" s="0" t="s">
        <v>423</v>
      </c>
      <c r="CW7" s="0" t="s">
        <v>2786</v>
      </c>
      <c r="CX7" s="0" t="s">
        <v>2787</v>
      </c>
      <c r="CY7" s="0" t="s">
        <v>425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E326C-2988-A8A8-C968-8D6BB8F25D9E}"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2835</v>
      </c>
      <c r="B1" s="0" t="s">
        <v>2836</v>
      </c>
      <c r="C1" s="0" t="s">
        <v>2837</v>
      </c>
    </row>
    <row customHeight="1" ht="11.25">
      <c r="A2" s="0" t="s">
        <v>2838</v>
      </c>
      <c r="B2" s="0" t="s">
        <v>2838</v>
      </c>
      <c r="C2" s="0" t="s">
        <v>2839</v>
      </c>
    </row>
    <row customHeight="1" ht="11.25">
      <c r="A3" s="0" t="s">
        <v>2840</v>
      </c>
      <c r="B3" s="0" t="s">
        <v>2840</v>
      </c>
      <c r="C3" s="0" t="s">
        <v>2841</v>
      </c>
    </row>
    <row customHeight="1" ht="11.25">
      <c r="A4" s="0" t="s">
        <v>2842</v>
      </c>
      <c r="B4" s="0" t="s">
        <v>2842</v>
      </c>
      <c r="C4" s="0" t="s">
        <v>2843</v>
      </c>
    </row>
    <row customHeight="1" ht="11.25">
      <c r="A5" s="0" t="s">
        <v>2844</v>
      </c>
      <c r="B5" s="0" t="s">
        <v>2844</v>
      </c>
      <c r="C5" s="0" t="s">
        <v>2845</v>
      </c>
    </row>
    <row customHeight="1" ht="11.25">
      <c r="A6" s="0" t="s">
        <v>2846</v>
      </c>
      <c r="B6" s="0" t="s">
        <v>2846</v>
      </c>
      <c r="C6" s="0" t="s">
        <v>2847</v>
      </c>
    </row>
    <row customHeight="1" ht="11.25">
      <c r="A7" s="0" t="s">
        <v>395</v>
      </c>
      <c r="B7" s="0" t="s">
        <v>395</v>
      </c>
      <c r="C7" s="0" t="s">
        <v>396</v>
      </c>
    </row>
    <row customHeight="1" ht="11.25">
      <c r="A8" s="0" t="s">
        <v>395</v>
      </c>
      <c r="B8" s="0" t="s">
        <v>395</v>
      </c>
      <c r="C8" s="0" t="s">
        <v>2763</v>
      </c>
    </row>
    <row customHeight="1" ht="11.25">
      <c r="A9" s="0" t="s">
        <v>2848</v>
      </c>
      <c r="B9" s="0" t="s">
        <v>2848</v>
      </c>
      <c r="C9" s="0" t="s">
        <v>2849</v>
      </c>
    </row>
    <row customHeight="1" ht="11.25">
      <c r="A10" s="0" t="s">
        <v>2850</v>
      </c>
      <c r="B10" s="0" t="s">
        <v>2850</v>
      </c>
      <c r="C10" s="0" t="s">
        <v>2851</v>
      </c>
    </row>
    <row customHeight="1" ht="11.25">
      <c r="A11" s="0" t="s">
        <v>2852</v>
      </c>
      <c r="B11" s="0" t="s">
        <v>2852</v>
      </c>
      <c r="C11" s="0" t="s">
        <v>2853</v>
      </c>
    </row>
    <row customHeight="1" ht="11.25">
      <c r="A12" s="0" t="s">
        <v>2854</v>
      </c>
      <c r="B12" s="0" t="s">
        <v>2854</v>
      </c>
      <c r="C12" s="0" t="s">
        <v>2855</v>
      </c>
    </row>
    <row customHeight="1" ht="11.25">
      <c r="A13" s="0" t="s">
        <v>2856</v>
      </c>
      <c r="B13" s="0" t="s">
        <v>2856</v>
      </c>
      <c r="C13" s="0" t="s">
        <v>2857</v>
      </c>
    </row>
    <row customHeight="1" ht="11.25">
      <c r="A14" s="0" t="s">
        <v>2858</v>
      </c>
      <c r="B14" s="0" t="s">
        <v>2858</v>
      </c>
      <c r="C14" s="0" t="s">
        <v>2859</v>
      </c>
    </row>
    <row customHeight="1" ht="11.25">
      <c r="A15" s="0" t="s">
        <v>2860</v>
      </c>
      <c r="B15" s="0" t="s">
        <v>2860</v>
      </c>
      <c r="C15" s="0" t="s">
        <v>2861</v>
      </c>
    </row>
    <row customHeight="1" ht="11.25">
      <c r="A16" s="0" t="s">
        <v>2862</v>
      </c>
      <c r="B16" s="0" t="s">
        <v>2862</v>
      </c>
      <c r="C16" s="0" t="s">
        <v>2863</v>
      </c>
    </row>
    <row customHeight="1" ht="11.25">
      <c r="A17" s="0" t="s">
        <v>2864</v>
      </c>
      <c r="B17" s="0" t="s">
        <v>2864</v>
      </c>
      <c r="C17" s="0" t="s">
        <v>2865</v>
      </c>
    </row>
    <row customHeight="1" ht="11.25">
      <c r="A18" s="0" t="s">
        <v>2866</v>
      </c>
      <c r="B18" s="0" t="s">
        <v>2866</v>
      </c>
      <c r="C18" s="0" t="s">
        <v>2867</v>
      </c>
    </row>
    <row customHeight="1" ht="11.25">
      <c r="A19" s="0" t="s">
        <v>2868</v>
      </c>
      <c r="B19" s="0" t="s">
        <v>2868</v>
      </c>
      <c r="C19" s="0" t="s">
        <v>2869</v>
      </c>
    </row>
    <row customHeight="1" ht="11.25">
      <c r="A20" s="0" t="s">
        <v>2870</v>
      </c>
      <c r="B20" s="0" t="s">
        <v>2870</v>
      </c>
      <c r="C20" s="0" t="s">
        <v>2871</v>
      </c>
    </row>
    <row customHeight="1" ht="11.25">
      <c r="A21" s="0" t="s">
        <v>2872</v>
      </c>
      <c r="B21" s="0" t="s">
        <v>2872</v>
      </c>
      <c r="C21" s="0" t="s">
        <v>2873</v>
      </c>
    </row>
    <row customHeight="1" ht="11.25">
      <c r="A22" s="0" t="s">
        <v>2874</v>
      </c>
      <c r="B22" s="0" t="s">
        <v>2875</v>
      </c>
      <c r="C22" s="0" t="s">
        <v>2876</v>
      </c>
    </row>
    <row customHeight="1" ht="11.25">
      <c r="A23" s="0" t="s">
        <v>2874</v>
      </c>
      <c r="B23" s="0" t="s">
        <v>2877</v>
      </c>
      <c r="C23" s="0" t="s">
        <v>2878</v>
      </c>
    </row>
    <row customHeight="1" ht="11.25">
      <c r="A24" s="0" t="s">
        <v>2874</v>
      </c>
      <c r="B24" s="0" t="s">
        <v>2879</v>
      </c>
      <c r="C24" s="0" t="s">
        <v>2880</v>
      </c>
    </row>
    <row customHeight="1" ht="11.25">
      <c r="A25" s="0" t="s">
        <v>2874</v>
      </c>
      <c r="B25" s="0" t="s">
        <v>2881</v>
      </c>
      <c r="C25" s="0" t="s">
        <v>2882</v>
      </c>
    </row>
    <row customHeight="1" ht="11.25">
      <c r="A26" s="0" t="s">
        <v>2874</v>
      </c>
      <c r="B26" s="0" t="s">
        <v>2883</v>
      </c>
      <c r="C26" s="0" t="s">
        <v>2884</v>
      </c>
    </row>
    <row customHeight="1" ht="11.25">
      <c r="A27" s="0" t="s">
        <v>2874</v>
      </c>
      <c r="B27" s="0" t="s">
        <v>2885</v>
      </c>
      <c r="C27" s="0" t="s">
        <v>2886</v>
      </c>
    </row>
    <row customHeight="1" ht="11.25">
      <c r="A28" s="0" t="s">
        <v>2874</v>
      </c>
      <c r="B28" s="0" t="s">
        <v>2887</v>
      </c>
      <c r="C28" s="0" t="s">
        <v>2888</v>
      </c>
    </row>
    <row customHeight="1" ht="11.25">
      <c r="A29" s="0" t="s">
        <v>2874</v>
      </c>
      <c r="B29" s="0" t="s">
        <v>2889</v>
      </c>
      <c r="C29" s="0" t="s">
        <v>2890</v>
      </c>
    </row>
    <row customHeight="1" ht="11.25">
      <c r="A30" s="0" t="s">
        <v>2891</v>
      </c>
      <c r="B30" s="0" t="s">
        <v>2892</v>
      </c>
      <c r="C30" s="0" t="s">
        <v>2893</v>
      </c>
    </row>
    <row customHeight="1" ht="11.25">
      <c r="A31" s="0" t="s">
        <v>2891</v>
      </c>
      <c r="B31" s="0" t="s">
        <v>2894</v>
      </c>
      <c r="C31" s="0" t="s">
        <v>2895</v>
      </c>
    </row>
    <row customHeight="1" ht="11.25">
      <c r="A32" s="0" t="s">
        <v>2891</v>
      </c>
      <c r="B32" s="0" t="s">
        <v>2896</v>
      </c>
      <c r="C32" s="0" t="s">
        <v>2897</v>
      </c>
    </row>
    <row customHeight="1" ht="11.25">
      <c r="A33" s="0" t="s">
        <v>2891</v>
      </c>
      <c r="B33" s="0" t="s">
        <v>2898</v>
      </c>
      <c r="C33" s="0" t="s">
        <v>2899</v>
      </c>
    </row>
    <row customHeight="1" ht="11.25">
      <c r="A34" s="0" t="s">
        <v>2891</v>
      </c>
      <c r="B34" s="0" t="s">
        <v>2900</v>
      </c>
      <c r="C34" s="0" t="s">
        <v>2901</v>
      </c>
    </row>
    <row customHeight="1" ht="11.25">
      <c r="A35" s="0" t="s">
        <v>2891</v>
      </c>
      <c r="B35" s="0" t="s">
        <v>2902</v>
      </c>
      <c r="C35" s="0" t="s">
        <v>2903</v>
      </c>
    </row>
    <row customHeight="1" ht="11.25">
      <c r="A36" s="0" t="s">
        <v>2891</v>
      </c>
      <c r="B36" s="0" t="s">
        <v>2904</v>
      </c>
      <c r="C36" s="0" t="s">
        <v>2905</v>
      </c>
    </row>
    <row customHeight="1" ht="11.25">
      <c r="A37" s="0" t="s">
        <v>2891</v>
      </c>
      <c r="B37" s="0" t="s">
        <v>2906</v>
      </c>
      <c r="C37" s="0" t="s">
        <v>2907</v>
      </c>
    </row>
    <row customHeight="1" ht="11.25">
      <c r="A38" s="0" t="s">
        <v>2891</v>
      </c>
      <c r="B38" s="0" t="s">
        <v>2908</v>
      </c>
      <c r="C38" s="0" t="s">
        <v>2909</v>
      </c>
    </row>
    <row customHeight="1" ht="11.25">
      <c r="A39" s="0" t="s">
        <v>2910</v>
      </c>
      <c r="B39" s="0" t="s">
        <v>2911</v>
      </c>
      <c r="C39" s="0" t="s">
        <v>2912</v>
      </c>
    </row>
    <row customHeight="1" ht="11.25">
      <c r="A40" s="0" t="s">
        <v>2910</v>
      </c>
      <c r="B40" s="0" t="s">
        <v>2913</v>
      </c>
      <c r="C40" s="0" t="s">
        <v>2914</v>
      </c>
    </row>
    <row customHeight="1" ht="11.25">
      <c r="A41" s="0" t="s">
        <v>2910</v>
      </c>
      <c r="B41" s="0" t="s">
        <v>2915</v>
      </c>
      <c r="C41" s="0" t="s">
        <v>2916</v>
      </c>
    </row>
    <row customHeight="1" ht="11.25">
      <c r="A42" s="0" t="s">
        <v>2910</v>
      </c>
      <c r="B42" s="0" t="s">
        <v>2917</v>
      </c>
      <c r="C42" s="0" t="s">
        <v>2918</v>
      </c>
    </row>
    <row customHeight="1" ht="11.25">
      <c r="A43" s="0" t="s">
        <v>2910</v>
      </c>
      <c r="B43" s="0" t="s">
        <v>2919</v>
      </c>
      <c r="C43" s="0" t="s">
        <v>2920</v>
      </c>
    </row>
    <row customHeight="1" ht="11.25">
      <c r="A44" s="0" t="s">
        <v>2910</v>
      </c>
      <c r="B44" s="0" t="s">
        <v>2921</v>
      </c>
      <c r="C44" s="0" t="s">
        <v>2922</v>
      </c>
    </row>
    <row customHeight="1" ht="11.25">
      <c r="A45" s="0" t="s">
        <v>2910</v>
      </c>
      <c r="B45" s="0" t="s">
        <v>2923</v>
      </c>
      <c r="C45" s="0" t="s">
        <v>2924</v>
      </c>
    </row>
    <row customHeight="1" ht="11.25">
      <c r="A46" s="0" t="s">
        <v>2925</v>
      </c>
      <c r="B46" s="0" t="s">
        <v>2926</v>
      </c>
      <c r="C46" s="0" t="s">
        <v>2927</v>
      </c>
    </row>
    <row customHeight="1" ht="11.25">
      <c r="A47" s="0" t="s">
        <v>2925</v>
      </c>
      <c r="B47" s="0" t="s">
        <v>2928</v>
      </c>
      <c r="C47" s="0" t="s">
        <v>2929</v>
      </c>
    </row>
    <row customHeight="1" ht="11.25">
      <c r="A48" s="0" t="s">
        <v>2925</v>
      </c>
      <c r="B48" s="0" t="s">
        <v>2930</v>
      </c>
      <c r="C48" s="0" t="s">
        <v>2931</v>
      </c>
    </row>
    <row customHeight="1" ht="11.25">
      <c r="A49" s="0" t="s">
        <v>2925</v>
      </c>
      <c r="B49" s="0" t="s">
        <v>2932</v>
      </c>
      <c r="C49" s="0" t="s">
        <v>2933</v>
      </c>
    </row>
    <row customHeight="1" ht="11.25">
      <c r="A50" s="0" t="s">
        <v>2925</v>
      </c>
      <c r="B50" s="0" t="s">
        <v>2934</v>
      </c>
      <c r="C50" s="0" t="s">
        <v>2935</v>
      </c>
    </row>
    <row customHeight="1" ht="11.25">
      <c r="A51" s="0" t="s">
        <v>2925</v>
      </c>
      <c r="B51" s="0" t="s">
        <v>2936</v>
      </c>
      <c r="C51" s="0" t="s">
        <v>2937</v>
      </c>
    </row>
    <row customHeight="1" ht="11.25">
      <c r="A52" s="0" t="s">
        <v>2925</v>
      </c>
      <c r="B52" s="0" t="s">
        <v>2938</v>
      </c>
      <c r="C52" s="0" t="s">
        <v>2939</v>
      </c>
    </row>
    <row customHeight="1" ht="11.25">
      <c r="A53" s="0" t="s">
        <v>2925</v>
      </c>
      <c r="B53" s="0" t="s">
        <v>2940</v>
      </c>
      <c r="C53" s="0" t="s">
        <v>2941</v>
      </c>
    </row>
    <row customHeight="1" ht="11.25">
      <c r="A54" s="0" t="s">
        <v>2925</v>
      </c>
      <c r="B54" s="0" t="s">
        <v>2942</v>
      </c>
      <c r="C54" s="0" t="s">
        <v>2943</v>
      </c>
    </row>
    <row customHeight="1" ht="11.25">
      <c r="A55" s="0" t="s">
        <v>2944</v>
      </c>
      <c r="B55" s="0" t="s">
        <v>2944</v>
      </c>
      <c r="C55" s="0" t="s">
        <v>2945</v>
      </c>
    </row>
    <row customHeight="1" ht="11.25">
      <c r="A56" s="0" t="s">
        <v>2944</v>
      </c>
      <c r="B56" s="0" t="s">
        <v>2946</v>
      </c>
      <c r="C56" s="0" t="s">
        <v>2947</v>
      </c>
    </row>
    <row customHeight="1" ht="11.25">
      <c r="A57" s="0" t="s">
        <v>2944</v>
      </c>
      <c r="B57" s="0" t="s">
        <v>2948</v>
      </c>
      <c r="C57" s="0" t="s">
        <v>2949</v>
      </c>
    </row>
    <row customHeight="1" ht="11.25">
      <c r="A58" s="0" t="s">
        <v>2944</v>
      </c>
      <c r="B58" s="0" t="s">
        <v>2950</v>
      </c>
      <c r="C58" s="0" t="s">
        <v>2951</v>
      </c>
    </row>
    <row customHeight="1" ht="11.25">
      <c r="A59" s="0" t="s">
        <v>2944</v>
      </c>
      <c r="B59" s="0" t="s">
        <v>2952</v>
      </c>
      <c r="C59" s="0" t="s">
        <v>2953</v>
      </c>
    </row>
    <row customHeight="1" ht="11.25">
      <c r="A60" s="0" t="s">
        <v>2944</v>
      </c>
      <c r="B60" s="0" t="s">
        <v>2954</v>
      </c>
      <c r="C60" s="0" t="s">
        <v>2955</v>
      </c>
    </row>
    <row customHeight="1" ht="11.25">
      <c r="A61" s="0" t="s">
        <v>2944</v>
      </c>
      <c r="B61" s="0" t="s">
        <v>2956</v>
      </c>
      <c r="C61" s="0" t="s">
        <v>2957</v>
      </c>
    </row>
    <row customHeight="1" ht="11.25">
      <c r="A62" s="0" t="s">
        <v>2944</v>
      </c>
      <c r="B62" s="0" t="s">
        <v>2958</v>
      </c>
      <c r="C62" s="0" t="s">
        <v>2959</v>
      </c>
    </row>
    <row customHeight="1" ht="11.25">
      <c r="A63" s="0" t="s">
        <v>2944</v>
      </c>
      <c r="B63" s="0" t="s">
        <v>2960</v>
      </c>
      <c r="C63" s="0" t="s">
        <v>2961</v>
      </c>
    </row>
    <row customHeight="1" ht="11.25">
      <c r="A64" s="0" t="s">
        <v>2944</v>
      </c>
      <c r="B64" s="0" t="s">
        <v>2962</v>
      </c>
      <c r="C64" s="0" t="s">
        <v>2963</v>
      </c>
    </row>
    <row customHeight="1" ht="11.25">
      <c r="A65" s="0" t="s">
        <v>2944</v>
      </c>
      <c r="B65" s="0" t="s">
        <v>2964</v>
      </c>
      <c r="C65" s="0" t="s">
        <v>2965</v>
      </c>
    </row>
    <row customHeight="1" ht="11.25">
      <c r="A66" s="0" t="s">
        <v>2944</v>
      </c>
      <c r="B66" s="0" t="s">
        <v>2966</v>
      </c>
      <c r="C66" s="0" t="s">
        <v>2967</v>
      </c>
    </row>
    <row customHeight="1" ht="11.25">
      <c r="A67" s="0" t="s">
        <v>2968</v>
      </c>
      <c r="B67" s="0" t="s">
        <v>2968</v>
      </c>
      <c r="C67" s="0" t="s">
        <v>2969</v>
      </c>
    </row>
    <row customHeight="1" ht="11.25">
      <c r="A68" s="0" t="s">
        <v>2968</v>
      </c>
      <c r="B68" s="0" t="s">
        <v>2970</v>
      </c>
      <c r="C68" s="0" t="s">
        <v>2971</v>
      </c>
    </row>
    <row customHeight="1" ht="11.25">
      <c r="A69" s="0" t="s">
        <v>2968</v>
      </c>
      <c r="B69" s="0" t="s">
        <v>2972</v>
      </c>
      <c r="C69" s="0" t="s">
        <v>2973</v>
      </c>
    </row>
    <row customHeight="1" ht="11.25">
      <c r="A70" s="0" t="s">
        <v>2968</v>
      </c>
      <c r="B70" s="0" t="s">
        <v>2974</v>
      </c>
      <c r="C70" s="0" t="s">
        <v>2975</v>
      </c>
    </row>
    <row customHeight="1" ht="11.25">
      <c r="A71" s="0" t="s">
        <v>2968</v>
      </c>
      <c r="B71" s="0" t="s">
        <v>2976</v>
      </c>
      <c r="C71" s="0" t="s">
        <v>2977</v>
      </c>
    </row>
    <row customHeight="1" ht="11.25">
      <c r="A72" s="0" t="s">
        <v>2968</v>
      </c>
      <c r="B72" s="0" t="s">
        <v>2978</v>
      </c>
      <c r="C72" s="0" t="s">
        <v>2979</v>
      </c>
    </row>
    <row customHeight="1" ht="11.25">
      <c r="A73" s="0" t="s">
        <v>2968</v>
      </c>
      <c r="B73" s="0" t="s">
        <v>2980</v>
      </c>
      <c r="C73" s="0" t="s">
        <v>2981</v>
      </c>
    </row>
    <row customHeight="1" ht="11.25">
      <c r="A74" s="0" t="s">
        <v>2968</v>
      </c>
      <c r="B74" s="0" t="s">
        <v>2982</v>
      </c>
      <c r="C74" s="0" t="s">
        <v>2983</v>
      </c>
    </row>
    <row customHeight="1" ht="11.25">
      <c r="A75" s="0" t="s">
        <v>2968</v>
      </c>
      <c r="B75" s="0" t="s">
        <v>2984</v>
      </c>
      <c r="C75" s="0" t="s">
        <v>2985</v>
      </c>
    </row>
    <row customHeight="1" ht="11.25">
      <c r="A76" s="0" t="s">
        <v>2986</v>
      </c>
      <c r="B76" s="0" t="s">
        <v>2987</v>
      </c>
      <c r="C76" s="0" t="s">
        <v>2988</v>
      </c>
    </row>
    <row customHeight="1" ht="11.25">
      <c r="A77" s="0" t="s">
        <v>2986</v>
      </c>
      <c r="B77" s="0" t="s">
        <v>2989</v>
      </c>
      <c r="C77" s="0" t="s">
        <v>2990</v>
      </c>
    </row>
    <row customHeight="1" ht="11.25">
      <c r="A78" s="0" t="s">
        <v>2986</v>
      </c>
      <c r="B78" s="0" t="s">
        <v>2991</v>
      </c>
      <c r="C78" s="0" t="s">
        <v>2992</v>
      </c>
    </row>
    <row customHeight="1" ht="11.25">
      <c r="A79" s="0" t="s">
        <v>2986</v>
      </c>
      <c r="B79" s="0" t="s">
        <v>2993</v>
      </c>
      <c r="C79" s="0" t="s">
        <v>2994</v>
      </c>
    </row>
    <row customHeight="1" ht="11.25">
      <c r="A80" s="0" t="s">
        <v>2986</v>
      </c>
      <c r="B80" s="0" t="s">
        <v>2995</v>
      </c>
      <c r="C80" s="0" t="s">
        <v>2996</v>
      </c>
    </row>
    <row customHeight="1" ht="11.25">
      <c r="A81" s="0" t="s">
        <v>2986</v>
      </c>
      <c r="B81" s="0" t="s">
        <v>2997</v>
      </c>
      <c r="C81" s="0" t="s">
        <v>2998</v>
      </c>
    </row>
    <row customHeight="1" ht="11.25">
      <c r="A82" s="0" t="s">
        <v>2986</v>
      </c>
      <c r="B82" s="0" t="s">
        <v>2999</v>
      </c>
      <c r="C82" s="0" t="s">
        <v>3000</v>
      </c>
    </row>
    <row customHeight="1" ht="11.25">
      <c r="A83" s="0" t="s">
        <v>2986</v>
      </c>
      <c r="B83" s="0" t="s">
        <v>3001</v>
      </c>
      <c r="C83" s="0" t="s">
        <v>3002</v>
      </c>
    </row>
    <row customHeight="1" ht="11.25">
      <c r="A84" s="0" t="s">
        <v>2986</v>
      </c>
      <c r="B84" s="0" t="s">
        <v>3003</v>
      </c>
      <c r="C84" s="0" t="s">
        <v>3004</v>
      </c>
    </row>
    <row customHeight="1" ht="11.25">
      <c r="A85" s="0" t="s">
        <v>2986</v>
      </c>
      <c r="B85" s="0" t="s">
        <v>3005</v>
      </c>
      <c r="C85" s="0" t="s">
        <v>3006</v>
      </c>
    </row>
    <row customHeight="1" ht="11.25">
      <c r="A86" s="0" t="s">
        <v>2986</v>
      </c>
      <c r="B86" s="0" t="s">
        <v>3007</v>
      </c>
      <c r="C86" s="0" t="s">
        <v>3008</v>
      </c>
    </row>
    <row customHeight="1" ht="11.25">
      <c r="A87" s="0" t="s">
        <v>2986</v>
      </c>
      <c r="B87" s="0" t="s">
        <v>3009</v>
      </c>
      <c r="C87" s="0" t="s">
        <v>3010</v>
      </c>
    </row>
    <row customHeight="1" ht="11.25">
      <c r="A88" s="0" t="s">
        <v>2986</v>
      </c>
      <c r="B88" s="0" t="s">
        <v>3011</v>
      </c>
      <c r="C88" s="0" t="s">
        <v>3012</v>
      </c>
    </row>
    <row customHeight="1" ht="11.25">
      <c r="A89" s="0" t="s">
        <v>3013</v>
      </c>
      <c r="B89" s="0" t="s">
        <v>3013</v>
      </c>
      <c r="C89" s="0" t="s">
        <v>3014</v>
      </c>
    </row>
    <row customHeight="1" ht="11.25">
      <c r="A90" s="0" t="s">
        <v>3013</v>
      </c>
      <c r="B90" s="0" t="s">
        <v>3015</v>
      </c>
      <c r="C90" s="0" t="s">
        <v>3016</v>
      </c>
    </row>
    <row customHeight="1" ht="11.25">
      <c r="A91" s="0" t="s">
        <v>3013</v>
      </c>
      <c r="B91" s="0" t="s">
        <v>3017</v>
      </c>
      <c r="C91" s="0" t="s">
        <v>3018</v>
      </c>
    </row>
    <row customHeight="1" ht="11.25">
      <c r="A92" s="0" t="s">
        <v>3013</v>
      </c>
      <c r="B92" s="0" t="s">
        <v>3019</v>
      </c>
      <c r="C92" s="0" t="s">
        <v>3020</v>
      </c>
    </row>
    <row customHeight="1" ht="11.25">
      <c r="A93" s="0" t="s">
        <v>3013</v>
      </c>
      <c r="B93" s="0" t="s">
        <v>3021</v>
      </c>
      <c r="C93" s="0" t="s">
        <v>3022</v>
      </c>
    </row>
    <row customHeight="1" ht="11.25">
      <c r="A94" s="0" t="s">
        <v>3013</v>
      </c>
      <c r="B94" s="0" t="s">
        <v>3023</v>
      </c>
      <c r="C94" s="0" t="s">
        <v>3024</v>
      </c>
    </row>
    <row customHeight="1" ht="11.25">
      <c r="A95" s="0" t="s">
        <v>3013</v>
      </c>
      <c r="B95" s="0" t="s">
        <v>3025</v>
      </c>
      <c r="C95" s="0" t="s">
        <v>3026</v>
      </c>
    </row>
    <row customHeight="1" ht="11.25">
      <c r="A96" s="0" t="s">
        <v>3013</v>
      </c>
      <c r="B96" s="0" t="s">
        <v>3023</v>
      </c>
      <c r="C96" s="0" t="s">
        <v>3027</v>
      </c>
    </row>
    <row customHeight="1" ht="11.25">
      <c r="A97" s="0" t="s">
        <v>3013</v>
      </c>
      <c r="B97" s="0" t="s">
        <v>3028</v>
      </c>
      <c r="C97" s="0" t="s">
        <v>3029</v>
      </c>
    </row>
    <row customHeight="1" ht="11.25">
      <c r="A98" s="0" t="s">
        <v>3013</v>
      </c>
      <c r="B98" s="0" t="s">
        <v>3030</v>
      </c>
      <c r="C98" s="0" t="s">
        <v>3031</v>
      </c>
    </row>
    <row customHeight="1" ht="11.25">
      <c r="A99" s="0" t="s">
        <v>3013</v>
      </c>
      <c r="B99" s="0" t="s">
        <v>3032</v>
      </c>
      <c r="C99" s="0" t="s">
        <v>3033</v>
      </c>
    </row>
    <row customHeight="1" ht="11.25">
      <c r="A100" s="0" t="s">
        <v>3013</v>
      </c>
      <c r="B100" s="0" t="s">
        <v>3034</v>
      </c>
      <c r="C100" s="0" t="s">
        <v>3035</v>
      </c>
    </row>
    <row customHeight="1" ht="11.25">
      <c r="A101" s="0" t="s">
        <v>3013</v>
      </c>
      <c r="B101" s="0" t="s">
        <v>3036</v>
      </c>
      <c r="C101" s="0" t="s">
        <v>3037</v>
      </c>
    </row>
    <row customHeight="1" ht="11.25">
      <c r="A102" s="0" t="s">
        <v>3013</v>
      </c>
      <c r="B102" s="0" t="s">
        <v>3038</v>
      </c>
      <c r="C102" s="0" t="s">
        <v>3039</v>
      </c>
    </row>
    <row customHeight="1" ht="11.25">
      <c r="A103" s="0" t="s">
        <v>3013</v>
      </c>
      <c r="B103" s="0" t="s">
        <v>3040</v>
      </c>
      <c r="C103" s="0" t="s">
        <v>3041</v>
      </c>
    </row>
    <row customHeight="1" ht="11.25">
      <c r="A104" s="0" t="s">
        <v>3013</v>
      </c>
      <c r="B104" s="0" t="s">
        <v>3042</v>
      </c>
      <c r="C104" s="0" t="s">
        <v>3043</v>
      </c>
    </row>
    <row customHeight="1" ht="11.25">
      <c r="A105" s="0" t="s">
        <v>3013</v>
      </c>
      <c r="B105" s="0" t="s">
        <v>3044</v>
      </c>
      <c r="C105" s="0" t="s">
        <v>3045</v>
      </c>
    </row>
    <row customHeight="1" ht="11.25">
      <c r="A106" s="0" t="s">
        <v>3013</v>
      </c>
      <c r="B106" s="0" t="s">
        <v>3044</v>
      </c>
      <c r="C106" s="0" t="s">
        <v>3046</v>
      </c>
    </row>
    <row customHeight="1" ht="11.25">
      <c r="A107" s="0" t="s">
        <v>3013</v>
      </c>
      <c r="B107" s="0" t="s">
        <v>3015</v>
      </c>
      <c r="C107" s="0" t="s">
        <v>3047</v>
      </c>
    </row>
    <row customHeight="1" ht="11.25">
      <c r="A108" s="0" t="s">
        <v>3048</v>
      </c>
      <c r="B108" s="0" t="s">
        <v>3049</v>
      </c>
      <c r="C108" s="0" t="s">
        <v>3050</v>
      </c>
    </row>
    <row customHeight="1" ht="11.25">
      <c r="A109" s="0" t="s">
        <v>3048</v>
      </c>
      <c r="B109" s="0" t="s">
        <v>3051</v>
      </c>
      <c r="C109" s="0" t="s">
        <v>3052</v>
      </c>
    </row>
    <row customHeight="1" ht="11.25">
      <c r="A110" s="0" t="s">
        <v>3048</v>
      </c>
      <c r="B110" s="0" t="s">
        <v>3053</v>
      </c>
      <c r="C110" s="0" t="s">
        <v>3054</v>
      </c>
    </row>
    <row customHeight="1" ht="11.25">
      <c r="A111" s="0" t="s">
        <v>3048</v>
      </c>
      <c r="B111" s="0" t="s">
        <v>3055</v>
      </c>
      <c r="C111" s="0" t="s">
        <v>3056</v>
      </c>
    </row>
    <row customHeight="1" ht="11.25">
      <c r="A112" s="0" t="s">
        <v>3048</v>
      </c>
      <c r="B112" s="0" t="s">
        <v>3057</v>
      </c>
      <c r="C112" s="0" t="s">
        <v>3058</v>
      </c>
    </row>
    <row customHeight="1" ht="11.25">
      <c r="A113" s="0" t="s">
        <v>3048</v>
      </c>
      <c r="B113" s="0" t="s">
        <v>3059</v>
      </c>
      <c r="C113" s="0" t="s">
        <v>3060</v>
      </c>
    </row>
    <row customHeight="1" ht="11.25">
      <c r="A114" s="0" t="s">
        <v>3048</v>
      </c>
      <c r="B114" s="0" t="s">
        <v>3061</v>
      </c>
      <c r="C114" s="0" t="s">
        <v>3062</v>
      </c>
    </row>
    <row customHeight="1" ht="11.25">
      <c r="A115" s="0" t="s">
        <v>3048</v>
      </c>
      <c r="B115" s="0" t="s">
        <v>3063</v>
      </c>
      <c r="C115" s="0" t="s">
        <v>3064</v>
      </c>
    </row>
    <row customHeight="1" ht="11.25">
      <c r="A116" s="0" t="s">
        <v>3048</v>
      </c>
      <c r="B116" s="0" t="s">
        <v>3065</v>
      </c>
      <c r="C116" s="0" t="s">
        <v>3066</v>
      </c>
    </row>
    <row customHeight="1" ht="11.25">
      <c r="A117" s="0" t="s">
        <v>3048</v>
      </c>
      <c r="B117" s="0" t="s">
        <v>3067</v>
      </c>
      <c r="C117" s="0" t="s">
        <v>3068</v>
      </c>
    </row>
    <row customHeight="1" ht="11.25">
      <c r="A118" s="0" t="s">
        <v>3069</v>
      </c>
      <c r="B118" s="0" t="s">
        <v>3069</v>
      </c>
      <c r="C118" s="0" t="s">
        <v>3070</v>
      </c>
    </row>
    <row customHeight="1" ht="11.25">
      <c r="A119" s="0" t="s">
        <v>3069</v>
      </c>
      <c r="B119" s="0" t="s">
        <v>3071</v>
      </c>
      <c r="C119" s="0" t="s">
        <v>3072</v>
      </c>
    </row>
    <row customHeight="1" ht="11.25">
      <c r="A120" s="0" t="s">
        <v>3069</v>
      </c>
      <c r="B120" s="0" t="s">
        <v>3073</v>
      </c>
      <c r="C120" s="0" t="s">
        <v>3074</v>
      </c>
    </row>
    <row customHeight="1" ht="11.25">
      <c r="A121" s="0" t="s">
        <v>3069</v>
      </c>
      <c r="B121" s="0" t="s">
        <v>3075</v>
      </c>
      <c r="C121" s="0" t="s">
        <v>3076</v>
      </c>
    </row>
    <row customHeight="1" ht="11.25">
      <c r="A122" s="0" t="s">
        <v>3069</v>
      </c>
      <c r="B122" s="0" t="s">
        <v>3077</v>
      </c>
      <c r="C122" s="0" t="s">
        <v>3078</v>
      </c>
    </row>
    <row customHeight="1" ht="11.25">
      <c r="A123" s="0" t="s">
        <v>3069</v>
      </c>
      <c r="B123" s="0" t="s">
        <v>3079</v>
      </c>
      <c r="C123" s="0" t="s">
        <v>3080</v>
      </c>
    </row>
    <row customHeight="1" ht="11.25">
      <c r="A124" s="0" t="s">
        <v>3069</v>
      </c>
      <c r="B124" s="0" t="s">
        <v>3081</v>
      </c>
      <c r="C124" s="0" t="s">
        <v>3082</v>
      </c>
    </row>
    <row customHeight="1" ht="11.25">
      <c r="A125" s="0" t="s">
        <v>3069</v>
      </c>
      <c r="B125" s="0" t="s">
        <v>3083</v>
      </c>
      <c r="C125" s="0" t="s">
        <v>3084</v>
      </c>
    </row>
    <row customHeight="1" ht="11.25">
      <c r="A126" s="0" t="s">
        <v>3069</v>
      </c>
      <c r="B126" s="0" t="s">
        <v>3085</v>
      </c>
      <c r="C126" s="0" t="s">
        <v>3086</v>
      </c>
    </row>
    <row customHeight="1" ht="11.25">
      <c r="A127" s="0" t="s">
        <v>3069</v>
      </c>
      <c r="B127" s="0" t="s">
        <v>3087</v>
      </c>
      <c r="C127" s="0" t="s">
        <v>3088</v>
      </c>
    </row>
    <row customHeight="1" ht="11.25">
      <c r="A128" s="0" t="s">
        <v>3069</v>
      </c>
      <c r="B128" s="0" t="s">
        <v>3089</v>
      </c>
      <c r="C128" s="0" t="s">
        <v>3090</v>
      </c>
    </row>
    <row customHeight="1" ht="11.25">
      <c r="A129" s="0" t="s">
        <v>3069</v>
      </c>
      <c r="B129" s="0" t="s">
        <v>3091</v>
      </c>
      <c r="C129" s="0" t="s">
        <v>3092</v>
      </c>
    </row>
    <row customHeight="1" ht="11.25">
      <c r="A130" s="0" t="s">
        <v>3093</v>
      </c>
      <c r="B130" s="0" t="s">
        <v>3094</v>
      </c>
      <c r="C130" s="0" t="s">
        <v>3095</v>
      </c>
    </row>
    <row customHeight="1" ht="11.25">
      <c r="A131" s="0" t="s">
        <v>3093</v>
      </c>
      <c r="B131" s="0" t="s">
        <v>3096</v>
      </c>
      <c r="C131" s="0" t="s">
        <v>3097</v>
      </c>
    </row>
    <row customHeight="1" ht="11.25">
      <c r="A132" s="0" t="s">
        <v>3093</v>
      </c>
      <c r="B132" s="0" t="s">
        <v>3098</v>
      </c>
      <c r="C132" s="0" t="s">
        <v>3099</v>
      </c>
    </row>
    <row customHeight="1" ht="11.25">
      <c r="A133" s="0" t="s">
        <v>3093</v>
      </c>
      <c r="B133" s="0" t="s">
        <v>3100</v>
      </c>
      <c r="C133" s="0" t="s">
        <v>3101</v>
      </c>
    </row>
    <row customHeight="1" ht="11.25">
      <c r="A134" s="0" t="s">
        <v>3093</v>
      </c>
      <c r="B134" s="0" t="s">
        <v>3102</v>
      </c>
      <c r="C134" s="0" t="s">
        <v>3103</v>
      </c>
    </row>
    <row customHeight="1" ht="11.25">
      <c r="A135" s="0" t="s">
        <v>3093</v>
      </c>
      <c r="B135" s="0" t="s">
        <v>3104</v>
      </c>
      <c r="C135" s="0" t="s">
        <v>3105</v>
      </c>
    </row>
    <row customHeight="1" ht="11.25">
      <c r="A136" s="0" t="s">
        <v>3093</v>
      </c>
      <c r="B136" s="0" t="s">
        <v>3106</v>
      </c>
      <c r="C136" s="0" t="s">
        <v>3107</v>
      </c>
    </row>
    <row customHeight="1" ht="11.25">
      <c r="A137" s="0" t="s">
        <v>3093</v>
      </c>
      <c r="B137" s="0" t="s">
        <v>3108</v>
      </c>
      <c r="C137" s="0" t="s">
        <v>3109</v>
      </c>
    </row>
    <row customHeight="1" ht="11.25">
      <c r="A138" s="0" t="s">
        <v>3093</v>
      </c>
      <c r="B138" s="0" t="s">
        <v>3110</v>
      </c>
      <c r="C138" s="0" t="s">
        <v>3111</v>
      </c>
    </row>
    <row customHeight="1" ht="11.25">
      <c r="A139" s="0" t="s">
        <v>3093</v>
      </c>
      <c r="B139" s="0" t="s">
        <v>3112</v>
      </c>
      <c r="C139" s="0" t="s">
        <v>3113</v>
      </c>
    </row>
    <row customHeight="1" ht="11.25">
      <c r="A140" s="0" t="s">
        <v>3114</v>
      </c>
      <c r="B140" s="0" t="s">
        <v>3114</v>
      </c>
      <c r="C140" s="0" t="s">
        <v>3115</v>
      </c>
    </row>
    <row customHeight="1" ht="11.25">
      <c r="A141" s="0" t="s">
        <v>3114</v>
      </c>
      <c r="B141" s="0" t="s">
        <v>3116</v>
      </c>
      <c r="C141" s="0" t="s">
        <v>3117</v>
      </c>
    </row>
    <row customHeight="1" ht="11.25">
      <c r="A142" s="0" t="s">
        <v>3114</v>
      </c>
      <c r="B142" s="0" t="s">
        <v>3118</v>
      </c>
      <c r="C142" s="0" t="s">
        <v>3119</v>
      </c>
    </row>
    <row customHeight="1" ht="11.25">
      <c r="A143" s="0" t="s">
        <v>3114</v>
      </c>
      <c r="B143" s="0" t="s">
        <v>3120</v>
      </c>
      <c r="C143" s="0" t="s">
        <v>3121</v>
      </c>
    </row>
    <row customHeight="1" ht="11.25">
      <c r="A144" s="0" t="s">
        <v>3114</v>
      </c>
      <c r="B144" s="0" t="s">
        <v>3122</v>
      </c>
      <c r="C144" s="0" t="s">
        <v>3123</v>
      </c>
    </row>
    <row customHeight="1" ht="11.25">
      <c r="A145" s="0" t="s">
        <v>3114</v>
      </c>
      <c r="B145" s="0" t="s">
        <v>3124</v>
      </c>
      <c r="C145" s="0" t="s">
        <v>3125</v>
      </c>
    </row>
    <row customHeight="1" ht="11.25">
      <c r="A146" s="0" t="s">
        <v>3114</v>
      </c>
      <c r="B146" s="0" t="s">
        <v>3126</v>
      </c>
      <c r="C146" s="0" t="s">
        <v>3127</v>
      </c>
    </row>
    <row customHeight="1" ht="11.25">
      <c r="A147" s="0" t="s">
        <v>3114</v>
      </c>
      <c r="B147" s="0" t="s">
        <v>3128</v>
      </c>
      <c r="C147" s="0" t="s">
        <v>3129</v>
      </c>
    </row>
    <row customHeight="1" ht="11.25">
      <c r="A148" s="0" t="s">
        <v>3114</v>
      </c>
      <c r="B148" s="0" t="s">
        <v>3130</v>
      </c>
      <c r="C148" s="0" t="s">
        <v>3131</v>
      </c>
    </row>
    <row customHeight="1" ht="11.25">
      <c r="A149" s="0" t="s">
        <v>3114</v>
      </c>
      <c r="B149" s="0" t="s">
        <v>3132</v>
      </c>
      <c r="C149" s="0" t="s">
        <v>3133</v>
      </c>
    </row>
    <row customHeight="1" ht="11.25">
      <c r="A150" s="0" t="s">
        <v>3114</v>
      </c>
      <c r="B150" s="0" t="s">
        <v>3134</v>
      </c>
      <c r="C150" s="0" t="s">
        <v>3135</v>
      </c>
    </row>
    <row customHeight="1" ht="11.25">
      <c r="A151" s="0" t="s">
        <v>3114</v>
      </c>
      <c r="B151" s="0" t="s">
        <v>3136</v>
      </c>
      <c r="C151" s="0" t="s">
        <v>3137</v>
      </c>
    </row>
    <row customHeight="1" ht="11.25">
      <c r="A152" s="0" t="s">
        <v>3114</v>
      </c>
      <c r="B152" s="0" t="s">
        <v>3138</v>
      </c>
      <c r="C152" s="0" t="s">
        <v>3139</v>
      </c>
    </row>
    <row customHeight="1" ht="11.25">
      <c r="A153" s="0" t="s">
        <v>3114</v>
      </c>
      <c r="B153" s="0" t="s">
        <v>3140</v>
      </c>
      <c r="C153" s="0" t="s">
        <v>3141</v>
      </c>
    </row>
    <row customHeight="1" ht="11.25">
      <c r="A154" s="0" t="s">
        <v>3142</v>
      </c>
      <c r="B154" s="0" t="s">
        <v>3143</v>
      </c>
      <c r="C154" s="0" t="s">
        <v>3144</v>
      </c>
    </row>
    <row customHeight="1" ht="11.25">
      <c r="A155" s="0" t="s">
        <v>3142</v>
      </c>
      <c r="B155" s="0" t="s">
        <v>3145</v>
      </c>
      <c r="C155" s="0" t="s">
        <v>3146</v>
      </c>
    </row>
    <row customHeight="1" ht="11.25">
      <c r="A156" s="0" t="s">
        <v>3142</v>
      </c>
      <c r="B156" s="0" t="s">
        <v>3147</v>
      </c>
      <c r="C156" s="0" t="s">
        <v>3148</v>
      </c>
    </row>
    <row customHeight="1" ht="11.25">
      <c r="A157" s="0" t="s">
        <v>3142</v>
      </c>
      <c r="B157" s="0" t="s">
        <v>3149</v>
      </c>
      <c r="C157" s="0" t="s">
        <v>3150</v>
      </c>
    </row>
    <row customHeight="1" ht="11.25">
      <c r="A158" s="0" t="s">
        <v>3142</v>
      </c>
      <c r="B158" s="0" t="s">
        <v>3151</v>
      </c>
      <c r="C158" s="0" t="s">
        <v>3152</v>
      </c>
    </row>
    <row customHeight="1" ht="11.25">
      <c r="A159" s="0" t="s">
        <v>3142</v>
      </c>
      <c r="B159" s="0" t="s">
        <v>3153</v>
      </c>
      <c r="C159" s="0" t="s">
        <v>3154</v>
      </c>
    </row>
    <row customHeight="1" ht="11.25">
      <c r="A160" s="0" t="s">
        <v>3142</v>
      </c>
      <c r="B160" s="0" t="s">
        <v>3155</v>
      </c>
      <c r="C160" s="0" t="s">
        <v>3156</v>
      </c>
    </row>
    <row customHeight="1" ht="11.25">
      <c r="A161" s="0" t="s">
        <v>3142</v>
      </c>
      <c r="B161" s="0" t="s">
        <v>3157</v>
      </c>
      <c r="C161" s="0" t="s">
        <v>3158</v>
      </c>
    </row>
    <row customHeight="1" ht="11.25">
      <c r="A162" s="0" t="s">
        <v>3142</v>
      </c>
      <c r="B162" s="0" t="s">
        <v>3159</v>
      </c>
      <c r="C162" s="0" t="s">
        <v>3160</v>
      </c>
    </row>
    <row customHeight="1" ht="11.25">
      <c r="A163" s="0" t="s">
        <v>3142</v>
      </c>
      <c r="B163" s="0" t="s">
        <v>3161</v>
      </c>
      <c r="C163" s="0" t="s">
        <v>3162</v>
      </c>
    </row>
    <row customHeight="1" ht="11.25">
      <c r="A164" s="0" t="s">
        <v>3142</v>
      </c>
      <c r="B164" s="0" t="s">
        <v>3163</v>
      </c>
      <c r="C164" s="0" t="s">
        <v>3164</v>
      </c>
    </row>
    <row customHeight="1" ht="11.25">
      <c r="A165" s="0" t="s">
        <v>3142</v>
      </c>
      <c r="B165" s="0" t="s">
        <v>3165</v>
      </c>
      <c r="C165" s="0" t="s">
        <v>3166</v>
      </c>
    </row>
    <row customHeight="1" ht="11.25">
      <c r="A166" s="0" t="s">
        <v>3167</v>
      </c>
      <c r="B166" s="0" t="s">
        <v>3168</v>
      </c>
      <c r="C166" s="0" t="s">
        <v>3169</v>
      </c>
    </row>
    <row customHeight="1" ht="11.25">
      <c r="A167" s="0" t="s">
        <v>3167</v>
      </c>
      <c r="B167" s="0" t="s">
        <v>3170</v>
      </c>
      <c r="C167" s="0" t="s">
        <v>3171</v>
      </c>
    </row>
    <row customHeight="1" ht="11.25">
      <c r="A168" s="0" t="s">
        <v>3167</v>
      </c>
      <c r="B168" s="0" t="s">
        <v>3172</v>
      </c>
      <c r="C168" s="0" t="s">
        <v>3173</v>
      </c>
    </row>
    <row customHeight="1" ht="11.25">
      <c r="A169" s="0" t="s">
        <v>3167</v>
      </c>
      <c r="B169" s="0" t="s">
        <v>3174</v>
      </c>
      <c r="C169" s="0" t="s">
        <v>3175</v>
      </c>
    </row>
    <row customHeight="1" ht="11.25">
      <c r="A170" s="0" t="s">
        <v>3167</v>
      </c>
      <c r="B170" s="0" t="s">
        <v>3176</v>
      </c>
      <c r="C170" s="0" t="s">
        <v>3177</v>
      </c>
    </row>
    <row customHeight="1" ht="11.25">
      <c r="A171" s="0" t="s">
        <v>3167</v>
      </c>
      <c r="B171" s="0" t="s">
        <v>3178</v>
      </c>
      <c r="C171" s="0" t="s">
        <v>3179</v>
      </c>
    </row>
    <row customHeight="1" ht="11.25">
      <c r="A172" s="0" t="s">
        <v>3167</v>
      </c>
      <c r="B172" s="0" t="s">
        <v>3180</v>
      </c>
      <c r="C172" s="0" t="s">
        <v>3181</v>
      </c>
    </row>
    <row customHeight="1" ht="11.25">
      <c r="A173" s="0" t="s">
        <v>3167</v>
      </c>
      <c r="B173" s="0" t="s">
        <v>3182</v>
      </c>
      <c r="C173" s="0" t="s">
        <v>3183</v>
      </c>
    </row>
    <row customHeight="1" ht="11.25">
      <c r="A174" s="0" t="s">
        <v>3167</v>
      </c>
      <c r="B174" s="0" t="s">
        <v>3184</v>
      </c>
      <c r="C174" s="0" t="s">
        <v>3185</v>
      </c>
    </row>
    <row customHeight="1" ht="11.25">
      <c r="A175" s="0" t="s">
        <v>3167</v>
      </c>
      <c r="B175" s="0" t="s">
        <v>3186</v>
      </c>
      <c r="C175" s="0" t="s">
        <v>3187</v>
      </c>
    </row>
    <row customHeight="1" ht="11.25">
      <c r="A176" s="0" t="s">
        <v>3167</v>
      </c>
      <c r="B176" s="0" t="s">
        <v>3188</v>
      </c>
      <c r="C176" s="0" t="s">
        <v>3189</v>
      </c>
    </row>
    <row customHeight="1" ht="11.25">
      <c r="A177" s="0" t="s">
        <v>3167</v>
      </c>
      <c r="B177" s="0" t="s">
        <v>3190</v>
      </c>
      <c r="C177" s="0" t="s">
        <v>3191</v>
      </c>
    </row>
    <row customHeight="1" ht="11.25">
      <c r="A178" s="0" t="s">
        <v>3192</v>
      </c>
      <c r="B178" s="0" t="s">
        <v>3193</v>
      </c>
      <c r="C178" s="0" t="s">
        <v>3194</v>
      </c>
    </row>
    <row customHeight="1" ht="11.25">
      <c r="A179" s="0" t="s">
        <v>3192</v>
      </c>
      <c r="B179" s="0" t="s">
        <v>3195</v>
      </c>
      <c r="C179" s="0" t="s">
        <v>3196</v>
      </c>
    </row>
    <row customHeight="1" ht="11.25">
      <c r="A180" s="0" t="s">
        <v>3192</v>
      </c>
      <c r="B180" s="0" t="s">
        <v>3197</v>
      </c>
      <c r="C180" s="0" t="s">
        <v>3198</v>
      </c>
    </row>
    <row customHeight="1" ht="11.25">
      <c r="A181" s="0" t="s">
        <v>3192</v>
      </c>
      <c r="B181" s="0" t="s">
        <v>3199</v>
      </c>
      <c r="C181" s="0" t="s">
        <v>3200</v>
      </c>
    </row>
    <row customHeight="1" ht="11.25">
      <c r="A182" s="0" t="s">
        <v>3192</v>
      </c>
      <c r="B182" s="0" t="s">
        <v>3201</v>
      </c>
      <c r="C182" s="0" t="s">
        <v>3202</v>
      </c>
    </row>
    <row customHeight="1" ht="11.25">
      <c r="A183" s="0" t="s">
        <v>3192</v>
      </c>
      <c r="B183" s="0" t="s">
        <v>3203</v>
      </c>
      <c r="C183" s="0" t="s">
        <v>3204</v>
      </c>
    </row>
    <row customHeight="1" ht="11.25">
      <c r="A184" s="0" t="s">
        <v>3192</v>
      </c>
      <c r="B184" s="0" t="s">
        <v>3205</v>
      </c>
      <c r="C184" s="0" t="s">
        <v>3206</v>
      </c>
    </row>
    <row customHeight="1" ht="11.25">
      <c r="A185" s="0" t="s">
        <v>3207</v>
      </c>
      <c r="B185" s="0" t="s">
        <v>3208</v>
      </c>
      <c r="C185" s="0" t="s">
        <v>3209</v>
      </c>
    </row>
    <row customHeight="1" ht="11.25">
      <c r="A186" s="0" t="s">
        <v>3207</v>
      </c>
      <c r="B186" s="0" t="s">
        <v>3210</v>
      </c>
      <c r="C186" s="0" t="s">
        <v>3211</v>
      </c>
    </row>
    <row customHeight="1" ht="11.25">
      <c r="A187" s="0" t="s">
        <v>3207</v>
      </c>
      <c r="B187" s="0" t="s">
        <v>3212</v>
      </c>
      <c r="C187" s="0" t="s">
        <v>3213</v>
      </c>
    </row>
    <row customHeight="1" ht="11.25">
      <c r="A188" s="0" t="s">
        <v>3207</v>
      </c>
      <c r="B188" s="0" t="s">
        <v>3214</v>
      </c>
      <c r="C188" s="0" t="s">
        <v>3215</v>
      </c>
    </row>
    <row customHeight="1" ht="11.25">
      <c r="A189" s="0" t="s">
        <v>3207</v>
      </c>
      <c r="B189" s="0" t="s">
        <v>3216</v>
      </c>
      <c r="C189" s="0" t="s">
        <v>3217</v>
      </c>
    </row>
    <row customHeight="1" ht="11.25">
      <c r="A190" s="0" t="s">
        <v>3207</v>
      </c>
      <c r="B190" s="0" t="s">
        <v>3218</v>
      </c>
      <c r="C190" s="0" t="s">
        <v>3219</v>
      </c>
    </row>
    <row customHeight="1" ht="11.25">
      <c r="A191" s="0" t="s">
        <v>3207</v>
      </c>
      <c r="B191" s="0" t="s">
        <v>3220</v>
      </c>
      <c r="C191" s="0" t="s">
        <v>3221</v>
      </c>
    </row>
    <row customHeight="1" ht="11.25">
      <c r="A192" s="0" t="s">
        <v>3207</v>
      </c>
      <c r="B192" s="0" t="s">
        <v>3222</v>
      </c>
      <c r="C192" s="0" t="s">
        <v>3223</v>
      </c>
    </row>
    <row customHeight="1" ht="11.25">
      <c r="A193" s="0" t="s">
        <v>3207</v>
      </c>
      <c r="B193" s="0" t="s">
        <v>3224</v>
      </c>
      <c r="C193" s="0" t="s">
        <v>3225</v>
      </c>
    </row>
    <row customHeight="1" ht="11.25">
      <c r="A194" s="0" t="s">
        <v>3226</v>
      </c>
      <c r="B194" s="0" t="s">
        <v>3227</v>
      </c>
      <c r="C194" s="0" t="s">
        <v>3228</v>
      </c>
    </row>
    <row customHeight="1" ht="11.25">
      <c r="A195" s="0" t="s">
        <v>3226</v>
      </c>
      <c r="B195" s="0" t="s">
        <v>3229</v>
      </c>
      <c r="C195" s="0" t="s">
        <v>3230</v>
      </c>
    </row>
    <row customHeight="1" ht="11.25">
      <c r="A196" s="0" t="s">
        <v>3226</v>
      </c>
      <c r="B196" s="0" t="s">
        <v>3231</v>
      </c>
      <c r="C196" s="0" t="s">
        <v>3232</v>
      </c>
    </row>
    <row customHeight="1" ht="11.25">
      <c r="A197" s="0" t="s">
        <v>3226</v>
      </c>
      <c r="B197" s="0" t="s">
        <v>3233</v>
      </c>
      <c r="C197" s="0" t="s">
        <v>3234</v>
      </c>
    </row>
    <row customHeight="1" ht="11.25">
      <c r="A198" s="0" t="s">
        <v>3226</v>
      </c>
      <c r="B198" s="0" t="s">
        <v>3235</v>
      </c>
      <c r="C198" s="0" t="s">
        <v>3236</v>
      </c>
    </row>
    <row customHeight="1" ht="11.25">
      <c r="A199" s="0" t="s">
        <v>3226</v>
      </c>
      <c r="B199" s="0" t="s">
        <v>3237</v>
      </c>
      <c r="C199" s="0" t="s">
        <v>3238</v>
      </c>
    </row>
    <row customHeight="1" ht="11.25">
      <c r="A200" s="0" t="s">
        <v>3226</v>
      </c>
      <c r="B200" s="0" t="s">
        <v>3239</v>
      </c>
      <c r="C200" s="0" t="s">
        <v>3240</v>
      </c>
    </row>
    <row customHeight="1" ht="11.25">
      <c r="A201" s="0" t="s">
        <v>3226</v>
      </c>
      <c r="B201" s="0" t="s">
        <v>3241</v>
      </c>
      <c r="C201" s="0" t="s">
        <v>3242</v>
      </c>
    </row>
    <row customHeight="1" ht="11.25">
      <c r="A202" s="0" t="s">
        <v>3226</v>
      </c>
      <c r="B202" s="0" t="s">
        <v>3243</v>
      </c>
      <c r="C202" s="0" t="s">
        <v>3244</v>
      </c>
    </row>
    <row customHeight="1" ht="11.25">
      <c r="A203" s="0" t="s">
        <v>3226</v>
      </c>
      <c r="B203" s="0" t="s">
        <v>3245</v>
      </c>
      <c r="C203" s="0" t="s">
        <v>3246</v>
      </c>
    </row>
    <row customHeight="1" ht="11.25">
      <c r="A204" s="0" t="s">
        <v>3247</v>
      </c>
      <c r="B204" s="0" t="s">
        <v>3248</v>
      </c>
      <c r="C204" s="0" t="s">
        <v>3249</v>
      </c>
    </row>
    <row customHeight="1" ht="11.25">
      <c r="A205" s="0" t="s">
        <v>3247</v>
      </c>
      <c r="B205" s="0" t="s">
        <v>3250</v>
      </c>
      <c r="C205" s="0" t="s">
        <v>3251</v>
      </c>
    </row>
    <row customHeight="1" ht="11.25">
      <c r="A206" s="0" t="s">
        <v>3247</v>
      </c>
      <c r="B206" s="0" t="s">
        <v>3252</v>
      </c>
      <c r="C206" s="0" t="s">
        <v>3253</v>
      </c>
    </row>
    <row customHeight="1" ht="11.25">
      <c r="A207" s="0" t="s">
        <v>3247</v>
      </c>
      <c r="B207" s="0" t="s">
        <v>3254</v>
      </c>
      <c r="C207" s="0" t="s">
        <v>3255</v>
      </c>
    </row>
    <row customHeight="1" ht="11.25">
      <c r="A208" s="0" t="s">
        <v>3247</v>
      </c>
      <c r="B208" s="0" t="s">
        <v>3256</v>
      </c>
      <c r="C208" s="0" t="s">
        <v>3257</v>
      </c>
    </row>
    <row customHeight="1" ht="11.25">
      <c r="A209" s="0" t="s">
        <v>3247</v>
      </c>
      <c r="B209" s="0" t="s">
        <v>3258</v>
      </c>
      <c r="C209" s="0" t="s">
        <v>3259</v>
      </c>
    </row>
    <row customHeight="1" ht="11.25">
      <c r="A210" s="0" t="s">
        <v>3247</v>
      </c>
      <c r="B210" s="0" t="s">
        <v>3260</v>
      </c>
      <c r="C210" s="0" t="s">
        <v>3261</v>
      </c>
    </row>
    <row customHeight="1" ht="11.25">
      <c r="A211" s="0" t="s">
        <v>3247</v>
      </c>
      <c r="B211" s="0" t="s">
        <v>3262</v>
      </c>
      <c r="C211" s="0" t="s">
        <v>3263</v>
      </c>
    </row>
    <row customHeight="1" ht="11.25">
      <c r="A212" s="0" t="s">
        <v>3247</v>
      </c>
      <c r="B212" s="0" t="s">
        <v>3264</v>
      </c>
      <c r="C212" s="0" t="s">
        <v>3265</v>
      </c>
    </row>
    <row customHeight="1" ht="11.25">
      <c r="A213" s="0" t="s">
        <v>3247</v>
      </c>
      <c r="B213" s="0" t="s">
        <v>3266</v>
      </c>
      <c r="C213" s="0" t="s">
        <v>3267</v>
      </c>
    </row>
    <row customHeight="1" ht="11.25">
      <c r="A214" s="0" t="s">
        <v>3247</v>
      </c>
      <c r="B214" s="0" t="s">
        <v>3268</v>
      </c>
      <c r="C214" s="0" t="s">
        <v>3269</v>
      </c>
    </row>
    <row customHeight="1" ht="11.25">
      <c r="A215" s="0" t="s">
        <v>3270</v>
      </c>
      <c r="B215" s="0" t="s">
        <v>3270</v>
      </c>
      <c r="C215" s="0" t="s">
        <v>3271</v>
      </c>
    </row>
    <row customHeight="1" ht="11.25">
      <c r="A216" s="0" t="s">
        <v>3272</v>
      </c>
      <c r="B216" s="0" t="s">
        <v>3272</v>
      </c>
      <c r="C216" s="0" t="s">
        <v>3273</v>
      </c>
    </row>
    <row customHeight="1" ht="11.25">
      <c r="A217" s="0" t="s">
        <v>3274</v>
      </c>
      <c r="B217" s="0" t="s">
        <v>3274</v>
      </c>
      <c r="C217" s="0" t="s">
        <v>3275</v>
      </c>
    </row>
    <row customHeight="1" ht="11.25">
      <c r="A218" s="0" t="s">
        <v>3276</v>
      </c>
      <c r="B218" s="0" t="s">
        <v>3276</v>
      </c>
      <c r="C218" s="0" t="s">
        <v>3277</v>
      </c>
    </row>
    <row customHeight="1" ht="11.25">
      <c r="A219" s="0" t="s">
        <v>3278</v>
      </c>
      <c r="B219" s="0" t="s">
        <v>3278</v>
      </c>
      <c r="C219" s="0" t="s">
        <v>3279</v>
      </c>
    </row>
    <row customHeight="1" ht="11.25">
      <c r="A220" s="0" t="s">
        <v>3280</v>
      </c>
      <c r="B220" s="0" t="s">
        <v>3280</v>
      </c>
      <c r="C220" s="0" t="s">
        <v>3281</v>
      </c>
    </row>
    <row customHeight="1" ht="11.25">
      <c r="A221" s="0" t="s">
        <v>3282</v>
      </c>
      <c r="B221" s="0" t="s">
        <v>3282</v>
      </c>
      <c r="C221" s="0" t="s">
        <v>3283</v>
      </c>
    </row>
    <row customHeight="1" ht="11.25">
      <c r="A222" s="0" t="s">
        <v>3284</v>
      </c>
      <c r="B222" s="0" t="s">
        <v>3284</v>
      </c>
      <c r="C222" s="0" t="s">
        <v>3285</v>
      </c>
    </row>
    <row customHeight="1" ht="11.25">
      <c r="A223" s="0" t="s">
        <v>3286</v>
      </c>
      <c r="B223" s="0" t="s">
        <v>3286</v>
      </c>
      <c r="C223" s="0" t="s">
        <v>3287</v>
      </c>
    </row>
    <row customHeight="1" ht="11.25">
      <c r="A224" s="0" t="s">
        <v>3288</v>
      </c>
      <c r="B224" s="0" t="s">
        <v>3288</v>
      </c>
      <c r="C224" s="0" t="s">
        <v>3289</v>
      </c>
    </row>
    <row customHeight="1" ht="11.25">
      <c r="A225" s="0" t="s">
        <v>3290</v>
      </c>
      <c r="B225" s="0" t="s">
        <v>3290</v>
      </c>
      <c r="C225" s="0" t="s">
        <v>3291</v>
      </c>
    </row>
    <row customHeight="1" ht="11.25">
      <c r="A226" s="0" t="s">
        <v>3292</v>
      </c>
      <c r="B226" s="0" t="s">
        <v>3292</v>
      </c>
      <c r="C226" s="0" t="s">
        <v>3293</v>
      </c>
    </row>
    <row customHeight="1" ht="11.25">
      <c r="A227" s="0" t="s">
        <v>3294</v>
      </c>
      <c r="B227" s="0" t="s">
        <v>3294</v>
      </c>
      <c r="C227" s="0" t="s">
        <v>3295</v>
      </c>
    </row>
    <row customHeight="1" ht="11.25">
      <c r="A228" s="0" t="s">
        <v>3296</v>
      </c>
      <c r="B228" s="0" t="s">
        <v>3296</v>
      </c>
      <c r="C228" s="0" t="s">
        <v>3297</v>
      </c>
    </row>
    <row customHeight="1" ht="11.25">
      <c r="A229" s="0" t="s">
        <v>3298</v>
      </c>
      <c r="B229" s="0" t="s">
        <v>3298</v>
      </c>
      <c r="C229" s="0" t="s">
        <v>3299</v>
      </c>
    </row>
    <row customHeight="1" ht="11.25">
      <c r="A230" s="0" t="s">
        <v>3300</v>
      </c>
      <c r="B230" s="0" t="s">
        <v>3300</v>
      </c>
      <c r="C230" s="0" t="s">
        <v>3301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BB2B42-27F2-5128-CAE4-A06186496AAF}"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3302</v>
      </c>
      <c r="B1" s="0" t="s">
        <v>3303</v>
      </c>
      <c r="C1" s="0" t="s">
        <v>3304</v>
      </c>
      <c r="D1" s="0" t="s">
        <v>3305</v>
      </c>
      <c r="E1" s="0" t="s">
        <v>3306</v>
      </c>
      <c r="F1" s="0" t="s">
        <v>3307</v>
      </c>
      <c r="G1" s="0" t="s">
        <v>3308</v>
      </c>
      <c r="H1" s="0" t="s">
        <v>3309</v>
      </c>
      <c r="I1" s="0" t="s">
        <v>3310</v>
      </c>
      <c r="J1" s="0" t="s">
        <v>3311</v>
      </c>
      <c r="K1" s="0" t="s">
        <v>3312</v>
      </c>
      <c r="L1" s="0" t="s">
        <v>3313</v>
      </c>
      <c r="M1" s="0" t="s">
        <v>3314</v>
      </c>
      <c r="N1" s="0" t="s">
        <v>3315</v>
      </c>
      <c r="O1" s="0" t="s">
        <v>3316</v>
      </c>
      <c r="P1" s="0" t="s">
        <v>3317</v>
      </c>
      <c r="Q1" s="0" t="s">
        <v>3318</v>
      </c>
      <c r="R1" s="0" t="s">
        <v>3319</v>
      </c>
      <c r="S1" s="0" t="s">
        <v>3320</v>
      </c>
    </row>
    <row customHeight="1" ht="11.25">
      <c r="A2" s="0">
        <v>2655</v>
      </c>
      <c r="B2" s="0" t="s">
        <v>114</v>
      </c>
      <c r="C2" s="0">
        <v>28976938</v>
      </c>
      <c r="D2" s="0" t="s">
        <v>3321</v>
      </c>
      <c r="E2" s="0" t="s">
        <v>3322</v>
      </c>
      <c r="F2" s="0" t="s">
        <v>3323</v>
      </c>
      <c r="G2" s="0" t="s">
        <v>3324</v>
      </c>
      <c r="H2" s="0" t="s">
        <v>3325</v>
      </c>
      <c r="I2" s="0" t="s">
        <v>3326</v>
      </c>
      <c r="J2" s="0" t="s">
        <v>3327</v>
      </c>
      <c r="K2" s="0" t="s">
        <v>3328</v>
      </c>
      <c r="L2" s="0" t="s">
        <v>3329</v>
      </c>
      <c r="M2" s="0" t="s">
        <v>3330</v>
      </c>
      <c r="N2" s="0" t="s">
        <v>3331</v>
      </c>
      <c r="O2" s="0" t="s">
        <v>3332</v>
      </c>
      <c r="P2" s="0" t="s">
        <v>3333</v>
      </c>
      <c r="Q2" s="0" t="s">
        <v>3334</v>
      </c>
      <c r="R2" s="0" t="b">
        <v>0</v>
      </c>
      <c r="S2" s="0" t="s">
        <v>3335</v>
      </c>
    </row>
    <row customHeight="1" ht="11.25">
      <c r="A3" s="0">
        <v>2655</v>
      </c>
      <c r="B3" s="0" t="s">
        <v>114</v>
      </c>
      <c r="C3" s="0">
        <v>27804990</v>
      </c>
      <c r="D3" s="0" t="s">
        <v>3336</v>
      </c>
      <c r="E3" s="0" t="s">
        <v>3337</v>
      </c>
      <c r="F3" s="0" t="s">
        <v>3338</v>
      </c>
      <c r="G3" s="0" t="s">
        <v>3339</v>
      </c>
      <c r="H3" s="0" t="s">
        <v>3340</v>
      </c>
      <c r="I3" s="0" t="s">
        <v>3341</v>
      </c>
      <c r="J3" s="0" t="s">
        <v>3327</v>
      </c>
      <c r="K3" s="0" t="s">
        <v>3342</v>
      </c>
      <c r="L3" s="0" t="s">
        <v>3343</v>
      </c>
      <c r="M3" s="0" t="s">
        <v>3344</v>
      </c>
      <c r="N3" s="0" t="s">
        <v>3345</v>
      </c>
      <c r="O3" s="0" t="s">
        <v>3346</v>
      </c>
      <c r="P3" s="0" t="s">
        <v>3347</v>
      </c>
      <c r="Q3" s="0" t="s">
        <v>3348</v>
      </c>
      <c r="R3" s="0" t="b">
        <v>0</v>
      </c>
      <c r="S3" s="0" t="s">
        <v>3335</v>
      </c>
    </row>
    <row customHeight="1" ht="11.25">
      <c r="A4" s="0">
        <v>2655</v>
      </c>
      <c r="B4" s="0" t="s">
        <v>114</v>
      </c>
      <c r="C4" s="0">
        <v>27804826</v>
      </c>
      <c r="D4" s="0" t="s">
        <v>3349</v>
      </c>
      <c r="E4" s="0" t="s">
        <v>3350</v>
      </c>
      <c r="F4" s="0" t="s">
        <v>3351</v>
      </c>
      <c r="G4" s="0" t="s">
        <v>3352</v>
      </c>
      <c r="H4" s="0" t="s">
        <v>3353</v>
      </c>
      <c r="I4" s="0" t="s">
        <v>3354</v>
      </c>
      <c r="J4" s="0" t="s">
        <v>3327</v>
      </c>
      <c r="K4" s="0" t="s">
        <v>3355</v>
      </c>
      <c r="L4" s="0" t="s">
        <v>3343</v>
      </c>
      <c r="M4" s="0" t="s">
        <v>245</v>
      </c>
      <c r="N4" s="0" t="s">
        <v>3356</v>
      </c>
      <c r="O4" s="0" t="s">
        <v>3357</v>
      </c>
      <c r="P4" s="0" t="s">
        <v>3347</v>
      </c>
      <c r="Q4" s="0" t="s">
        <v>3358</v>
      </c>
      <c r="R4" s="0" t="b">
        <v>0</v>
      </c>
      <c r="S4" s="0" t="s">
        <v>3335</v>
      </c>
    </row>
    <row customHeight="1" ht="11.25">
      <c r="A5" s="0">
        <v>2655</v>
      </c>
      <c r="B5" s="0" t="s">
        <v>114</v>
      </c>
      <c r="C5" s="0">
        <v>26356963</v>
      </c>
      <c r="D5" s="0" t="s">
        <v>3359</v>
      </c>
      <c r="E5" s="0" t="s">
        <v>3360</v>
      </c>
      <c r="F5" s="0" t="s">
        <v>3361</v>
      </c>
      <c r="G5" s="0" t="s">
        <v>3362</v>
      </c>
      <c r="H5" s="0" t="s">
        <v>3363</v>
      </c>
      <c r="I5" s="0" t="s">
        <v>245</v>
      </c>
      <c r="J5" s="0" t="s">
        <v>3327</v>
      </c>
      <c r="K5" s="0" t="s">
        <v>3364</v>
      </c>
      <c r="L5" s="0" t="s">
        <v>3364</v>
      </c>
      <c r="M5" s="0" t="s">
        <v>3365</v>
      </c>
      <c r="N5" s="0" t="s">
        <v>3366</v>
      </c>
      <c r="O5" s="0" t="s">
        <v>3367</v>
      </c>
      <c r="P5" s="0" t="s">
        <v>3368</v>
      </c>
      <c r="Q5" s="0" t="s">
        <v>245</v>
      </c>
      <c r="R5" s="0" t="b">
        <v>0</v>
      </c>
      <c r="S5" s="0" t="s">
        <v>3335</v>
      </c>
    </row>
    <row customHeight="1" ht="11.25">
      <c r="A6" s="0">
        <v>2655</v>
      </c>
      <c r="B6" s="0" t="s">
        <v>114</v>
      </c>
      <c r="C6" s="0">
        <v>26322889</v>
      </c>
      <c r="D6" s="0" t="s">
        <v>3369</v>
      </c>
      <c r="E6" s="0" t="s">
        <v>3370</v>
      </c>
      <c r="F6" s="0" t="s">
        <v>3371</v>
      </c>
      <c r="G6" s="0" t="s">
        <v>3372</v>
      </c>
      <c r="H6" s="0" t="s">
        <v>3373</v>
      </c>
      <c r="I6" s="0" t="s">
        <v>3374</v>
      </c>
      <c r="J6" s="0" t="s">
        <v>3327</v>
      </c>
      <c r="K6" s="0" t="s">
        <v>3375</v>
      </c>
      <c r="L6" s="0" t="s">
        <v>3376</v>
      </c>
      <c r="M6" s="0" t="s">
        <v>3377</v>
      </c>
      <c r="N6" s="0" t="s">
        <v>3378</v>
      </c>
      <c r="O6" s="0" t="s">
        <v>3379</v>
      </c>
      <c r="P6" s="0" t="s">
        <v>3380</v>
      </c>
      <c r="Q6" s="0" t="s">
        <v>3381</v>
      </c>
      <c r="R6" s="0" t="b">
        <v>0</v>
      </c>
      <c r="S6" s="0" t="s">
        <v>3335</v>
      </c>
    </row>
    <row customHeight="1" ht="11.25">
      <c r="A7" s="0">
        <v>2655</v>
      </c>
      <c r="B7" s="0" t="s">
        <v>114</v>
      </c>
      <c r="C7" s="0">
        <v>26356905</v>
      </c>
      <c r="D7" s="0" t="s">
        <v>3382</v>
      </c>
      <c r="E7" s="0" t="s">
        <v>3383</v>
      </c>
      <c r="F7" s="0" t="s">
        <v>3384</v>
      </c>
      <c r="G7" s="0" t="s">
        <v>3339</v>
      </c>
      <c r="H7" s="0" t="s">
        <v>3385</v>
      </c>
      <c r="I7" s="0" t="s">
        <v>3386</v>
      </c>
      <c r="J7" s="0" t="s">
        <v>3327</v>
      </c>
      <c r="K7" s="0" t="s">
        <v>3387</v>
      </c>
      <c r="L7" s="0" t="s">
        <v>3387</v>
      </c>
      <c r="M7" s="0" t="s">
        <v>3388</v>
      </c>
      <c r="N7" s="0" t="s">
        <v>3389</v>
      </c>
      <c r="O7" s="0" t="s">
        <v>3390</v>
      </c>
      <c r="P7" s="0" t="s">
        <v>3391</v>
      </c>
      <c r="Q7" s="0" t="s">
        <v>3392</v>
      </c>
      <c r="R7" s="0" t="b">
        <v>0</v>
      </c>
      <c r="S7" s="0" t="s">
        <v>3335</v>
      </c>
    </row>
    <row customHeight="1" ht="11.25">
      <c r="A8" s="0">
        <v>2655</v>
      </c>
      <c r="B8" s="0" t="s">
        <v>114</v>
      </c>
      <c r="C8" s="0">
        <v>26427149</v>
      </c>
      <c r="D8" s="0" t="s">
        <v>3393</v>
      </c>
      <c r="E8" s="0" t="s">
        <v>3394</v>
      </c>
      <c r="F8" s="0" t="s">
        <v>3323</v>
      </c>
      <c r="G8" s="0" t="s">
        <v>3395</v>
      </c>
      <c r="H8" s="0" t="s">
        <v>3325</v>
      </c>
      <c r="I8" s="0" t="s">
        <v>3326</v>
      </c>
      <c r="J8" s="0" t="s">
        <v>3327</v>
      </c>
      <c r="K8" s="0" t="s">
        <v>3396</v>
      </c>
      <c r="L8" s="0" t="s">
        <v>3397</v>
      </c>
      <c r="M8" s="0" t="s">
        <v>3398</v>
      </c>
      <c r="N8" s="0" t="s">
        <v>3399</v>
      </c>
      <c r="O8" s="0" t="s">
        <v>3400</v>
      </c>
      <c r="P8" s="0" t="s">
        <v>3401</v>
      </c>
      <c r="Q8" s="0" t="s">
        <v>3402</v>
      </c>
      <c r="R8" s="0" t="b">
        <v>0</v>
      </c>
      <c r="S8" s="0" t="s">
        <v>3335</v>
      </c>
    </row>
    <row customHeight="1" ht="11.25">
      <c r="A9" s="0">
        <v>2655</v>
      </c>
      <c r="B9" s="0" t="s">
        <v>114</v>
      </c>
      <c r="C9" s="0">
        <v>27295125</v>
      </c>
      <c r="D9" s="0" t="s">
        <v>3403</v>
      </c>
      <c r="E9" s="0" t="s">
        <v>3404</v>
      </c>
      <c r="F9" s="0" t="s">
        <v>3405</v>
      </c>
      <c r="G9" s="0" t="s">
        <v>3406</v>
      </c>
      <c r="H9" s="0" t="s">
        <v>3407</v>
      </c>
      <c r="I9" s="0" t="s">
        <v>3408</v>
      </c>
      <c r="J9" s="0" t="s">
        <v>3409</v>
      </c>
      <c r="K9" s="0" t="s">
        <v>3410</v>
      </c>
      <c r="L9" s="0" t="s">
        <v>3410</v>
      </c>
      <c r="M9" s="0" t="s">
        <v>3411</v>
      </c>
      <c r="N9" s="0" t="s">
        <v>3412</v>
      </c>
      <c r="O9" s="0" t="s">
        <v>3413</v>
      </c>
      <c r="P9" s="0" t="s">
        <v>179</v>
      </c>
      <c r="Q9" s="0" t="s">
        <v>245</v>
      </c>
      <c r="R9" s="0" t="b">
        <v>0</v>
      </c>
      <c r="S9" s="0" t="s">
        <v>3335</v>
      </c>
    </row>
    <row customHeight="1" ht="11.25">
      <c r="A10" s="0">
        <v>2655</v>
      </c>
      <c r="B10" s="0" t="s">
        <v>114</v>
      </c>
      <c r="C10" s="0">
        <v>26824672</v>
      </c>
      <c r="D10" s="0" t="s">
        <v>3414</v>
      </c>
      <c r="E10" s="0" t="s">
        <v>3415</v>
      </c>
      <c r="F10" s="0" t="s">
        <v>3416</v>
      </c>
      <c r="G10" s="0" t="s">
        <v>3417</v>
      </c>
      <c r="H10" s="0" t="s">
        <v>3418</v>
      </c>
      <c r="I10" s="0" t="s">
        <v>245</v>
      </c>
      <c r="J10" s="0" t="s">
        <v>3409</v>
      </c>
      <c r="K10" s="0" t="s">
        <v>3419</v>
      </c>
      <c r="L10" s="0" t="s">
        <v>3420</v>
      </c>
      <c r="M10" s="0" t="s">
        <v>3421</v>
      </c>
      <c r="N10" s="0" t="s">
        <v>3422</v>
      </c>
      <c r="O10" s="0" t="s">
        <v>245</v>
      </c>
      <c r="P10" s="0" t="s">
        <v>3423</v>
      </c>
      <c r="Q10" s="0" t="s">
        <v>245</v>
      </c>
      <c r="R10" s="0" t="b">
        <v>0</v>
      </c>
      <c r="S10" s="0" t="s">
        <v>3335</v>
      </c>
    </row>
    <row customHeight="1" ht="11.25">
      <c r="A11" s="0">
        <v>2655</v>
      </c>
      <c r="B11" s="0" t="s">
        <v>114</v>
      </c>
      <c r="C11" s="0">
        <v>31826293</v>
      </c>
      <c r="D11" s="0" t="s">
        <v>3424</v>
      </c>
      <c r="E11" s="0" t="s">
        <v>3425</v>
      </c>
      <c r="F11" s="0" t="s">
        <v>3426</v>
      </c>
      <c r="G11" s="0" t="s">
        <v>3427</v>
      </c>
      <c r="H11" s="0" t="s">
        <v>3428</v>
      </c>
      <c r="I11" s="0" t="s">
        <v>3429</v>
      </c>
      <c r="K11" s="0" t="s">
        <v>3430</v>
      </c>
      <c r="L11" s="0" t="s">
        <v>3431</v>
      </c>
      <c r="M11" s="0" t="s">
        <v>245</v>
      </c>
      <c r="N11" s="0" t="s">
        <v>3432</v>
      </c>
      <c r="O11" s="0" t="s">
        <v>3433</v>
      </c>
      <c r="P11" s="0" t="s">
        <v>3434</v>
      </c>
      <c r="Q11" s="0" t="s">
        <v>245</v>
      </c>
      <c r="R11" s="0" t="b">
        <v>0</v>
      </c>
      <c r="S11" s="0" t="s">
        <v>3335</v>
      </c>
    </row>
    <row customHeight="1" ht="11.25">
      <c r="A12" s="0">
        <v>2655</v>
      </c>
      <c r="B12" s="0" t="s">
        <v>114</v>
      </c>
      <c r="C12" s="0">
        <v>26322867</v>
      </c>
      <c r="D12" s="0" t="s">
        <v>3435</v>
      </c>
      <c r="E12" s="0" t="s">
        <v>3436</v>
      </c>
      <c r="F12" s="0" t="s">
        <v>3437</v>
      </c>
      <c r="G12" s="0" t="s">
        <v>3372</v>
      </c>
      <c r="H12" s="0" t="s">
        <v>3438</v>
      </c>
      <c r="I12" s="0" t="s">
        <v>3439</v>
      </c>
      <c r="J12" s="0" t="s">
        <v>3327</v>
      </c>
      <c r="K12" s="0" t="s">
        <v>3440</v>
      </c>
      <c r="L12" s="0" t="s">
        <v>3440</v>
      </c>
      <c r="M12" s="0" t="s">
        <v>3441</v>
      </c>
      <c r="N12" s="0" t="s">
        <v>3442</v>
      </c>
      <c r="O12" s="0" t="s">
        <v>3443</v>
      </c>
      <c r="P12" s="0" t="s">
        <v>179</v>
      </c>
      <c r="Q12" s="0" t="s">
        <v>3444</v>
      </c>
      <c r="R12" s="0" t="b">
        <v>0</v>
      </c>
      <c r="S12" s="0" t="s">
        <v>3335</v>
      </c>
    </row>
    <row customHeight="1" ht="11.25">
      <c r="A13" s="0">
        <v>2655</v>
      </c>
      <c r="B13" s="0" t="s">
        <v>114</v>
      </c>
      <c r="C13" s="0">
        <v>26824651</v>
      </c>
      <c r="D13" s="0" t="s">
        <v>3445</v>
      </c>
      <c r="E13" s="0" t="s">
        <v>3446</v>
      </c>
      <c r="F13" s="0" t="s">
        <v>3416</v>
      </c>
      <c r="G13" s="0" t="s">
        <v>3447</v>
      </c>
      <c r="H13" s="0" t="s">
        <v>3418</v>
      </c>
      <c r="I13" s="0" t="s">
        <v>245</v>
      </c>
      <c r="J13" s="0" t="s">
        <v>3327</v>
      </c>
      <c r="K13" s="0" t="s">
        <v>3448</v>
      </c>
      <c r="L13" s="0" t="s">
        <v>3449</v>
      </c>
      <c r="M13" s="0" t="s">
        <v>3450</v>
      </c>
      <c r="N13" s="0" t="s">
        <v>3451</v>
      </c>
      <c r="O13" s="0" t="s">
        <v>3452</v>
      </c>
      <c r="P13" s="0" t="s">
        <v>3453</v>
      </c>
      <c r="Q13" s="0" t="s">
        <v>245</v>
      </c>
      <c r="R13" s="0" t="b">
        <v>0</v>
      </c>
      <c r="S13" s="0" t="s">
        <v>3335</v>
      </c>
    </row>
    <row customHeight="1" ht="11.25">
      <c r="A14" s="0">
        <v>2655</v>
      </c>
      <c r="B14" s="0" t="s">
        <v>114</v>
      </c>
      <c r="C14" s="0">
        <v>26824396</v>
      </c>
      <c r="D14" s="0" t="s">
        <v>3454</v>
      </c>
      <c r="E14" s="0" t="s">
        <v>3455</v>
      </c>
      <c r="F14" s="0" t="s">
        <v>3416</v>
      </c>
      <c r="G14" s="0" t="s">
        <v>3456</v>
      </c>
      <c r="H14" s="0" t="s">
        <v>3418</v>
      </c>
      <c r="I14" s="0" t="s">
        <v>245</v>
      </c>
      <c r="J14" s="0" t="s">
        <v>3409</v>
      </c>
      <c r="K14" s="0" t="s">
        <v>3457</v>
      </c>
      <c r="L14" s="0" t="s">
        <v>3457</v>
      </c>
      <c r="M14" s="0" t="s">
        <v>3458</v>
      </c>
      <c r="N14" s="0" t="s">
        <v>245</v>
      </c>
      <c r="O14" s="0" t="s">
        <v>3459</v>
      </c>
      <c r="P14" s="0" t="s">
        <v>3453</v>
      </c>
      <c r="Q14" s="0" t="s">
        <v>245</v>
      </c>
      <c r="R14" s="0" t="b">
        <v>0</v>
      </c>
      <c r="S14" s="0" t="s">
        <v>3335</v>
      </c>
    </row>
    <row customHeight="1" ht="11.25">
      <c r="A15" s="0">
        <v>2655</v>
      </c>
      <c r="B15" s="0" t="s">
        <v>114</v>
      </c>
      <c r="C15" s="0">
        <v>31232672</v>
      </c>
      <c r="D15" s="0" t="s">
        <v>3460</v>
      </c>
      <c r="E15" s="0" t="s">
        <v>3461</v>
      </c>
      <c r="F15" s="0" t="s">
        <v>3462</v>
      </c>
      <c r="G15" s="0" t="s">
        <v>3463</v>
      </c>
      <c r="H15" s="0" t="s">
        <v>3464</v>
      </c>
      <c r="I15" s="0" t="s">
        <v>3465</v>
      </c>
      <c r="J15" s="0" t="s">
        <v>3466</v>
      </c>
      <c r="K15" s="0" t="s">
        <v>3467</v>
      </c>
      <c r="L15" s="0" t="s">
        <v>3467</v>
      </c>
      <c r="M15" s="0" t="s">
        <v>3468</v>
      </c>
      <c r="N15" s="0" t="s">
        <v>3469</v>
      </c>
      <c r="O15" s="0" t="s">
        <v>3470</v>
      </c>
      <c r="P15" s="0" t="s">
        <v>3471</v>
      </c>
      <c r="Q15" s="0" t="s">
        <v>245</v>
      </c>
      <c r="R15" s="0" t="b">
        <v>0</v>
      </c>
      <c r="S15" s="0" t="s">
        <v>3335</v>
      </c>
    </row>
    <row customHeight="1" ht="11.25">
      <c r="A16" s="0">
        <v>2655</v>
      </c>
      <c r="B16" s="0" t="s">
        <v>114</v>
      </c>
      <c r="C16" s="0">
        <v>31387447</v>
      </c>
      <c r="D16" s="0" t="s">
        <v>3472</v>
      </c>
      <c r="E16" s="0" t="s">
        <v>3473</v>
      </c>
      <c r="F16" s="0" t="s">
        <v>3474</v>
      </c>
      <c r="G16" s="0" t="s">
        <v>3475</v>
      </c>
      <c r="H16" s="0" t="s">
        <v>3476</v>
      </c>
      <c r="I16" s="0" t="s">
        <v>3477</v>
      </c>
      <c r="J16" s="0" t="s">
        <v>3478</v>
      </c>
      <c r="K16" s="0" t="s">
        <v>3479</v>
      </c>
      <c r="L16" s="0" t="s">
        <v>3479</v>
      </c>
      <c r="M16" s="0" t="s">
        <v>3480</v>
      </c>
      <c r="N16" s="0" t="s">
        <v>3481</v>
      </c>
      <c r="O16" s="0" t="s">
        <v>3482</v>
      </c>
      <c r="P16" s="0" t="s">
        <v>3471</v>
      </c>
      <c r="Q16" s="0" t="s">
        <v>245</v>
      </c>
      <c r="R16" s="0" t="b">
        <v>0</v>
      </c>
      <c r="S16" s="0" t="s">
        <v>3335</v>
      </c>
    </row>
    <row customHeight="1" ht="11.25">
      <c r="A17" s="0">
        <v>2655</v>
      </c>
      <c r="B17" s="0" t="s">
        <v>114</v>
      </c>
      <c r="C17" s="0">
        <v>30808700</v>
      </c>
      <c r="D17" s="0" t="s">
        <v>3483</v>
      </c>
      <c r="E17" s="0" t="s">
        <v>3484</v>
      </c>
      <c r="F17" s="0" t="s">
        <v>3485</v>
      </c>
      <c r="G17" s="0" t="s">
        <v>3417</v>
      </c>
      <c r="H17" s="0" t="s">
        <v>3486</v>
      </c>
      <c r="I17" s="0" t="s">
        <v>3487</v>
      </c>
      <c r="J17" s="0" t="s">
        <v>3478</v>
      </c>
      <c r="K17" s="0" t="s">
        <v>3488</v>
      </c>
      <c r="L17" s="0" t="s">
        <v>3489</v>
      </c>
      <c r="M17" s="0" t="s">
        <v>3490</v>
      </c>
      <c r="N17" s="0" t="s">
        <v>3491</v>
      </c>
      <c r="O17" s="0" t="s">
        <v>3492</v>
      </c>
      <c r="P17" s="0" t="s">
        <v>3434</v>
      </c>
      <c r="Q17" s="0" t="s">
        <v>245</v>
      </c>
      <c r="R17" s="0" t="b">
        <v>1</v>
      </c>
      <c r="S17" s="0" t="s">
        <v>3335</v>
      </c>
    </row>
    <row customHeight="1" ht="11.25">
      <c r="A18" s="0">
        <v>2655</v>
      </c>
      <c r="B18" s="0" t="s">
        <v>114</v>
      </c>
      <c r="C18" s="0">
        <v>31319221</v>
      </c>
      <c r="D18" s="0" t="s">
        <v>3493</v>
      </c>
      <c r="E18" s="0" t="s">
        <v>3494</v>
      </c>
      <c r="F18" s="0" t="s">
        <v>3495</v>
      </c>
      <c r="G18" s="0" t="s">
        <v>3475</v>
      </c>
      <c r="H18" s="0" t="s">
        <v>3496</v>
      </c>
      <c r="I18" s="0" t="s">
        <v>3497</v>
      </c>
      <c r="J18" s="0" t="s">
        <v>3466</v>
      </c>
      <c r="K18" s="0" t="s">
        <v>3498</v>
      </c>
      <c r="L18" s="0" t="s">
        <v>3499</v>
      </c>
      <c r="M18" s="0" t="s">
        <v>3500</v>
      </c>
      <c r="N18" s="0" t="s">
        <v>3501</v>
      </c>
      <c r="O18" s="0" t="s">
        <v>3502</v>
      </c>
      <c r="P18" s="0" t="s">
        <v>3471</v>
      </c>
      <c r="Q18" s="0" t="s">
        <v>245</v>
      </c>
      <c r="R18" s="0" t="b">
        <v>0</v>
      </c>
      <c r="S18" s="0" t="s">
        <v>3335</v>
      </c>
    </row>
    <row customHeight="1" ht="11.25">
      <c r="A19" s="0">
        <v>2655</v>
      </c>
      <c r="B19" s="0" t="s">
        <v>114</v>
      </c>
      <c r="C19" s="0">
        <v>31419990</v>
      </c>
      <c r="D19" s="0" t="s">
        <v>3503</v>
      </c>
      <c r="E19" s="0" t="s">
        <v>3504</v>
      </c>
      <c r="F19" s="0" t="s">
        <v>3505</v>
      </c>
      <c r="G19" s="0" t="s">
        <v>3506</v>
      </c>
      <c r="H19" s="0" t="s">
        <v>3507</v>
      </c>
      <c r="I19" s="0" t="s">
        <v>3508</v>
      </c>
      <c r="J19" s="0" t="s">
        <v>3466</v>
      </c>
      <c r="K19" s="0" t="s">
        <v>3509</v>
      </c>
      <c r="L19" s="0" t="s">
        <v>3509</v>
      </c>
      <c r="M19" s="0" t="s">
        <v>3510</v>
      </c>
      <c r="N19" s="0" t="s">
        <v>3511</v>
      </c>
      <c r="O19" s="0" t="s">
        <v>3512</v>
      </c>
      <c r="P19" s="0" t="s">
        <v>3471</v>
      </c>
      <c r="Q19" s="0" t="s">
        <v>3513</v>
      </c>
      <c r="R19" s="0" t="b">
        <v>0</v>
      </c>
      <c r="S19" s="0" t="s">
        <v>3335</v>
      </c>
    </row>
    <row customHeight="1" ht="11.25">
      <c r="A20" s="0">
        <v>2655</v>
      </c>
      <c r="B20" s="0" t="s">
        <v>114</v>
      </c>
      <c r="C20" s="0">
        <v>31343443</v>
      </c>
      <c r="D20" s="0" t="s">
        <v>3514</v>
      </c>
      <c r="E20" s="0" t="s">
        <v>3515</v>
      </c>
      <c r="F20" s="0" t="s">
        <v>3516</v>
      </c>
      <c r="G20" s="0" t="s">
        <v>3417</v>
      </c>
      <c r="H20" s="0" t="s">
        <v>3517</v>
      </c>
      <c r="I20" s="0" t="s">
        <v>3518</v>
      </c>
      <c r="J20" s="0" t="s">
        <v>3466</v>
      </c>
      <c r="K20" s="0" t="s">
        <v>3519</v>
      </c>
      <c r="L20" s="0" t="s">
        <v>3519</v>
      </c>
      <c r="N20" s="0" t="s">
        <v>3520</v>
      </c>
      <c r="O20" s="0" t="s">
        <v>3521</v>
      </c>
      <c r="P20" s="0" t="s">
        <v>3434</v>
      </c>
      <c r="R20" s="0" t="b">
        <v>0</v>
      </c>
      <c r="S20" s="0" t="s">
        <v>3335</v>
      </c>
    </row>
    <row customHeight="1" ht="11.25">
      <c r="A21" s="0">
        <v>2655</v>
      </c>
      <c r="B21" s="0" t="s">
        <v>114</v>
      </c>
      <c r="C21" s="0">
        <v>31367841</v>
      </c>
      <c r="D21" s="0" t="s">
        <v>3522</v>
      </c>
      <c r="E21" s="0" t="s">
        <v>3523</v>
      </c>
      <c r="F21" s="0" t="s">
        <v>3524</v>
      </c>
      <c r="G21" s="0" t="s">
        <v>3525</v>
      </c>
      <c r="H21" s="0" t="s">
        <v>3526</v>
      </c>
      <c r="I21" s="0" t="s">
        <v>3527</v>
      </c>
      <c r="J21" s="0" t="s">
        <v>3478</v>
      </c>
      <c r="K21" s="0" t="s">
        <v>3528</v>
      </c>
      <c r="L21" s="0" t="s">
        <v>3528</v>
      </c>
      <c r="M21" s="0" t="s">
        <v>245</v>
      </c>
      <c r="N21" s="0" t="s">
        <v>3529</v>
      </c>
      <c r="O21" s="0" t="s">
        <v>3530</v>
      </c>
      <c r="P21" s="0" t="s">
        <v>3471</v>
      </c>
      <c r="Q21" s="0" t="s">
        <v>245</v>
      </c>
      <c r="R21" s="0" t="b">
        <v>0</v>
      </c>
      <c r="S21" s="0" t="s">
        <v>3335</v>
      </c>
    </row>
    <row customHeight="1" ht="11.25">
      <c r="A22" s="0">
        <v>2655</v>
      </c>
      <c r="B22" s="0" t="s">
        <v>114</v>
      </c>
      <c r="C22" s="0">
        <v>31087651</v>
      </c>
      <c r="D22" s="0" t="s">
        <v>3531</v>
      </c>
      <c r="E22" s="0" t="s">
        <v>3532</v>
      </c>
      <c r="F22" s="0" t="s">
        <v>3533</v>
      </c>
      <c r="G22" s="0" t="s">
        <v>3534</v>
      </c>
      <c r="H22" s="0" t="s">
        <v>3535</v>
      </c>
      <c r="I22" s="0" t="s">
        <v>3536</v>
      </c>
      <c r="J22" s="0" t="s">
        <v>3466</v>
      </c>
      <c r="K22" s="0" t="s">
        <v>3537</v>
      </c>
      <c r="L22" s="0" t="s">
        <v>3537</v>
      </c>
      <c r="M22" s="0" t="s">
        <v>3538</v>
      </c>
      <c r="N22" s="0" t="s">
        <v>3539</v>
      </c>
      <c r="O22" s="0" t="s">
        <v>3540</v>
      </c>
      <c r="R22" s="0" t="b">
        <v>0</v>
      </c>
      <c r="S22" s="0" t="s">
        <v>3335</v>
      </c>
    </row>
    <row customHeight="1" ht="11.25">
      <c r="A23" s="0">
        <v>2655</v>
      </c>
      <c r="B23" s="0" t="s">
        <v>114</v>
      </c>
      <c r="C23" s="0">
        <v>31367862</v>
      </c>
      <c r="D23" s="0" t="s">
        <v>3541</v>
      </c>
      <c r="E23" s="0" t="s">
        <v>3542</v>
      </c>
      <c r="F23" s="0" t="s">
        <v>3543</v>
      </c>
      <c r="G23" s="0" t="s">
        <v>3525</v>
      </c>
      <c r="H23" s="0" t="s">
        <v>3544</v>
      </c>
      <c r="I23" s="0" t="s">
        <v>3545</v>
      </c>
      <c r="J23" s="0" t="s">
        <v>3466</v>
      </c>
      <c r="K23" s="0" t="s">
        <v>3546</v>
      </c>
      <c r="L23" s="0" t="s">
        <v>3546</v>
      </c>
      <c r="M23" s="0" t="s">
        <v>245</v>
      </c>
      <c r="N23" s="0" t="s">
        <v>3547</v>
      </c>
      <c r="O23" s="0" t="s">
        <v>3548</v>
      </c>
      <c r="P23" s="0" t="s">
        <v>3471</v>
      </c>
      <c r="Q23" s="0" t="s">
        <v>245</v>
      </c>
      <c r="R23" s="0" t="b">
        <v>0</v>
      </c>
      <c r="S23" s="0" t="s">
        <v>3335</v>
      </c>
    </row>
    <row customHeight="1" ht="11.25">
      <c r="A24" s="0">
        <v>2655</v>
      </c>
      <c r="B24" s="0" t="s">
        <v>114</v>
      </c>
      <c r="C24" s="0">
        <v>26486390</v>
      </c>
      <c r="D24" s="0" t="s">
        <v>3549</v>
      </c>
      <c r="E24" s="0" t="s">
        <v>3550</v>
      </c>
      <c r="F24" s="0" t="s">
        <v>3551</v>
      </c>
      <c r="G24" s="0" t="s">
        <v>3552</v>
      </c>
      <c r="H24" s="0" t="s">
        <v>3553</v>
      </c>
      <c r="I24" s="0" t="s">
        <v>3554</v>
      </c>
      <c r="J24" s="0" t="s">
        <v>3478</v>
      </c>
      <c r="K24" s="0" t="s">
        <v>3555</v>
      </c>
      <c r="L24" s="0" t="s">
        <v>3555</v>
      </c>
      <c r="M24" s="0" t="s">
        <v>3556</v>
      </c>
      <c r="N24" s="0" t="s">
        <v>3557</v>
      </c>
      <c r="O24" s="0" t="s">
        <v>3558</v>
      </c>
      <c r="P24" s="0" t="s">
        <v>3559</v>
      </c>
      <c r="Q24" s="0" t="s">
        <v>245</v>
      </c>
      <c r="R24" s="0" t="b">
        <v>0</v>
      </c>
      <c r="S24" s="0" t="s">
        <v>3335</v>
      </c>
    </row>
    <row customHeight="1" ht="11.25">
      <c r="A25" s="0">
        <v>2655</v>
      </c>
      <c r="B25" s="0" t="s">
        <v>114</v>
      </c>
      <c r="C25" s="0">
        <v>27977465</v>
      </c>
      <c r="D25" s="0" t="s">
        <v>3560</v>
      </c>
      <c r="E25" s="0" t="s">
        <v>3561</v>
      </c>
      <c r="F25" s="0" t="s">
        <v>3562</v>
      </c>
      <c r="G25" s="0" t="s">
        <v>3563</v>
      </c>
      <c r="H25" s="0" t="s">
        <v>3564</v>
      </c>
      <c r="I25" s="0" t="s">
        <v>245</v>
      </c>
      <c r="K25" s="0" t="s">
        <v>3565</v>
      </c>
      <c r="L25" s="0" t="s">
        <v>3565</v>
      </c>
      <c r="M25" s="0" t="s">
        <v>3566</v>
      </c>
      <c r="N25" s="0" t="s">
        <v>3567</v>
      </c>
      <c r="O25" s="0" t="s">
        <v>3568</v>
      </c>
      <c r="P25" s="0" t="s">
        <v>3434</v>
      </c>
      <c r="Q25" s="0" t="s">
        <v>245</v>
      </c>
      <c r="R25" s="0" t="b">
        <v>0</v>
      </c>
      <c r="S25" s="0" t="s">
        <v>3335</v>
      </c>
    </row>
    <row customHeight="1" ht="11.25">
      <c r="A26" s="0">
        <v>2655</v>
      </c>
      <c r="B26" s="0" t="s">
        <v>114</v>
      </c>
      <c r="C26" s="0">
        <v>31003143</v>
      </c>
      <c r="D26" s="0" t="s">
        <v>3569</v>
      </c>
      <c r="E26" s="0" t="s">
        <v>3570</v>
      </c>
      <c r="F26" s="0" t="s">
        <v>3571</v>
      </c>
      <c r="G26" s="0" t="s">
        <v>3563</v>
      </c>
      <c r="H26" s="0" t="s">
        <v>3572</v>
      </c>
      <c r="I26" s="0" t="s">
        <v>3573</v>
      </c>
      <c r="J26" s="0" t="s">
        <v>3478</v>
      </c>
      <c r="K26" s="0" t="s">
        <v>3574</v>
      </c>
      <c r="L26" s="0" t="s">
        <v>3575</v>
      </c>
      <c r="M26" s="0" t="s">
        <v>3576</v>
      </c>
      <c r="N26" s="0" t="s">
        <v>3577</v>
      </c>
      <c r="O26" s="0" t="s">
        <v>3578</v>
      </c>
      <c r="P26" s="0" t="s">
        <v>3471</v>
      </c>
      <c r="Q26" s="0" t="s">
        <v>245</v>
      </c>
      <c r="R26" s="0" t="b">
        <v>1</v>
      </c>
      <c r="S26" s="0" t="s">
        <v>3335</v>
      </c>
    </row>
    <row customHeight="1" ht="11.25">
      <c r="A27" s="0">
        <v>2655</v>
      </c>
      <c r="B27" s="0" t="s">
        <v>114</v>
      </c>
      <c r="C27" s="0">
        <v>31308226</v>
      </c>
      <c r="D27" s="0" t="s">
        <v>3579</v>
      </c>
      <c r="E27" s="0" t="s">
        <v>3580</v>
      </c>
      <c r="F27" s="0" t="s">
        <v>3581</v>
      </c>
      <c r="G27" s="0" t="s">
        <v>3582</v>
      </c>
      <c r="H27" s="0" t="s">
        <v>3583</v>
      </c>
      <c r="I27" s="0" t="s">
        <v>3584</v>
      </c>
      <c r="J27" s="0" t="s">
        <v>3478</v>
      </c>
      <c r="K27" s="0" t="s">
        <v>3585</v>
      </c>
      <c r="L27" s="0" t="s">
        <v>3585</v>
      </c>
      <c r="M27" s="0" t="s">
        <v>3586</v>
      </c>
      <c r="N27" s="0" t="s">
        <v>3587</v>
      </c>
      <c r="O27" s="0" t="s">
        <v>3588</v>
      </c>
      <c r="P27" s="0" t="s">
        <v>3434</v>
      </c>
      <c r="Q27" s="0" t="s">
        <v>245</v>
      </c>
      <c r="R27" s="0" t="b">
        <v>1</v>
      </c>
      <c r="S27" s="0" t="s">
        <v>3335</v>
      </c>
    </row>
    <row customHeight="1" ht="11.25">
      <c r="A28" s="0">
        <v>2655</v>
      </c>
      <c r="B28" s="0" t="s">
        <v>114</v>
      </c>
      <c r="C28" s="0">
        <v>31284269</v>
      </c>
      <c r="D28" s="0" t="s">
        <v>3589</v>
      </c>
      <c r="E28" s="0" t="s">
        <v>3590</v>
      </c>
      <c r="F28" s="0" t="s">
        <v>3591</v>
      </c>
      <c r="G28" s="0" t="s">
        <v>3534</v>
      </c>
      <c r="H28" s="0" t="s">
        <v>3592</v>
      </c>
      <c r="I28" s="0" t="s">
        <v>3593</v>
      </c>
      <c r="J28" s="0" t="s">
        <v>3478</v>
      </c>
      <c r="K28" s="0" t="s">
        <v>3594</v>
      </c>
      <c r="L28" s="0" t="s">
        <v>3595</v>
      </c>
      <c r="M28" s="0" t="s">
        <v>3596</v>
      </c>
      <c r="N28" s="0" t="s">
        <v>3597</v>
      </c>
      <c r="O28" s="0" t="s">
        <v>3598</v>
      </c>
      <c r="P28" s="0" t="s">
        <v>245</v>
      </c>
      <c r="Q28" s="0" t="s">
        <v>245</v>
      </c>
      <c r="R28" s="0" t="b">
        <v>0</v>
      </c>
      <c r="S28" s="0" t="s">
        <v>3335</v>
      </c>
    </row>
    <row customHeight="1" ht="11.25">
      <c r="A29" s="0">
        <v>2655</v>
      </c>
      <c r="B29" s="0" t="s">
        <v>114</v>
      </c>
      <c r="C29" s="0">
        <v>31241680</v>
      </c>
      <c r="D29" s="0" t="s">
        <v>3599</v>
      </c>
      <c r="E29" s="0" t="s">
        <v>3600</v>
      </c>
      <c r="F29" s="0" t="s">
        <v>3601</v>
      </c>
      <c r="G29" s="0" t="s">
        <v>3506</v>
      </c>
      <c r="H29" s="0" t="s">
        <v>3602</v>
      </c>
      <c r="I29" s="0" t="s">
        <v>3603</v>
      </c>
      <c r="J29" s="0" t="s">
        <v>3478</v>
      </c>
      <c r="K29" s="0" t="s">
        <v>3604</v>
      </c>
      <c r="L29" s="0" t="s">
        <v>3604</v>
      </c>
      <c r="M29" s="0" t="s">
        <v>3605</v>
      </c>
      <c r="N29" s="0" t="s">
        <v>3606</v>
      </c>
      <c r="O29" s="0" t="s">
        <v>3607</v>
      </c>
      <c r="P29" s="0" t="s">
        <v>3434</v>
      </c>
      <c r="Q29" s="0" t="s">
        <v>3608</v>
      </c>
      <c r="R29" s="0" t="b">
        <v>0</v>
      </c>
      <c r="S29" s="0" t="s">
        <v>3335</v>
      </c>
    </row>
    <row customHeight="1" ht="11.25">
      <c r="A30" s="0">
        <v>2655</v>
      </c>
      <c r="B30" s="0" t="s">
        <v>114</v>
      </c>
      <c r="C30" s="0">
        <v>31579664</v>
      </c>
      <c r="D30" s="0" t="s">
        <v>3609</v>
      </c>
      <c r="E30" s="0" t="s">
        <v>3610</v>
      </c>
      <c r="F30" s="0" t="s">
        <v>3611</v>
      </c>
      <c r="G30" s="0" t="s">
        <v>3417</v>
      </c>
      <c r="H30" s="0" t="s">
        <v>3612</v>
      </c>
      <c r="I30" s="0" t="s">
        <v>3613</v>
      </c>
      <c r="K30" s="0" t="s">
        <v>3614</v>
      </c>
      <c r="L30" s="0" t="s">
        <v>3615</v>
      </c>
      <c r="M30" s="0" t="s">
        <v>3616</v>
      </c>
      <c r="N30" s="0" t="s">
        <v>245</v>
      </c>
      <c r="O30" s="0" t="s">
        <v>3617</v>
      </c>
      <c r="P30" s="0" t="s">
        <v>3471</v>
      </c>
      <c r="Q30" s="0" t="s">
        <v>3618</v>
      </c>
      <c r="R30" s="0" t="b">
        <v>1</v>
      </c>
      <c r="S30" s="0" t="s">
        <v>3335</v>
      </c>
    </row>
    <row customHeight="1" ht="11.25">
      <c r="A31" s="0">
        <v>2655</v>
      </c>
      <c r="B31" s="0" t="s">
        <v>114</v>
      </c>
      <c r="C31" s="0">
        <v>26322895</v>
      </c>
      <c r="D31" s="0" t="s">
        <v>3619</v>
      </c>
      <c r="E31" s="0" t="s">
        <v>3620</v>
      </c>
      <c r="F31" s="0" t="s">
        <v>3621</v>
      </c>
      <c r="G31" s="0" t="s">
        <v>3339</v>
      </c>
      <c r="H31" s="0" t="s">
        <v>3622</v>
      </c>
      <c r="I31" s="0" t="s">
        <v>3623</v>
      </c>
      <c r="J31" s="0" t="s">
        <v>3409</v>
      </c>
      <c r="K31" s="0" t="s">
        <v>3624</v>
      </c>
      <c r="L31" s="0" t="s">
        <v>3624</v>
      </c>
      <c r="M31" s="0" t="s">
        <v>3625</v>
      </c>
      <c r="N31" s="0" t="s">
        <v>3626</v>
      </c>
      <c r="O31" s="0" t="s">
        <v>3627</v>
      </c>
      <c r="P31" s="0" t="s">
        <v>179</v>
      </c>
      <c r="Q31" s="0" t="s">
        <v>3628</v>
      </c>
      <c r="R31" s="0" t="b">
        <v>0</v>
      </c>
      <c r="S31" s="0" t="s">
        <v>3335</v>
      </c>
    </row>
    <row customHeight="1" ht="11.25">
      <c r="A32" s="0">
        <v>2655</v>
      </c>
      <c r="B32" s="0" t="s">
        <v>114</v>
      </c>
      <c r="C32" s="0">
        <v>28119331</v>
      </c>
      <c r="D32" s="0" t="s">
        <v>3629</v>
      </c>
      <c r="E32" s="0" t="s">
        <v>3630</v>
      </c>
      <c r="F32" s="0" t="s">
        <v>3631</v>
      </c>
      <c r="G32" s="0" t="s">
        <v>3339</v>
      </c>
      <c r="H32" s="0" t="s">
        <v>3632</v>
      </c>
      <c r="I32" s="0" t="s">
        <v>245</v>
      </c>
      <c r="J32" s="0" t="s">
        <v>156</v>
      </c>
      <c r="K32" s="0" t="s">
        <v>3633</v>
      </c>
      <c r="L32" s="0" t="s">
        <v>3633</v>
      </c>
      <c r="M32" s="0" t="s">
        <v>3634</v>
      </c>
      <c r="N32" s="0" t="s">
        <v>245</v>
      </c>
      <c r="O32" s="0" t="s">
        <v>3635</v>
      </c>
      <c r="P32" s="0" t="s">
        <v>3434</v>
      </c>
      <c r="Q32" s="0" t="s">
        <v>245</v>
      </c>
      <c r="R32" s="0" t="b">
        <v>1</v>
      </c>
      <c r="S32" s="0" t="s">
        <v>3335</v>
      </c>
    </row>
    <row customHeight="1" ht="11.25">
      <c r="A33" s="0">
        <v>2655</v>
      </c>
      <c r="B33" s="0" t="s">
        <v>114</v>
      </c>
      <c r="C33" s="0">
        <v>31775146</v>
      </c>
      <c r="D33" s="0" t="s">
        <v>3636</v>
      </c>
      <c r="E33" s="0" t="s">
        <v>3637</v>
      </c>
      <c r="F33" s="0" t="s">
        <v>3638</v>
      </c>
      <c r="G33" s="0" t="s">
        <v>149</v>
      </c>
      <c r="H33" s="0" t="s">
        <v>3639</v>
      </c>
      <c r="I33" s="0" t="s">
        <v>3640</v>
      </c>
      <c r="K33" s="0" t="s">
        <v>3641</v>
      </c>
      <c r="L33" s="0" t="s">
        <v>3641</v>
      </c>
      <c r="M33" s="0" t="s">
        <v>3642</v>
      </c>
      <c r="N33" s="0" t="s">
        <v>171</v>
      </c>
      <c r="O33" s="0" t="s">
        <v>175</v>
      </c>
      <c r="P33" s="0" t="s">
        <v>3434</v>
      </c>
      <c r="Q33" s="0" t="s">
        <v>245</v>
      </c>
      <c r="R33" s="0" t="b">
        <v>1</v>
      </c>
      <c r="S33" s="0" t="s">
        <v>3335</v>
      </c>
    </row>
    <row customHeight="1" ht="11.25">
      <c r="A34" s="0">
        <v>2655</v>
      </c>
      <c r="B34" s="0" t="s">
        <v>114</v>
      </c>
      <c r="C34" s="0">
        <v>28869965</v>
      </c>
      <c r="D34" s="0" t="s">
        <v>3643</v>
      </c>
      <c r="E34" s="0" t="s">
        <v>3644</v>
      </c>
      <c r="F34" s="0" t="s">
        <v>3645</v>
      </c>
      <c r="G34" s="0" t="s">
        <v>3463</v>
      </c>
      <c r="H34" s="0" t="s">
        <v>3646</v>
      </c>
      <c r="I34" s="0" t="s">
        <v>245</v>
      </c>
      <c r="J34" s="0" t="s">
        <v>156</v>
      </c>
      <c r="K34" s="0" t="s">
        <v>3647</v>
      </c>
      <c r="L34" s="0" t="s">
        <v>3647</v>
      </c>
      <c r="M34" s="0" t="s">
        <v>3648</v>
      </c>
      <c r="N34" s="0" t="s">
        <v>3649</v>
      </c>
      <c r="O34" s="0" t="s">
        <v>3650</v>
      </c>
      <c r="P34" s="0" t="s">
        <v>179</v>
      </c>
      <c r="Q34" s="0" t="s">
        <v>3651</v>
      </c>
      <c r="R34" s="0" t="b">
        <v>0</v>
      </c>
      <c r="S34" s="0" t="s">
        <v>3335</v>
      </c>
    </row>
    <row customHeight="1" ht="11.25">
      <c r="A35" s="0">
        <v>2655</v>
      </c>
      <c r="B35" s="0" t="s">
        <v>114</v>
      </c>
      <c r="C35" s="0">
        <v>31356597</v>
      </c>
      <c r="D35" s="0" t="s">
        <v>3652</v>
      </c>
      <c r="E35" s="0" t="s">
        <v>3653</v>
      </c>
      <c r="F35" s="0" t="s">
        <v>3654</v>
      </c>
      <c r="G35" s="0" t="s">
        <v>3534</v>
      </c>
      <c r="H35" s="0" t="s">
        <v>3655</v>
      </c>
      <c r="I35" s="0" t="s">
        <v>3656</v>
      </c>
      <c r="J35" s="0" t="s">
        <v>156</v>
      </c>
      <c r="K35" s="0" t="s">
        <v>3657</v>
      </c>
      <c r="L35" s="0" t="s">
        <v>3657</v>
      </c>
      <c r="M35" s="0" t="s">
        <v>3658</v>
      </c>
      <c r="N35" s="0" t="s">
        <v>3659</v>
      </c>
      <c r="O35" s="0" t="s">
        <v>3660</v>
      </c>
      <c r="P35" s="0" t="s">
        <v>179</v>
      </c>
      <c r="Q35" s="0" t="s">
        <v>245</v>
      </c>
      <c r="R35" s="0" t="b">
        <v>0</v>
      </c>
      <c r="S35" s="0" t="s">
        <v>3335</v>
      </c>
    </row>
    <row customHeight="1" ht="11.25">
      <c r="A36" s="0">
        <v>2655</v>
      </c>
      <c r="B36" s="0" t="s">
        <v>114</v>
      </c>
      <c r="C36" s="0">
        <v>28136671</v>
      </c>
      <c r="D36" s="0" t="s">
        <v>3661</v>
      </c>
      <c r="E36" s="0" t="s">
        <v>3662</v>
      </c>
      <c r="F36" s="0" t="s">
        <v>3663</v>
      </c>
      <c r="G36" s="0" t="s">
        <v>3664</v>
      </c>
      <c r="H36" s="0" t="s">
        <v>3665</v>
      </c>
      <c r="I36" s="0" t="s">
        <v>3666</v>
      </c>
      <c r="J36" s="0" t="s">
        <v>156</v>
      </c>
      <c r="K36" s="0" t="s">
        <v>3667</v>
      </c>
      <c r="L36" s="0" t="s">
        <v>3668</v>
      </c>
      <c r="M36" s="0" t="s">
        <v>3669</v>
      </c>
      <c r="N36" s="0" t="s">
        <v>3670</v>
      </c>
      <c r="O36" s="0" t="s">
        <v>3671</v>
      </c>
      <c r="P36" s="0" t="s">
        <v>3347</v>
      </c>
      <c r="Q36" s="0" t="s">
        <v>245</v>
      </c>
      <c r="R36" s="0" t="b">
        <v>1</v>
      </c>
      <c r="S36" s="0" t="s">
        <v>3335</v>
      </c>
    </row>
    <row customHeight="1" ht="11.25">
      <c r="A37" s="0">
        <v>2655</v>
      </c>
      <c r="B37" s="0" t="s">
        <v>114</v>
      </c>
      <c r="C37" s="0">
        <v>30854705</v>
      </c>
      <c r="D37" s="0" t="s">
        <v>3672</v>
      </c>
      <c r="E37" s="0" t="s">
        <v>3673</v>
      </c>
      <c r="F37" s="0" t="s">
        <v>3674</v>
      </c>
      <c r="G37" s="0" t="s">
        <v>3362</v>
      </c>
      <c r="H37" s="0" t="s">
        <v>3675</v>
      </c>
      <c r="I37" s="0" t="s">
        <v>3676</v>
      </c>
      <c r="J37" s="0" t="s">
        <v>156</v>
      </c>
      <c r="K37" s="0" t="s">
        <v>3677</v>
      </c>
      <c r="L37" s="0" t="s">
        <v>3677</v>
      </c>
      <c r="M37" s="0" t="s">
        <v>3678</v>
      </c>
      <c r="N37" s="0" t="s">
        <v>3679</v>
      </c>
      <c r="O37" s="0" t="s">
        <v>3680</v>
      </c>
      <c r="P37" s="0" t="s">
        <v>179</v>
      </c>
      <c r="Q37" s="0" t="s">
        <v>190</v>
      </c>
      <c r="R37" s="0" t="b">
        <v>0</v>
      </c>
      <c r="S37" s="0" t="s">
        <v>3335</v>
      </c>
    </row>
    <row customHeight="1" ht="11.25">
      <c r="A38" s="0">
        <v>2655</v>
      </c>
      <c r="B38" s="0" t="s">
        <v>114</v>
      </c>
      <c r="C38" s="0">
        <v>31656254</v>
      </c>
      <c r="D38" s="0" t="s">
        <v>3681</v>
      </c>
      <c r="E38" s="0" t="s">
        <v>3682</v>
      </c>
      <c r="F38" s="0" t="s">
        <v>3683</v>
      </c>
      <c r="G38" s="0" t="s">
        <v>3684</v>
      </c>
      <c r="H38" s="0" t="s">
        <v>3685</v>
      </c>
      <c r="I38" s="0" t="s">
        <v>3686</v>
      </c>
      <c r="K38" s="0" t="s">
        <v>3687</v>
      </c>
      <c r="L38" s="0" t="s">
        <v>3688</v>
      </c>
      <c r="M38" s="0" t="s">
        <v>3689</v>
      </c>
      <c r="N38" s="0" t="s">
        <v>3690</v>
      </c>
      <c r="O38" s="0" t="s">
        <v>3691</v>
      </c>
      <c r="P38" s="0" t="s">
        <v>3471</v>
      </c>
      <c r="Q38" s="0" t="s">
        <v>3692</v>
      </c>
      <c r="R38" s="0" t="b">
        <v>0</v>
      </c>
      <c r="S38" s="0" t="s">
        <v>3335</v>
      </c>
    </row>
    <row customHeight="1" ht="11.25">
      <c r="A39" s="0">
        <v>2655</v>
      </c>
      <c r="B39" s="0" t="s">
        <v>114</v>
      </c>
      <c r="C39" s="0">
        <v>31424033</v>
      </c>
      <c r="D39" s="0" t="s">
        <v>3693</v>
      </c>
      <c r="E39" s="0" t="s">
        <v>3694</v>
      </c>
      <c r="F39" s="0" t="s">
        <v>3695</v>
      </c>
      <c r="G39" s="0" t="s">
        <v>3696</v>
      </c>
      <c r="H39" s="0" t="s">
        <v>3697</v>
      </c>
      <c r="I39" s="0" t="s">
        <v>245</v>
      </c>
      <c r="J39" s="0" t="s">
        <v>156</v>
      </c>
      <c r="K39" s="0" t="s">
        <v>245</v>
      </c>
      <c r="L39" s="0" t="s">
        <v>245</v>
      </c>
      <c r="M39" s="0" t="s">
        <v>245</v>
      </c>
      <c r="N39" s="0" t="s">
        <v>245</v>
      </c>
      <c r="O39" s="0" t="s">
        <v>245</v>
      </c>
      <c r="P39" s="0" t="s">
        <v>245</v>
      </c>
      <c r="Q39" s="0" t="s">
        <v>245</v>
      </c>
      <c r="R39" s="0" t="b">
        <v>0</v>
      </c>
      <c r="S39" s="0" t="s">
        <v>3335</v>
      </c>
    </row>
    <row customHeight="1" ht="11.25">
      <c r="A40" s="0">
        <v>2655</v>
      </c>
      <c r="B40" s="0" t="s">
        <v>114</v>
      </c>
      <c r="C40" s="0">
        <v>26428026</v>
      </c>
      <c r="D40" s="0" t="s">
        <v>3698</v>
      </c>
      <c r="E40" s="0" t="s">
        <v>3699</v>
      </c>
      <c r="F40" s="0" t="s">
        <v>3700</v>
      </c>
      <c r="G40" s="0" t="s">
        <v>3701</v>
      </c>
      <c r="H40" s="0" t="s">
        <v>3702</v>
      </c>
      <c r="I40" s="0" t="s">
        <v>245</v>
      </c>
      <c r="K40" s="0" t="s">
        <v>3703</v>
      </c>
      <c r="L40" s="0" t="s">
        <v>3703</v>
      </c>
      <c r="M40" s="0" t="s">
        <v>3704</v>
      </c>
      <c r="N40" s="0" t="s">
        <v>3705</v>
      </c>
      <c r="O40" s="0" t="s">
        <v>3706</v>
      </c>
      <c r="P40" s="0" t="s">
        <v>3471</v>
      </c>
      <c r="Q40" s="0" t="s">
        <v>245</v>
      </c>
      <c r="R40" s="0" t="b">
        <v>1</v>
      </c>
      <c r="S40" s="0" t="s">
        <v>3335</v>
      </c>
    </row>
    <row customHeight="1" ht="11.25">
      <c r="A41" s="0">
        <v>2655</v>
      </c>
      <c r="B41" s="0" t="s">
        <v>114</v>
      </c>
      <c r="C41" s="0">
        <v>28151808</v>
      </c>
      <c r="D41" s="0" t="s">
        <v>3707</v>
      </c>
      <c r="E41" s="0" t="s">
        <v>3708</v>
      </c>
      <c r="F41" s="0" t="s">
        <v>3709</v>
      </c>
      <c r="G41" s="0" t="s">
        <v>3417</v>
      </c>
      <c r="H41" s="0" t="s">
        <v>3710</v>
      </c>
      <c r="I41" s="0" t="s">
        <v>3711</v>
      </c>
      <c r="J41" s="0" t="s">
        <v>156</v>
      </c>
      <c r="K41" s="0" t="s">
        <v>3712</v>
      </c>
      <c r="L41" s="0" t="s">
        <v>3713</v>
      </c>
      <c r="M41" s="0" t="s">
        <v>3714</v>
      </c>
      <c r="N41" s="0" t="s">
        <v>3715</v>
      </c>
      <c r="O41" s="0" t="s">
        <v>3716</v>
      </c>
      <c r="P41" s="0" t="s">
        <v>179</v>
      </c>
      <c r="Q41" s="0" t="s">
        <v>245</v>
      </c>
      <c r="R41" s="0" t="b">
        <v>1</v>
      </c>
      <c r="S41" s="0" t="s">
        <v>3335</v>
      </c>
    </row>
    <row customHeight="1" ht="11.25">
      <c r="A42" s="0">
        <v>2655</v>
      </c>
      <c r="B42" s="0" t="s">
        <v>114</v>
      </c>
      <c r="C42" s="0">
        <v>31739633</v>
      </c>
      <c r="D42" s="0" t="s">
        <v>3717</v>
      </c>
      <c r="E42" s="0" t="s">
        <v>3718</v>
      </c>
      <c r="F42" s="0" t="s">
        <v>3719</v>
      </c>
      <c r="G42" s="0" t="s">
        <v>3720</v>
      </c>
      <c r="H42" s="0" t="s">
        <v>3721</v>
      </c>
      <c r="I42" s="0" t="s">
        <v>3722</v>
      </c>
      <c r="K42" s="0" t="s">
        <v>3723</v>
      </c>
      <c r="L42" s="0" t="s">
        <v>3723</v>
      </c>
      <c r="M42" s="0" t="s">
        <v>3724</v>
      </c>
      <c r="N42" s="0" t="s">
        <v>3725</v>
      </c>
      <c r="O42" s="0" t="s">
        <v>3726</v>
      </c>
      <c r="P42" s="0" t="s">
        <v>3434</v>
      </c>
      <c r="Q42" s="0" t="s">
        <v>245</v>
      </c>
      <c r="R42" s="0" t="b">
        <v>0</v>
      </c>
      <c r="S42" s="0" t="s">
        <v>3335</v>
      </c>
    </row>
    <row customHeight="1" ht="11.25">
      <c r="A43" s="0">
        <v>2655</v>
      </c>
      <c r="B43" s="0" t="s">
        <v>114</v>
      </c>
      <c r="C43" s="0">
        <v>31541617</v>
      </c>
      <c r="D43" s="0" t="s">
        <v>3727</v>
      </c>
      <c r="E43" s="0" t="s">
        <v>3728</v>
      </c>
      <c r="F43" s="0" t="s">
        <v>3729</v>
      </c>
      <c r="G43" s="0" t="s">
        <v>3730</v>
      </c>
      <c r="H43" s="0" t="s">
        <v>3731</v>
      </c>
      <c r="I43" s="0" t="s">
        <v>3732</v>
      </c>
      <c r="K43" s="0" t="s">
        <v>3733</v>
      </c>
      <c r="L43" s="0" t="s">
        <v>3733</v>
      </c>
      <c r="M43" s="0" t="s">
        <v>3734</v>
      </c>
      <c r="N43" s="0" t="s">
        <v>3735</v>
      </c>
      <c r="O43" s="0" t="s">
        <v>3736</v>
      </c>
      <c r="P43" s="0" t="s">
        <v>3434</v>
      </c>
      <c r="Q43" s="0" t="s">
        <v>245</v>
      </c>
      <c r="R43" s="0" t="b">
        <v>1</v>
      </c>
      <c r="S43" s="0" t="s">
        <v>3335</v>
      </c>
    </row>
    <row customHeight="1" ht="11.25">
      <c r="A44" s="0">
        <v>2655</v>
      </c>
      <c r="B44" s="0" t="s">
        <v>114</v>
      </c>
      <c r="C44" s="0">
        <v>26356987</v>
      </c>
      <c r="D44" s="0" t="s">
        <v>3737</v>
      </c>
      <c r="E44" s="0" t="s">
        <v>3738</v>
      </c>
      <c r="F44" s="0" t="s">
        <v>3739</v>
      </c>
      <c r="G44" s="0" t="s">
        <v>3740</v>
      </c>
      <c r="H44" s="0" t="s">
        <v>3741</v>
      </c>
      <c r="I44" s="0" t="s">
        <v>3742</v>
      </c>
      <c r="J44" s="0" t="s">
        <v>156</v>
      </c>
      <c r="K44" s="0" t="s">
        <v>3743</v>
      </c>
      <c r="L44" s="0" t="s">
        <v>3743</v>
      </c>
      <c r="M44" s="0" t="s">
        <v>3744</v>
      </c>
      <c r="N44" s="0" t="s">
        <v>3745</v>
      </c>
      <c r="O44" s="0" t="s">
        <v>3746</v>
      </c>
      <c r="P44" s="0" t="s">
        <v>3434</v>
      </c>
      <c r="Q44" s="0" t="s">
        <v>3747</v>
      </c>
      <c r="R44" s="0" t="b">
        <v>0</v>
      </c>
      <c r="S44" s="0" t="s">
        <v>3335</v>
      </c>
    </row>
    <row customHeight="1" ht="11.25">
      <c r="A45" s="0">
        <v>2655</v>
      </c>
      <c r="B45" s="0" t="s">
        <v>114</v>
      </c>
      <c r="C45" s="0">
        <v>26356891</v>
      </c>
      <c r="D45" s="0" t="s">
        <v>3748</v>
      </c>
      <c r="E45" s="0" t="s">
        <v>3749</v>
      </c>
      <c r="F45" s="0" t="s">
        <v>3750</v>
      </c>
      <c r="G45" s="0" t="s">
        <v>3563</v>
      </c>
      <c r="H45" s="0" t="s">
        <v>3751</v>
      </c>
      <c r="I45" s="0" t="s">
        <v>3752</v>
      </c>
      <c r="J45" s="0" t="s">
        <v>156</v>
      </c>
      <c r="K45" s="0" t="s">
        <v>3753</v>
      </c>
      <c r="L45" s="0" t="s">
        <v>3753</v>
      </c>
      <c r="M45" s="0" t="s">
        <v>3754</v>
      </c>
      <c r="N45" s="0" t="s">
        <v>3755</v>
      </c>
      <c r="O45" s="0" t="s">
        <v>3756</v>
      </c>
      <c r="P45" s="0" t="s">
        <v>3471</v>
      </c>
      <c r="Q45" s="0" t="s">
        <v>245</v>
      </c>
      <c r="R45" s="0" t="b">
        <v>0</v>
      </c>
      <c r="S45" s="0" t="s">
        <v>3335</v>
      </c>
    </row>
    <row customHeight="1" ht="11.25">
      <c r="A46" s="0">
        <v>2655</v>
      </c>
      <c r="B46" s="0" t="s">
        <v>114</v>
      </c>
      <c r="C46" s="0">
        <v>31241637</v>
      </c>
      <c r="D46" s="0" t="s">
        <v>3757</v>
      </c>
      <c r="E46" s="0" t="s">
        <v>3758</v>
      </c>
      <c r="F46" s="0" t="s">
        <v>3759</v>
      </c>
      <c r="G46" s="0" t="s">
        <v>3582</v>
      </c>
      <c r="H46" s="0" t="s">
        <v>3760</v>
      </c>
      <c r="I46" s="0" t="s">
        <v>3761</v>
      </c>
      <c r="J46" s="0" t="s">
        <v>156</v>
      </c>
      <c r="K46" s="0" t="s">
        <v>3762</v>
      </c>
      <c r="L46" s="0" t="s">
        <v>3762</v>
      </c>
      <c r="M46" s="0" t="s">
        <v>3763</v>
      </c>
      <c r="N46" s="0" t="s">
        <v>245</v>
      </c>
      <c r="O46" s="0" t="s">
        <v>3764</v>
      </c>
      <c r="P46" s="0" t="s">
        <v>3434</v>
      </c>
      <c r="Q46" s="0" t="s">
        <v>245</v>
      </c>
      <c r="R46" s="0" t="b">
        <v>0</v>
      </c>
      <c r="S46" s="0" t="s">
        <v>3335</v>
      </c>
    </row>
    <row customHeight="1" ht="11.25">
      <c r="A47" s="0">
        <v>2655</v>
      </c>
      <c r="B47" s="0" t="s">
        <v>114</v>
      </c>
      <c r="C47" s="0">
        <v>26356937</v>
      </c>
      <c r="D47" s="0" t="s">
        <v>3765</v>
      </c>
      <c r="E47" s="0" t="s">
        <v>3766</v>
      </c>
      <c r="F47" s="0" t="s">
        <v>3767</v>
      </c>
      <c r="G47" s="0" t="s">
        <v>149</v>
      </c>
      <c r="H47" s="0" t="s">
        <v>3768</v>
      </c>
      <c r="I47" s="0" t="s">
        <v>3769</v>
      </c>
      <c r="J47" s="0" t="s">
        <v>156</v>
      </c>
      <c r="K47" s="0" t="s">
        <v>3770</v>
      </c>
      <c r="L47" s="0" t="s">
        <v>3770</v>
      </c>
      <c r="M47" s="0" t="s">
        <v>3771</v>
      </c>
      <c r="N47" s="0" t="s">
        <v>3772</v>
      </c>
      <c r="O47" s="0" t="s">
        <v>3773</v>
      </c>
      <c r="P47" s="0" t="s">
        <v>3434</v>
      </c>
      <c r="Q47" s="0" t="s">
        <v>3774</v>
      </c>
      <c r="R47" s="0" t="b">
        <v>0</v>
      </c>
      <c r="S47" s="0" t="s">
        <v>3335</v>
      </c>
    </row>
    <row customHeight="1" ht="11.25">
      <c r="A48" s="0">
        <v>2655</v>
      </c>
      <c r="B48" s="0" t="s">
        <v>114</v>
      </c>
      <c r="C48" s="0">
        <v>31770754</v>
      </c>
      <c r="D48" s="0" t="s">
        <v>3775</v>
      </c>
      <c r="E48" s="0" t="s">
        <v>3776</v>
      </c>
      <c r="F48" s="0" t="s">
        <v>3777</v>
      </c>
      <c r="G48" s="0" t="s">
        <v>3720</v>
      </c>
      <c r="H48" s="0" t="s">
        <v>3778</v>
      </c>
      <c r="I48" s="0" t="s">
        <v>3779</v>
      </c>
      <c r="K48" s="0" t="s">
        <v>3780</v>
      </c>
      <c r="L48" s="0" t="s">
        <v>3781</v>
      </c>
      <c r="M48" s="0" t="s">
        <v>3782</v>
      </c>
      <c r="N48" s="0" t="s">
        <v>3783</v>
      </c>
      <c r="O48" s="0" t="s">
        <v>3784</v>
      </c>
      <c r="P48" s="0" t="s">
        <v>3471</v>
      </c>
      <c r="Q48" s="0" t="s">
        <v>245</v>
      </c>
      <c r="R48" s="0" t="b">
        <v>1</v>
      </c>
      <c r="S48" s="0" t="s">
        <v>3335</v>
      </c>
    </row>
    <row customHeight="1" ht="11.25">
      <c r="A49" s="0">
        <v>2655</v>
      </c>
      <c r="B49" s="0" t="s">
        <v>114</v>
      </c>
      <c r="C49" s="0">
        <v>31528492</v>
      </c>
      <c r="D49" s="0" t="s">
        <v>3785</v>
      </c>
      <c r="E49" s="0" t="s">
        <v>3786</v>
      </c>
      <c r="F49" s="0" t="s">
        <v>3787</v>
      </c>
      <c r="G49" s="0" t="s">
        <v>3582</v>
      </c>
      <c r="H49" s="0" t="s">
        <v>3788</v>
      </c>
      <c r="I49" s="0" t="s">
        <v>3789</v>
      </c>
      <c r="K49" s="0" t="s">
        <v>3790</v>
      </c>
      <c r="L49" s="0" t="s">
        <v>3790</v>
      </c>
      <c r="M49" s="0" t="s">
        <v>3791</v>
      </c>
      <c r="N49" s="0" t="s">
        <v>3792</v>
      </c>
      <c r="O49" s="0" t="s">
        <v>3793</v>
      </c>
      <c r="P49" s="0" t="s">
        <v>3347</v>
      </c>
      <c r="Q49" s="0" t="s">
        <v>245</v>
      </c>
      <c r="R49" s="0" t="b">
        <v>0</v>
      </c>
      <c r="S49" s="0" t="s">
        <v>3335</v>
      </c>
    </row>
    <row customHeight="1" ht="11.25">
      <c r="A50" s="0">
        <v>2655</v>
      </c>
      <c r="B50" s="0" t="s">
        <v>114</v>
      </c>
      <c r="C50" s="0">
        <v>28270293</v>
      </c>
      <c r="D50" s="0" t="s">
        <v>3794</v>
      </c>
      <c r="E50" s="0" t="s">
        <v>3795</v>
      </c>
      <c r="F50" s="0" t="s">
        <v>3796</v>
      </c>
      <c r="G50" s="0" t="s">
        <v>3563</v>
      </c>
      <c r="H50" s="0" t="s">
        <v>3797</v>
      </c>
      <c r="I50" s="0" t="s">
        <v>3798</v>
      </c>
      <c r="J50" s="0" t="s">
        <v>156</v>
      </c>
      <c r="K50" s="0" t="s">
        <v>3799</v>
      </c>
      <c r="L50" s="0" t="s">
        <v>3799</v>
      </c>
      <c r="M50" s="0" t="s">
        <v>3800</v>
      </c>
      <c r="N50" s="0" t="s">
        <v>3801</v>
      </c>
      <c r="O50" s="0" t="s">
        <v>3802</v>
      </c>
      <c r="P50" s="0" t="s">
        <v>179</v>
      </c>
      <c r="Q50" s="0" t="s">
        <v>245</v>
      </c>
      <c r="R50" s="0" t="b">
        <v>0</v>
      </c>
      <c r="S50" s="0" t="s">
        <v>3335</v>
      </c>
    </row>
    <row customHeight="1" ht="11.25">
      <c r="A51" s="0">
        <v>2655</v>
      </c>
      <c r="B51" s="0" t="s">
        <v>114</v>
      </c>
      <c r="C51" s="0">
        <v>28873362</v>
      </c>
      <c r="D51" s="0" t="s">
        <v>3803</v>
      </c>
      <c r="E51" s="0" t="s">
        <v>3804</v>
      </c>
      <c r="F51" s="0" t="s">
        <v>3805</v>
      </c>
      <c r="G51" s="0" t="s">
        <v>3339</v>
      </c>
      <c r="H51" s="0" t="s">
        <v>3806</v>
      </c>
      <c r="I51" s="0" t="s">
        <v>3807</v>
      </c>
      <c r="J51" s="0" t="s">
        <v>156</v>
      </c>
      <c r="K51" s="0" t="s">
        <v>3808</v>
      </c>
      <c r="L51" s="0" t="s">
        <v>3808</v>
      </c>
      <c r="M51" s="0" t="s">
        <v>3809</v>
      </c>
      <c r="N51" s="0" t="s">
        <v>3810</v>
      </c>
      <c r="O51" s="0" t="s">
        <v>3811</v>
      </c>
      <c r="P51" s="0" t="s">
        <v>3471</v>
      </c>
      <c r="Q51" s="0" t="s">
        <v>3812</v>
      </c>
      <c r="R51" s="0" t="b">
        <v>0</v>
      </c>
      <c r="S51" s="0" t="s">
        <v>3335</v>
      </c>
    </row>
    <row customHeight="1" ht="11.25">
      <c r="A52" s="0">
        <v>2655</v>
      </c>
      <c r="B52" s="0" t="s">
        <v>114</v>
      </c>
      <c r="C52" s="0">
        <v>28976681</v>
      </c>
      <c r="D52" s="0" t="s">
        <v>3813</v>
      </c>
      <c r="E52" s="0" t="s">
        <v>3814</v>
      </c>
      <c r="F52" s="0" t="s">
        <v>3815</v>
      </c>
      <c r="G52" s="0" t="s">
        <v>3563</v>
      </c>
      <c r="H52" s="0" t="s">
        <v>3816</v>
      </c>
      <c r="I52" s="0" t="s">
        <v>3817</v>
      </c>
      <c r="J52" s="0" t="s">
        <v>156</v>
      </c>
      <c r="K52" s="0" t="s">
        <v>3818</v>
      </c>
      <c r="L52" s="0" t="s">
        <v>3818</v>
      </c>
      <c r="M52" s="0" t="s">
        <v>3819</v>
      </c>
      <c r="N52" s="0" t="s">
        <v>245</v>
      </c>
      <c r="O52" s="0" t="s">
        <v>3820</v>
      </c>
      <c r="P52" s="0" t="s">
        <v>3471</v>
      </c>
      <c r="Q52" s="0" t="s">
        <v>245</v>
      </c>
      <c r="R52" s="0" t="b">
        <v>1</v>
      </c>
      <c r="S52" s="0" t="s">
        <v>3335</v>
      </c>
    </row>
    <row customHeight="1" ht="11.25">
      <c r="A53" s="0">
        <v>2655</v>
      </c>
      <c r="B53" s="0" t="s">
        <v>114</v>
      </c>
      <c r="C53" s="0">
        <v>30992391</v>
      </c>
      <c r="D53" s="0" t="s">
        <v>3821</v>
      </c>
      <c r="E53" s="0" t="s">
        <v>3822</v>
      </c>
      <c r="F53" s="0" t="s">
        <v>3823</v>
      </c>
      <c r="G53" s="0" t="s">
        <v>3463</v>
      </c>
      <c r="H53" s="0" t="s">
        <v>3824</v>
      </c>
      <c r="I53" s="0" t="s">
        <v>3825</v>
      </c>
      <c r="J53" s="0" t="s">
        <v>156</v>
      </c>
      <c r="K53" s="0" t="s">
        <v>3826</v>
      </c>
      <c r="L53" s="0" t="s">
        <v>3827</v>
      </c>
      <c r="M53" s="0" t="s">
        <v>3828</v>
      </c>
      <c r="N53" s="0" t="s">
        <v>3829</v>
      </c>
      <c r="O53" s="0" t="s">
        <v>3830</v>
      </c>
      <c r="P53" s="0" t="s">
        <v>3471</v>
      </c>
      <c r="Q53" s="0" t="s">
        <v>3831</v>
      </c>
      <c r="R53" s="0" t="b">
        <v>0</v>
      </c>
      <c r="S53" s="0" t="s">
        <v>3335</v>
      </c>
    </row>
    <row customHeight="1" ht="11.25">
      <c r="A54" s="0">
        <v>2655</v>
      </c>
      <c r="B54" s="0" t="s">
        <v>114</v>
      </c>
      <c r="C54" s="0">
        <v>26853991</v>
      </c>
      <c r="D54" s="0" t="s">
        <v>3832</v>
      </c>
      <c r="E54" s="0" t="s">
        <v>3833</v>
      </c>
      <c r="F54" s="0" t="s">
        <v>3834</v>
      </c>
      <c r="G54" s="0" t="s">
        <v>3835</v>
      </c>
      <c r="H54" s="0" t="s">
        <v>3836</v>
      </c>
      <c r="I54" s="0" t="s">
        <v>3837</v>
      </c>
      <c r="J54" s="0" t="s">
        <v>3327</v>
      </c>
      <c r="K54" s="0" t="s">
        <v>245</v>
      </c>
      <c r="L54" s="0" t="s">
        <v>3838</v>
      </c>
      <c r="M54" s="0" t="s">
        <v>3839</v>
      </c>
      <c r="N54" s="0" t="s">
        <v>3840</v>
      </c>
      <c r="O54" s="0" t="s">
        <v>3841</v>
      </c>
      <c r="P54" s="0" t="s">
        <v>3380</v>
      </c>
      <c r="Q54" s="0" t="s">
        <v>245</v>
      </c>
      <c r="R54" s="0" t="b">
        <v>0</v>
      </c>
      <c r="S54" s="0" t="s">
        <v>3335</v>
      </c>
    </row>
    <row customHeight="1" ht="11.25">
      <c r="A55" s="0">
        <v>2655</v>
      </c>
      <c r="B55" s="0" t="s">
        <v>114</v>
      </c>
      <c r="C55" s="0">
        <v>30808511</v>
      </c>
      <c r="D55" s="0" t="s">
        <v>3842</v>
      </c>
      <c r="E55" s="0" t="s">
        <v>3842</v>
      </c>
      <c r="F55" s="0" t="s">
        <v>3843</v>
      </c>
      <c r="G55" s="0" t="s">
        <v>3844</v>
      </c>
      <c r="H55" s="0" t="s">
        <v>3845</v>
      </c>
      <c r="I55" s="0" t="s">
        <v>3846</v>
      </c>
      <c r="J55" s="0" t="s">
        <v>3847</v>
      </c>
      <c r="K55" s="0" t="s">
        <v>3848</v>
      </c>
      <c r="L55" s="0" t="s">
        <v>3849</v>
      </c>
      <c r="M55" s="0" t="s">
        <v>3850</v>
      </c>
      <c r="N55" s="0" t="s">
        <v>245</v>
      </c>
      <c r="O55" s="0" t="s">
        <v>3851</v>
      </c>
      <c r="P55" s="0" t="s">
        <v>3471</v>
      </c>
      <c r="Q55" s="0" t="s">
        <v>3852</v>
      </c>
      <c r="R55" s="0" t="b">
        <v>0</v>
      </c>
      <c r="S55" s="0" t="s">
        <v>3335</v>
      </c>
    </row>
    <row customHeight="1" ht="11.25">
      <c r="A56" s="0">
        <v>2655</v>
      </c>
      <c r="B56" s="0" t="s">
        <v>114</v>
      </c>
      <c r="C56" s="0">
        <v>26987067</v>
      </c>
      <c r="D56" s="0" t="s">
        <v>3853</v>
      </c>
      <c r="E56" s="0" t="s">
        <v>245</v>
      </c>
      <c r="F56" s="0" t="s">
        <v>3843</v>
      </c>
      <c r="G56" s="0" t="s">
        <v>3854</v>
      </c>
      <c r="H56" s="0" t="s">
        <v>3845</v>
      </c>
      <c r="I56" s="0" t="s">
        <v>245</v>
      </c>
      <c r="J56" s="0" t="s">
        <v>3409</v>
      </c>
      <c r="K56" s="0" t="s">
        <v>3855</v>
      </c>
      <c r="L56" s="0" t="s">
        <v>3856</v>
      </c>
      <c r="M56" s="0" t="s">
        <v>245</v>
      </c>
      <c r="N56" s="0" t="s">
        <v>245</v>
      </c>
      <c r="O56" s="0" t="s">
        <v>245</v>
      </c>
      <c r="P56" s="0" t="s">
        <v>245</v>
      </c>
      <c r="Q56" s="0" t="s">
        <v>245</v>
      </c>
      <c r="R56" s="0" t="b">
        <v>0</v>
      </c>
      <c r="S56" s="0" t="s">
        <v>3335</v>
      </c>
    </row>
    <row customHeight="1" ht="11.25">
      <c r="A57" s="0">
        <v>2655</v>
      </c>
      <c r="B57" s="0" t="s">
        <v>114</v>
      </c>
      <c r="C57" s="0">
        <v>26520873</v>
      </c>
      <c r="D57" s="0" t="s">
        <v>3857</v>
      </c>
      <c r="E57" s="0" t="s">
        <v>3858</v>
      </c>
      <c r="F57" s="0" t="s">
        <v>3843</v>
      </c>
      <c r="G57" s="0" t="s">
        <v>3859</v>
      </c>
      <c r="H57" s="0" t="s">
        <v>3845</v>
      </c>
      <c r="I57" s="0" t="s">
        <v>3860</v>
      </c>
      <c r="J57" s="0" t="s">
        <v>3847</v>
      </c>
      <c r="K57" s="0" t="s">
        <v>3861</v>
      </c>
      <c r="L57" s="0" t="s">
        <v>3862</v>
      </c>
      <c r="M57" s="0" t="s">
        <v>3863</v>
      </c>
      <c r="N57" s="0" t="s">
        <v>3864</v>
      </c>
      <c r="O57" s="0" t="s">
        <v>3865</v>
      </c>
      <c r="P57" s="0" t="s">
        <v>3471</v>
      </c>
      <c r="Q57" s="0" t="s">
        <v>3866</v>
      </c>
      <c r="R57" s="0" t="b">
        <v>0</v>
      </c>
      <c r="S57" s="0" t="s">
        <v>3335</v>
      </c>
    </row>
    <row customHeight="1" ht="11.25">
      <c r="A58" s="0">
        <v>2655</v>
      </c>
      <c r="B58" s="0" t="s">
        <v>114</v>
      </c>
      <c r="C58" s="0">
        <v>30984255</v>
      </c>
      <c r="D58" s="0" t="s">
        <v>3867</v>
      </c>
      <c r="E58" s="0" t="s">
        <v>3868</v>
      </c>
      <c r="F58" s="0" t="s">
        <v>3869</v>
      </c>
      <c r="G58" s="0" t="s">
        <v>3417</v>
      </c>
      <c r="H58" s="0" t="s">
        <v>3870</v>
      </c>
      <c r="I58" s="0" t="s">
        <v>3871</v>
      </c>
      <c r="J58" s="0" t="s">
        <v>3872</v>
      </c>
      <c r="K58" s="0" t="s">
        <v>3873</v>
      </c>
      <c r="L58" s="0" t="s">
        <v>3873</v>
      </c>
      <c r="M58" s="0" t="s">
        <v>3874</v>
      </c>
      <c r="N58" s="0" t="s">
        <v>3875</v>
      </c>
      <c r="O58" s="0" t="s">
        <v>3876</v>
      </c>
      <c r="P58" s="0" t="s">
        <v>3877</v>
      </c>
      <c r="Q58" s="0" t="s">
        <v>245</v>
      </c>
      <c r="R58" s="0" t="b">
        <v>0</v>
      </c>
      <c r="S58" s="0" t="s">
        <v>3335</v>
      </c>
    </row>
    <row customHeight="1" ht="11.25">
      <c r="A59" s="0">
        <v>2655</v>
      </c>
      <c r="B59" s="0" t="s">
        <v>114</v>
      </c>
      <c r="C59" s="0">
        <v>28976938</v>
      </c>
      <c r="D59" s="0" t="s">
        <v>3321</v>
      </c>
      <c r="E59" s="0" t="s">
        <v>3322</v>
      </c>
      <c r="F59" s="0" t="s">
        <v>3323</v>
      </c>
      <c r="G59" s="0" t="s">
        <v>3324</v>
      </c>
      <c r="H59" s="0" t="s">
        <v>3325</v>
      </c>
      <c r="I59" s="0" t="s">
        <v>3326</v>
      </c>
      <c r="J59" s="0" t="s">
        <v>3327</v>
      </c>
      <c r="K59" s="0" t="s">
        <v>3328</v>
      </c>
      <c r="L59" s="0" t="s">
        <v>3329</v>
      </c>
      <c r="M59" s="0" t="s">
        <v>3330</v>
      </c>
      <c r="N59" s="0" t="s">
        <v>3331</v>
      </c>
      <c r="O59" s="0" t="s">
        <v>3332</v>
      </c>
      <c r="P59" s="0" t="s">
        <v>3333</v>
      </c>
      <c r="Q59" s="0" t="s">
        <v>3334</v>
      </c>
      <c r="R59" s="0" t="b">
        <v>0</v>
      </c>
      <c r="S59" s="0" t="s">
        <v>3878</v>
      </c>
    </row>
    <row customHeight="1" ht="11.25">
      <c r="A60" s="0">
        <v>2655</v>
      </c>
      <c r="B60" s="0" t="s">
        <v>114</v>
      </c>
      <c r="C60" s="0">
        <v>26356915</v>
      </c>
      <c r="D60" s="0" t="s">
        <v>3879</v>
      </c>
      <c r="E60" s="0" t="s">
        <v>3880</v>
      </c>
      <c r="F60" s="0" t="s">
        <v>3881</v>
      </c>
      <c r="G60" s="0" t="s">
        <v>3552</v>
      </c>
      <c r="H60" s="0" t="s">
        <v>3882</v>
      </c>
      <c r="I60" s="0" t="s">
        <v>3883</v>
      </c>
      <c r="J60" s="0" t="s">
        <v>3327</v>
      </c>
      <c r="K60" s="0" t="s">
        <v>3884</v>
      </c>
      <c r="L60" s="0" t="s">
        <v>3884</v>
      </c>
      <c r="M60" s="0" t="s">
        <v>3885</v>
      </c>
      <c r="N60" s="0" t="s">
        <v>3886</v>
      </c>
      <c r="O60" s="0" t="s">
        <v>3887</v>
      </c>
      <c r="P60" s="0" t="s">
        <v>179</v>
      </c>
      <c r="Q60" s="0" t="s">
        <v>190</v>
      </c>
      <c r="R60" s="0" t="b">
        <v>0</v>
      </c>
      <c r="S60" s="0" t="s">
        <v>3878</v>
      </c>
    </row>
    <row customHeight="1" ht="11.25">
      <c r="A61" s="0">
        <v>2655</v>
      </c>
      <c r="B61" s="0" t="s">
        <v>114</v>
      </c>
      <c r="C61" s="0">
        <v>27857950</v>
      </c>
      <c r="D61" s="0" t="s">
        <v>3888</v>
      </c>
      <c r="E61" s="0" t="s">
        <v>3889</v>
      </c>
      <c r="F61" s="0" t="s">
        <v>3890</v>
      </c>
      <c r="G61" s="0" t="s">
        <v>3740</v>
      </c>
      <c r="H61" s="0" t="s">
        <v>3891</v>
      </c>
      <c r="I61" s="0" t="s">
        <v>245</v>
      </c>
      <c r="J61" s="0" t="s">
        <v>3327</v>
      </c>
      <c r="K61" s="0" t="s">
        <v>3892</v>
      </c>
      <c r="L61" s="0" t="s">
        <v>3892</v>
      </c>
      <c r="M61" s="0" t="s">
        <v>3893</v>
      </c>
      <c r="N61" s="0" t="s">
        <v>3894</v>
      </c>
      <c r="O61" s="0" t="s">
        <v>3895</v>
      </c>
      <c r="P61" s="0" t="s">
        <v>3434</v>
      </c>
      <c r="Q61" s="0" t="s">
        <v>245</v>
      </c>
      <c r="R61" s="0" t="b">
        <v>1</v>
      </c>
      <c r="S61" s="0" t="s">
        <v>3878</v>
      </c>
    </row>
    <row customHeight="1" ht="11.25">
      <c r="A62" s="0">
        <v>2655</v>
      </c>
      <c r="B62" s="0" t="s">
        <v>114</v>
      </c>
      <c r="C62" s="0">
        <v>26356963</v>
      </c>
      <c r="D62" s="0" t="s">
        <v>3359</v>
      </c>
      <c r="E62" s="0" t="s">
        <v>3360</v>
      </c>
      <c r="F62" s="0" t="s">
        <v>3361</v>
      </c>
      <c r="G62" s="0" t="s">
        <v>3362</v>
      </c>
      <c r="H62" s="0" t="s">
        <v>3363</v>
      </c>
      <c r="I62" s="0" t="s">
        <v>245</v>
      </c>
      <c r="J62" s="0" t="s">
        <v>3327</v>
      </c>
      <c r="K62" s="0" t="s">
        <v>3364</v>
      </c>
      <c r="L62" s="0" t="s">
        <v>3364</v>
      </c>
      <c r="M62" s="0" t="s">
        <v>3365</v>
      </c>
      <c r="N62" s="0" t="s">
        <v>3366</v>
      </c>
      <c r="O62" s="0" t="s">
        <v>3367</v>
      </c>
      <c r="P62" s="0" t="s">
        <v>3368</v>
      </c>
      <c r="Q62" s="0" t="s">
        <v>245</v>
      </c>
      <c r="R62" s="0" t="b">
        <v>0</v>
      </c>
      <c r="S62" s="0" t="s">
        <v>3878</v>
      </c>
    </row>
    <row customHeight="1" ht="11.25">
      <c r="A63" s="0">
        <v>2655</v>
      </c>
      <c r="B63" s="0" t="s">
        <v>114</v>
      </c>
      <c r="C63" s="0">
        <v>26322889</v>
      </c>
      <c r="D63" s="0" t="s">
        <v>3369</v>
      </c>
      <c r="E63" s="0" t="s">
        <v>3370</v>
      </c>
      <c r="F63" s="0" t="s">
        <v>3371</v>
      </c>
      <c r="G63" s="0" t="s">
        <v>3372</v>
      </c>
      <c r="H63" s="0" t="s">
        <v>3373</v>
      </c>
      <c r="I63" s="0" t="s">
        <v>3374</v>
      </c>
      <c r="J63" s="0" t="s">
        <v>3327</v>
      </c>
      <c r="K63" s="0" t="s">
        <v>3375</v>
      </c>
      <c r="L63" s="0" t="s">
        <v>3376</v>
      </c>
      <c r="M63" s="0" t="s">
        <v>3377</v>
      </c>
      <c r="N63" s="0" t="s">
        <v>3378</v>
      </c>
      <c r="O63" s="0" t="s">
        <v>3379</v>
      </c>
      <c r="P63" s="0" t="s">
        <v>3380</v>
      </c>
      <c r="Q63" s="0" t="s">
        <v>3381</v>
      </c>
      <c r="R63" s="0" t="b">
        <v>0</v>
      </c>
      <c r="S63" s="0" t="s">
        <v>3878</v>
      </c>
    </row>
    <row customHeight="1" ht="11.25">
      <c r="A64" s="0">
        <v>2655</v>
      </c>
      <c r="B64" s="0" t="s">
        <v>114</v>
      </c>
      <c r="C64" s="0">
        <v>31833446</v>
      </c>
      <c r="D64" s="0" t="s">
        <v>3896</v>
      </c>
      <c r="E64" s="0" t="s">
        <v>3897</v>
      </c>
      <c r="F64" s="0" t="s">
        <v>3898</v>
      </c>
      <c r="G64" s="0" t="s">
        <v>3339</v>
      </c>
      <c r="H64" s="0" t="s">
        <v>3899</v>
      </c>
      <c r="I64" s="0" t="s">
        <v>245</v>
      </c>
      <c r="K64" s="0" t="s">
        <v>245</v>
      </c>
      <c r="L64" s="0" t="s">
        <v>3900</v>
      </c>
      <c r="M64" s="0" t="s">
        <v>245</v>
      </c>
      <c r="N64" s="0" t="s">
        <v>245</v>
      </c>
      <c r="O64" s="0" t="s">
        <v>3901</v>
      </c>
      <c r="P64" s="0" t="s">
        <v>3347</v>
      </c>
      <c r="Q64" s="0" t="s">
        <v>245</v>
      </c>
      <c r="R64" s="0" t="b">
        <v>0</v>
      </c>
      <c r="S64" s="0" t="s">
        <v>3878</v>
      </c>
    </row>
    <row customHeight="1" ht="11.25">
      <c r="A65" s="0">
        <v>2655</v>
      </c>
      <c r="B65" s="0" t="s">
        <v>114</v>
      </c>
      <c r="C65" s="0">
        <v>27820148</v>
      </c>
      <c r="D65" s="0" t="s">
        <v>3902</v>
      </c>
      <c r="E65" s="0" t="s">
        <v>3903</v>
      </c>
      <c r="F65" s="0" t="s">
        <v>3904</v>
      </c>
      <c r="G65" s="0" t="s">
        <v>149</v>
      </c>
      <c r="H65" s="0" t="s">
        <v>3905</v>
      </c>
      <c r="I65" s="0" t="s">
        <v>3906</v>
      </c>
      <c r="J65" s="0" t="s">
        <v>3327</v>
      </c>
      <c r="K65" s="0" t="s">
        <v>3907</v>
      </c>
      <c r="L65" s="0" t="s">
        <v>3907</v>
      </c>
      <c r="M65" s="0" t="s">
        <v>3908</v>
      </c>
      <c r="N65" s="0" t="s">
        <v>3909</v>
      </c>
      <c r="O65" s="0" t="s">
        <v>3910</v>
      </c>
      <c r="P65" s="0" t="s">
        <v>3911</v>
      </c>
      <c r="Q65" s="0" t="s">
        <v>3912</v>
      </c>
      <c r="R65" s="0" t="b">
        <v>0</v>
      </c>
      <c r="S65" s="0" t="s">
        <v>3878</v>
      </c>
    </row>
    <row customHeight="1" ht="11.25">
      <c r="A66" s="0">
        <v>2655</v>
      </c>
      <c r="B66" s="0" t="s">
        <v>114</v>
      </c>
      <c r="C66" s="0">
        <v>26322867</v>
      </c>
      <c r="D66" s="0" t="s">
        <v>3435</v>
      </c>
      <c r="E66" s="0" t="s">
        <v>3436</v>
      </c>
      <c r="F66" s="0" t="s">
        <v>3437</v>
      </c>
      <c r="G66" s="0" t="s">
        <v>3372</v>
      </c>
      <c r="H66" s="0" t="s">
        <v>3438</v>
      </c>
      <c r="I66" s="0" t="s">
        <v>3439</v>
      </c>
      <c r="J66" s="0" t="s">
        <v>3327</v>
      </c>
      <c r="K66" s="0" t="s">
        <v>3440</v>
      </c>
      <c r="L66" s="0" t="s">
        <v>3440</v>
      </c>
      <c r="M66" s="0" t="s">
        <v>3441</v>
      </c>
      <c r="N66" s="0" t="s">
        <v>3442</v>
      </c>
      <c r="O66" s="0" t="s">
        <v>3443</v>
      </c>
      <c r="P66" s="0" t="s">
        <v>179</v>
      </c>
      <c r="Q66" s="0" t="s">
        <v>3444</v>
      </c>
      <c r="R66" s="0" t="b">
        <v>0</v>
      </c>
      <c r="S66" s="0" t="s">
        <v>3878</v>
      </c>
    </row>
    <row customHeight="1" ht="11.25">
      <c r="A67" s="0">
        <v>2655</v>
      </c>
      <c r="B67" s="0" t="s">
        <v>114</v>
      </c>
      <c r="C67" s="0">
        <v>26824396</v>
      </c>
      <c r="D67" s="0" t="s">
        <v>3454</v>
      </c>
      <c r="E67" s="0" t="s">
        <v>3455</v>
      </c>
      <c r="F67" s="0" t="s">
        <v>3416</v>
      </c>
      <c r="G67" s="0" t="s">
        <v>3456</v>
      </c>
      <c r="H67" s="0" t="s">
        <v>3418</v>
      </c>
      <c r="I67" s="0" t="s">
        <v>245</v>
      </c>
      <c r="J67" s="0" t="s">
        <v>3409</v>
      </c>
      <c r="K67" s="0" t="s">
        <v>3457</v>
      </c>
      <c r="L67" s="0" t="s">
        <v>3457</v>
      </c>
      <c r="M67" s="0" t="s">
        <v>3458</v>
      </c>
      <c r="N67" s="0" t="s">
        <v>245</v>
      </c>
      <c r="O67" s="0" t="s">
        <v>3459</v>
      </c>
      <c r="P67" s="0" t="s">
        <v>3453</v>
      </c>
      <c r="Q67" s="0" t="s">
        <v>245</v>
      </c>
      <c r="R67" s="0" t="b">
        <v>0</v>
      </c>
      <c r="S67" s="0" t="s">
        <v>3878</v>
      </c>
    </row>
    <row customHeight="1" ht="11.25">
      <c r="A68" s="0">
        <v>2655</v>
      </c>
      <c r="B68" s="0" t="s">
        <v>114</v>
      </c>
      <c r="C68" s="0">
        <v>30365193</v>
      </c>
      <c r="D68" s="0" t="s">
        <v>3913</v>
      </c>
      <c r="E68" s="0" t="s">
        <v>3914</v>
      </c>
      <c r="F68" s="0" t="s">
        <v>3915</v>
      </c>
      <c r="G68" s="0" t="s">
        <v>3339</v>
      </c>
      <c r="H68" s="0" t="s">
        <v>3916</v>
      </c>
      <c r="I68" s="0" t="s">
        <v>245</v>
      </c>
      <c r="J68" s="0" t="s">
        <v>3917</v>
      </c>
      <c r="K68" s="0" t="s">
        <v>3918</v>
      </c>
      <c r="L68" s="0" t="s">
        <v>3918</v>
      </c>
      <c r="M68" s="0" t="s">
        <v>245</v>
      </c>
      <c r="N68" s="0" t="s">
        <v>245</v>
      </c>
      <c r="O68" s="0" t="s">
        <v>3919</v>
      </c>
      <c r="P68" s="0" t="s">
        <v>3920</v>
      </c>
      <c r="Q68" s="0" t="s">
        <v>245</v>
      </c>
      <c r="R68" s="0" t="b">
        <v>0</v>
      </c>
      <c r="S68" s="0" t="s">
        <v>3878</v>
      </c>
    </row>
    <row customHeight="1" ht="11.25">
      <c r="A69" s="0">
        <v>2655</v>
      </c>
      <c r="B69" s="0" t="s">
        <v>114</v>
      </c>
      <c r="C69" s="0">
        <v>31232672</v>
      </c>
      <c r="D69" s="0" t="s">
        <v>3460</v>
      </c>
      <c r="E69" s="0" t="s">
        <v>3461</v>
      </c>
      <c r="F69" s="0" t="s">
        <v>3462</v>
      </c>
      <c r="G69" s="0" t="s">
        <v>3463</v>
      </c>
      <c r="H69" s="0" t="s">
        <v>3464</v>
      </c>
      <c r="I69" s="0" t="s">
        <v>3465</v>
      </c>
      <c r="J69" s="0" t="s">
        <v>3466</v>
      </c>
      <c r="K69" s="0" t="s">
        <v>3467</v>
      </c>
      <c r="L69" s="0" t="s">
        <v>3467</v>
      </c>
      <c r="M69" s="0" t="s">
        <v>3468</v>
      </c>
      <c r="N69" s="0" t="s">
        <v>3469</v>
      </c>
      <c r="O69" s="0" t="s">
        <v>3470</v>
      </c>
      <c r="P69" s="0" t="s">
        <v>3471</v>
      </c>
      <c r="Q69" s="0" t="s">
        <v>245</v>
      </c>
      <c r="R69" s="0" t="b">
        <v>0</v>
      </c>
      <c r="S69" s="0" t="s">
        <v>3878</v>
      </c>
    </row>
    <row customHeight="1" ht="11.25">
      <c r="A70" s="0">
        <v>2655</v>
      </c>
      <c r="B70" s="0" t="s">
        <v>114</v>
      </c>
      <c r="C70" s="0">
        <v>27978231</v>
      </c>
      <c r="D70" s="0" t="s">
        <v>3921</v>
      </c>
      <c r="E70" s="0" t="s">
        <v>3922</v>
      </c>
      <c r="F70" s="0" t="s">
        <v>3923</v>
      </c>
      <c r="G70" s="0" t="s">
        <v>3534</v>
      </c>
      <c r="H70" s="0" t="s">
        <v>3924</v>
      </c>
      <c r="I70" s="0" t="s">
        <v>3925</v>
      </c>
      <c r="J70" s="0" t="s">
        <v>3466</v>
      </c>
      <c r="K70" s="0" t="s">
        <v>3926</v>
      </c>
      <c r="L70" s="0" t="s">
        <v>3927</v>
      </c>
      <c r="M70" s="0" t="s">
        <v>3928</v>
      </c>
      <c r="N70" s="0" t="s">
        <v>245</v>
      </c>
      <c r="O70" s="0" t="s">
        <v>3929</v>
      </c>
      <c r="P70" s="0" t="s">
        <v>3471</v>
      </c>
      <c r="Q70" s="0" t="s">
        <v>245</v>
      </c>
      <c r="R70" s="0" t="b">
        <v>0</v>
      </c>
      <c r="S70" s="0" t="s">
        <v>3878</v>
      </c>
    </row>
    <row customHeight="1" ht="11.25">
      <c r="A71" s="0">
        <v>2655</v>
      </c>
      <c r="B71" s="0" t="s">
        <v>114</v>
      </c>
      <c r="C71" s="0">
        <v>30808700</v>
      </c>
      <c r="D71" s="0" t="s">
        <v>3483</v>
      </c>
      <c r="E71" s="0" t="s">
        <v>3484</v>
      </c>
      <c r="F71" s="0" t="s">
        <v>3485</v>
      </c>
      <c r="G71" s="0" t="s">
        <v>3417</v>
      </c>
      <c r="H71" s="0" t="s">
        <v>3486</v>
      </c>
      <c r="I71" s="0" t="s">
        <v>3487</v>
      </c>
      <c r="J71" s="0" t="s">
        <v>3478</v>
      </c>
      <c r="K71" s="0" t="s">
        <v>3488</v>
      </c>
      <c r="L71" s="0" t="s">
        <v>3489</v>
      </c>
      <c r="M71" s="0" t="s">
        <v>3490</v>
      </c>
      <c r="N71" s="0" t="s">
        <v>3491</v>
      </c>
      <c r="O71" s="0" t="s">
        <v>3492</v>
      </c>
      <c r="P71" s="0" t="s">
        <v>3434</v>
      </c>
      <c r="Q71" s="0" t="s">
        <v>245</v>
      </c>
      <c r="R71" s="0" t="b">
        <v>1</v>
      </c>
      <c r="S71" s="0" t="s">
        <v>3878</v>
      </c>
    </row>
    <row customHeight="1" ht="11.25">
      <c r="A72" s="0">
        <v>2655</v>
      </c>
      <c r="B72" s="0" t="s">
        <v>114</v>
      </c>
      <c r="C72" s="0">
        <v>31319221</v>
      </c>
      <c r="D72" s="0" t="s">
        <v>3493</v>
      </c>
      <c r="E72" s="0" t="s">
        <v>3494</v>
      </c>
      <c r="F72" s="0" t="s">
        <v>3495</v>
      </c>
      <c r="G72" s="0" t="s">
        <v>3475</v>
      </c>
      <c r="H72" s="0" t="s">
        <v>3496</v>
      </c>
      <c r="I72" s="0" t="s">
        <v>3497</v>
      </c>
      <c r="J72" s="0" t="s">
        <v>3466</v>
      </c>
      <c r="K72" s="0" t="s">
        <v>3498</v>
      </c>
      <c r="L72" s="0" t="s">
        <v>3499</v>
      </c>
      <c r="M72" s="0" t="s">
        <v>3500</v>
      </c>
      <c r="N72" s="0" t="s">
        <v>3501</v>
      </c>
      <c r="O72" s="0" t="s">
        <v>3502</v>
      </c>
      <c r="P72" s="0" t="s">
        <v>3471</v>
      </c>
      <c r="Q72" s="0" t="s">
        <v>245</v>
      </c>
      <c r="R72" s="0" t="b">
        <v>0</v>
      </c>
      <c r="S72" s="0" t="s">
        <v>3878</v>
      </c>
    </row>
    <row customHeight="1" ht="11.25">
      <c r="A73" s="0">
        <v>2655</v>
      </c>
      <c r="B73" s="0" t="s">
        <v>114</v>
      </c>
      <c r="C73" s="0">
        <v>31419990</v>
      </c>
      <c r="D73" s="0" t="s">
        <v>3503</v>
      </c>
      <c r="E73" s="0" t="s">
        <v>3504</v>
      </c>
      <c r="F73" s="0" t="s">
        <v>3505</v>
      </c>
      <c r="G73" s="0" t="s">
        <v>3506</v>
      </c>
      <c r="H73" s="0" t="s">
        <v>3507</v>
      </c>
      <c r="I73" s="0" t="s">
        <v>3508</v>
      </c>
      <c r="J73" s="0" t="s">
        <v>3466</v>
      </c>
      <c r="K73" s="0" t="s">
        <v>3509</v>
      </c>
      <c r="L73" s="0" t="s">
        <v>3509</v>
      </c>
      <c r="M73" s="0" t="s">
        <v>3510</v>
      </c>
      <c r="N73" s="0" t="s">
        <v>3511</v>
      </c>
      <c r="O73" s="0" t="s">
        <v>3512</v>
      </c>
      <c r="P73" s="0" t="s">
        <v>3471</v>
      </c>
      <c r="Q73" s="0" t="s">
        <v>3513</v>
      </c>
      <c r="R73" s="0" t="b">
        <v>0</v>
      </c>
      <c r="S73" s="0" t="s">
        <v>3878</v>
      </c>
    </row>
    <row customHeight="1" ht="11.25">
      <c r="A74" s="0">
        <v>2655</v>
      </c>
      <c r="B74" s="0" t="s">
        <v>114</v>
      </c>
      <c r="C74" s="0">
        <v>31343443</v>
      </c>
      <c r="D74" s="0" t="s">
        <v>3514</v>
      </c>
      <c r="E74" s="0" t="s">
        <v>3515</v>
      </c>
      <c r="F74" s="0" t="s">
        <v>3516</v>
      </c>
      <c r="G74" s="0" t="s">
        <v>3417</v>
      </c>
      <c r="H74" s="0" t="s">
        <v>3517</v>
      </c>
      <c r="I74" s="0" t="s">
        <v>3518</v>
      </c>
      <c r="J74" s="0" t="s">
        <v>3466</v>
      </c>
      <c r="K74" s="0" t="s">
        <v>3519</v>
      </c>
      <c r="L74" s="0" t="s">
        <v>3519</v>
      </c>
      <c r="N74" s="0" t="s">
        <v>3520</v>
      </c>
      <c r="O74" s="0" t="s">
        <v>3521</v>
      </c>
      <c r="P74" s="0" t="s">
        <v>3434</v>
      </c>
      <c r="R74" s="0" t="b">
        <v>0</v>
      </c>
      <c r="S74" s="0" t="s">
        <v>3878</v>
      </c>
    </row>
    <row customHeight="1" ht="11.25">
      <c r="A75" s="0">
        <v>2655</v>
      </c>
      <c r="B75" s="0" t="s">
        <v>114</v>
      </c>
      <c r="C75" s="0">
        <v>31367841</v>
      </c>
      <c r="D75" s="0" t="s">
        <v>3522</v>
      </c>
      <c r="E75" s="0" t="s">
        <v>3523</v>
      </c>
      <c r="F75" s="0" t="s">
        <v>3524</v>
      </c>
      <c r="G75" s="0" t="s">
        <v>3525</v>
      </c>
      <c r="H75" s="0" t="s">
        <v>3526</v>
      </c>
      <c r="I75" s="0" t="s">
        <v>3527</v>
      </c>
      <c r="J75" s="0" t="s">
        <v>3478</v>
      </c>
      <c r="K75" s="0" t="s">
        <v>3528</v>
      </c>
      <c r="L75" s="0" t="s">
        <v>3528</v>
      </c>
      <c r="M75" s="0" t="s">
        <v>245</v>
      </c>
      <c r="N75" s="0" t="s">
        <v>3529</v>
      </c>
      <c r="O75" s="0" t="s">
        <v>3530</v>
      </c>
      <c r="P75" s="0" t="s">
        <v>3471</v>
      </c>
      <c r="Q75" s="0" t="s">
        <v>245</v>
      </c>
      <c r="R75" s="0" t="b">
        <v>0</v>
      </c>
      <c r="S75" s="0" t="s">
        <v>3878</v>
      </c>
    </row>
    <row customHeight="1" ht="11.25">
      <c r="A76" s="0">
        <v>2655</v>
      </c>
      <c r="B76" s="0" t="s">
        <v>114</v>
      </c>
      <c r="C76" s="0">
        <v>31087651</v>
      </c>
      <c r="D76" s="0" t="s">
        <v>3531</v>
      </c>
      <c r="E76" s="0" t="s">
        <v>3532</v>
      </c>
      <c r="F76" s="0" t="s">
        <v>3533</v>
      </c>
      <c r="G76" s="0" t="s">
        <v>3534</v>
      </c>
      <c r="H76" s="0" t="s">
        <v>3535</v>
      </c>
      <c r="I76" s="0" t="s">
        <v>3536</v>
      </c>
      <c r="J76" s="0" t="s">
        <v>3466</v>
      </c>
      <c r="K76" s="0" t="s">
        <v>3537</v>
      </c>
      <c r="L76" s="0" t="s">
        <v>3537</v>
      </c>
      <c r="M76" s="0" t="s">
        <v>3538</v>
      </c>
      <c r="N76" s="0" t="s">
        <v>3539</v>
      </c>
      <c r="O76" s="0" t="s">
        <v>3540</v>
      </c>
      <c r="R76" s="0" t="b">
        <v>0</v>
      </c>
      <c r="S76" s="0" t="s">
        <v>3878</v>
      </c>
    </row>
    <row customHeight="1" ht="11.25">
      <c r="A77" s="0">
        <v>2655</v>
      </c>
      <c r="B77" s="0" t="s">
        <v>114</v>
      </c>
      <c r="C77" s="0">
        <v>31367862</v>
      </c>
      <c r="D77" s="0" t="s">
        <v>3541</v>
      </c>
      <c r="E77" s="0" t="s">
        <v>3542</v>
      </c>
      <c r="F77" s="0" t="s">
        <v>3543</v>
      </c>
      <c r="G77" s="0" t="s">
        <v>3525</v>
      </c>
      <c r="H77" s="0" t="s">
        <v>3544</v>
      </c>
      <c r="I77" s="0" t="s">
        <v>3545</v>
      </c>
      <c r="J77" s="0" t="s">
        <v>3466</v>
      </c>
      <c r="K77" s="0" t="s">
        <v>3546</v>
      </c>
      <c r="L77" s="0" t="s">
        <v>3546</v>
      </c>
      <c r="M77" s="0" t="s">
        <v>245</v>
      </c>
      <c r="N77" s="0" t="s">
        <v>3547</v>
      </c>
      <c r="O77" s="0" t="s">
        <v>3548</v>
      </c>
      <c r="P77" s="0" t="s">
        <v>3471</v>
      </c>
      <c r="Q77" s="0" t="s">
        <v>245</v>
      </c>
      <c r="R77" s="0" t="b">
        <v>0</v>
      </c>
      <c r="S77" s="0" t="s">
        <v>3878</v>
      </c>
    </row>
    <row customHeight="1" ht="11.25">
      <c r="A78" s="0">
        <v>2655</v>
      </c>
      <c r="B78" s="0" t="s">
        <v>114</v>
      </c>
      <c r="C78" s="0">
        <v>31329806</v>
      </c>
      <c r="D78" s="0" t="s">
        <v>3930</v>
      </c>
      <c r="E78" s="0" t="s">
        <v>3931</v>
      </c>
      <c r="F78" s="0" t="s">
        <v>3932</v>
      </c>
      <c r="G78" s="0" t="s">
        <v>3362</v>
      </c>
      <c r="H78" s="0" t="s">
        <v>3933</v>
      </c>
      <c r="I78" s="0" t="s">
        <v>3934</v>
      </c>
      <c r="J78" s="0" t="s">
        <v>3478</v>
      </c>
      <c r="K78" s="0" t="s">
        <v>3935</v>
      </c>
      <c r="L78" s="0" t="s">
        <v>3935</v>
      </c>
      <c r="M78" s="0" t="s">
        <v>3936</v>
      </c>
      <c r="N78" s="0" t="s">
        <v>3937</v>
      </c>
      <c r="O78" s="0" t="s">
        <v>3938</v>
      </c>
      <c r="P78" s="0" t="s">
        <v>3471</v>
      </c>
      <c r="Q78" s="0" t="s">
        <v>245</v>
      </c>
      <c r="R78" s="0" t="b">
        <v>0</v>
      </c>
      <c r="S78" s="0" t="s">
        <v>3878</v>
      </c>
    </row>
    <row customHeight="1" ht="11.25">
      <c r="A79" s="0">
        <v>2655</v>
      </c>
      <c r="B79" s="0" t="s">
        <v>114</v>
      </c>
      <c r="C79" s="0">
        <v>31003143</v>
      </c>
      <c r="D79" s="0" t="s">
        <v>3569</v>
      </c>
      <c r="E79" s="0" t="s">
        <v>3570</v>
      </c>
      <c r="F79" s="0" t="s">
        <v>3571</v>
      </c>
      <c r="G79" s="0" t="s">
        <v>3563</v>
      </c>
      <c r="H79" s="0" t="s">
        <v>3572</v>
      </c>
      <c r="I79" s="0" t="s">
        <v>3573</v>
      </c>
      <c r="J79" s="0" t="s">
        <v>3478</v>
      </c>
      <c r="K79" s="0" t="s">
        <v>3574</v>
      </c>
      <c r="L79" s="0" t="s">
        <v>3575</v>
      </c>
      <c r="M79" s="0" t="s">
        <v>3576</v>
      </c>
      <c r="N79" s="0" t="s">
        <v>3577</v>
      </c>
      <c r="O79" s="0" t="s">
        <v>3578</v>
      </c>
      <c r="P79" s="0" t="s">
        <v>3471</v>
      </c>
      <c r="Q79" s="0" t="s">
        <v>245</v>
      </c>
      <c r="R79" s="0" t="b">
        <v>1</v>
      </c>
      <c r="S79" s="0" t="s">
        <v>3878</v>
      </c>
    </row>
    <row customHeight="1" ht="11.25">
      <c r="A80" s="0">
        <v>2655</v>
      </c>
      <c r="B80" s="0" t="s">
        <v>114</v>
      </c>
      <c r="C80" s="0">
        <v>31308226</v>
      </c>
      <c r="D80" s="0" t="s">
        <v>3579</v>
      </c>
      <c r="E80" s="0" t="s">
        <v>3580</v>
      </c>
      <c r="F80" s="0" t="s">
        <v>3581</v>
      </c>
      <c r="G80" s="0" t="s">
        <v>3582</v>
      </c>
      <c r="H80" s="0" t="s">
        <v>3583</v>
      </c>
      <c r="I80" s="0" t="s">
        <v>3584</v>
      </c>
      <c r="J80" s="0" t="s">
        <v>3478</v>
      </c>
      <c r="K80" s="0" t="s">
        <v>3585</v>
      </c>
      <c r="L80" s="0" t="s">
        <v>3585</v>
      </c>
      <c r="M80" s="0" t="s">
        <v>3586</v>
      </c>
      <c r="N80" s="0" t="s">
        <v>3587</v>
      </c>
      <c r="O80" s="0" t="s">
        <v>3588</v>
      </c>
      <c r="P80" s="0" t="s">
        <v>3434</v>
      </c>
      <c r="Q80" s="0" t="s">
        <v>245</v>
      </c>
      <c r="R80" s="0" t="b">
        <v>1</v>
      </c>
      <c r="S80" s="0" t="s">
        <v>3878</v>
      </c>
    </row>
    <row customHeight="1" ht="11.25">
      <c r="A81" s="0">
        <v>2655</v>
      </c>
      <c r="B81" s="0" t="s">
        <v>114</v>
      </c>
      <c r="C81" s="0">
        <v>31284269</v>
      </c>
      <c r="D81" s="0" t="s">
        <v>3589</v>
      </c>
      <c r="E81" s="0" t="s">
        <v>3590</v>
      </c>
      <c r="F81" s="0" t="s">
        <v>3591</v>
      </c>
      <c r="G81" s="0" t="s">
        <v>3534</v>
      </c>
      <c r="H81" s="0" t="s">
        <v>3592</v>
      </c>
      <c r="I81" s="0" t="s">
        <v>3593</v>
      </c>
      <c r="J81" s="0" t="s">
        <v>3478</v>
      </c>
      <c r="K81" s="0" t="s">
        <v>3594</v>
      </c>
      <c r="L81" s="0" t="s">
        <v>3595</v>
      </c>
      <c r="M81" s="0" t="s">
        <v>3596</v>
      </c>
      <c r="N81" s="0" t="s">
        <v>3597</v>
      </c>
      <c r="O81" s="0" t="s">
        <v>3598</v>
      </c>
      <c r="P81" s="0" t="s">
        <v>245</v>
      </c>
      <c r="Q81" s="0" t="s">
        <v>245</v>
      </c>
      <c r="R81" s="0" t="b">
        <v>0</v>
      </c>
      <c r="S81" s="0" t="s">
        <v>3878</v>
      </c>
    </row>
    <row customHeight="1" ht="11.25">
      <c r="A82" s="0">
        <v>2655</v>
      </c>
      <c r="B82" s="0" t="s">
        <v>114</v>
      </c>
      <c r="C82" s="0">
        <v>31241680</v>
      </c>
      <c r="D82" s="0" t="s">
        <v>3599</v>
      </c>
      <c r="E82" s="0" t="s">
        <v>3600</v>
      </c>
      <c r="F82" s="0" t="s">
        <v>3601</v>
      </c>
      <c r="G82" s="0" t="s">
        <v>3506</v>
      </c>
      <c r="H82" s="0" t="s">
        <v>3602</v>
      </c>
      <c r="I82" s="0" t="s">
        <v>3603</v>
      </c>
      <c r="J82" s="0" t="s">
        <v>3478</v>
      </c>
      <c r="K82" s="0" t="s">
        <v>3604</v>
      </c>
      <c r="L82" s="0" t="s">
        <v>3604</v>
      </c>
      <c r="M82" s="0" t="s">
        <v>3605</v>
      </c>
      <c r="N82" s="0" t="s">
        <v>3606</v>
      </c>
      <c r="O82" s="0" t="s">
        <v>3607</v>
      </c>
      <c r="P82" s="0" t="s">
        <v>3434</v>
      </c>
      <c r="Q82" s="0" t="s">
        <v>3608</v>
      </c>
      <c r="R82" s="0" t="b">
        <v>0</v>
      </c>
      <c r="S82" s="0" t="s">
        <v>3878</v>
      </c>
    </row>
    <row customHeight="1" ht="11.25">
      <c r="A83" s="0">
        <v>2655</v>
      </c>
      <c r="B83" s="0" t="s">
        <v>114</v>
      </c>
      <c r="C83" s="0">
        <v>31579664</v>
      </c>
      <c r="D83" s="0" t="s">
        <v>3609</v>
      </c>
      <c r="E83" s="0" t="s">
        <v>3610</v>
      </c>
      <c r="F83" s="0" t="s">
        <v>3611</v>
      </c>
      <c r="G83" s="0" t="s">
        <v>3417</v>
      </c>
      <c r="H83" s="0" t="s">
        <v>3612</v>
      </c>
      <c r="I83" s="0" t="s">
        <v>3613</v>
      </c>
      <c r="K83" s="0" t="s">
        <v>3614</v>
      </c>
      <c r="L83" s="0" t="s">
        <v>3615</v>
      </c>
      <c r="M83" s="0" t="s">
        <v>3616</v>
      </c>
      <c r="N83" s="0" t="s">
        <v>245</v>
      </c>
      <c r="O83" s="0" t="s">
        <v>3617</v>
      </c>
      <c r="P83" s="0" t="s">
        <v>3471</v>
      </c>
      <c r="Q83" s="0" t="s">
        <v>3618</v>
      </c>
      <c r="R83" s="0" t="b">
        <v>1</v>
      </c>
      <c r="S83" s="0" t="s">
        <v>3878</v>
      </c>
    </row>
    <row customHeight="1" ht="11.25">
      <c r="A84" s="0">
        <v>2655</v>
      </c>
      <c r="B84" s="0" t="s">
        <v>114</v>
      </c>
      <c r="C84" s="0">
        <v>26322895</v>
      </c>
      <c r="D84" s="0" t="s">
        <v>3619</v>
      </c>
      <c r="E84" s="0" t="s">
        <v>3620</v>
      </c>
      <c r="F84" s="0" t="s">
        <v>3621</v>
      </c>
      <c r="G84" s="0" t="s">
        <v>3339</v>
      </c>
      <c r="H84" s="0" t="s">
        <v>3622</v>
      </c>
      <c r="I84" s="0" t="s">
        <v>3623</v>
      </c>
      <c r="J84" s="0" t="s">
        <v>3409</v>
      </c>
      <c r="K84" s="0" t="s">
        <v>3624</v>
      </c>
      <c r="L84" s="0" t="s">
        <v>3624</v>
      </c>
      <c r="M84" s="0" t="s">
        <v>3625</v>
      </c>
      <c r="N84" s="0" t="s">
        <v>3626</v>
      </c>
      <c r="O84" s="0" t="s">
        <v>3627</v>
      </c>
      <c r="P84" s="0" t="s">
        <v>179</v>
      </c>
      <c r="Q84" s="0" t="s">
        <v>3628</v>
      </c>
      <c r="R84" s="0" t="b">
        <v>0</v>
      </c>
      <c r="S84" s="0" t="s">
        <v>3878</v>
      </c>
    </row>
    <row customHeight="1" ht="11.25">
      <c r="A85" s="0">
        <v>2655</v>
      </c>
      <c r="B85" s="0" t="s">
        <v>114</v>
      </c>
      <c r="C85" s="0">
        <v>27784286</v>
      </c>
      <c r="D85" s="0" t="s">
        <v>3939</v>
      </c>
      <c r="E85" s="0" t="s">
        <v>3940</v>
      </c>
      <c r="F85" s="0" t="s">
        <v>3941</v>
      </c>
      <c r="G85" s="0" t="s">
        <v>3582</v>
      </c>
      <c r="H85" s="0" t="s">
        <v>3942</v>
      </c>
      <c r="I85" s="0" t="s">
        <v>3943</v>
      </c>
      <c r="K85" s="0" t="s">
        <v>3944</v>
      </c>
      <c r="L85" s="0" t="s">
        <v>3944</v>
      </c>
      <c r="M85" s="0" t="s">
        <v>3945</v>
      </c>
      <c r="N85" s="0" t="s">
        <v>3946</v>
      </c>
      <c r="O85" s="0" t="s">
        <v>3947</v>
      </c>
      <c r="P85" s="0" t="s">
        <v>179</v>
      </c>
      <c r="Q85" s="0" t="s">
        <v>3948</v>
      </c>
      <c r="R85" s="0" t="b">
        <v>0</v>
      </c>
      <c r="S85" s="0" t="s">
        <v>3878</v>
      </c>
    </row>
    <row customHeight="1" ht="11.25">
      <c r="A86" s="0">
        <v>2655</v>
      </c>
      <c r="B86" s="0" t="s">
        <v>114</v>
      </c>
      <c r="C86" s="0">
        <v>26428076</v>
      </c>
      <c r="D86" s="0" t="s">
        <v>3949</v>
      </c>
      <c r="E86" s="0" t="s">
        <v>3950</v>
      </c>
      <c r="F86" s="0" t="s">
        <v>3951</v>
      </c>
      <c r="G86" s="0" t="s">
        <v>3563</v>
      </c>
      <c r="H86" s="0" t="s">
        <v>3952</v>
      </c>
      <c r="I86" s="0" t="s">
        <v>245</v>
      </c>
      <c r="K86" s="0" t="s">
        <v>3953</v>
      </c>
      <c r="L86" s="0" t="s">
        <v>3953</v>
      </c>
      <c r="M86" s="0" t="s">
        <v>3954</v>
      </c>
      <c r="N86" s="0" t="s">
        <v>3955</v>
      </c>
      <c r="O86" s="0" t="s">
        <v>245</v>
      </c>
      <c r="P86" s="0" t="s">
        <v>245</v>
      </c>
      <c r="Q86" s="0" t="s">
        <v>245</v>
      </c>
      <c r="R86" s="0" t="b">
        <v>0</v>
      </c>
      <c r="S86" s="0" t="s">
        <v>3878</v>
      </c>
    </row>
    <row customHeight="1" ht="11.25">
      <c r="A87" s="0">
        <v>2655</v>
      </c>
      <c r="B87" s="0" t="s">
        <v>114</v>
      </c>
      <c r="C87" s="0">
        <v>28954370</v>
      </c>
      <c r="D87" s="0" t="s">
        <v>3956</v>
      </c>
      <c r="E87" s="0" t="s">
        <v>3957</v>
      </c>
      <c r="F87" s="0" t="s">
        <v>3958</v>
      </c>
      <c r="G87" s="0" t="s">
        <v>3563</v>
      </c>
      <c r="H87" s="0" t="s">
        <v>3959</v>
      </c>
      <c r="I87" s="0" t="s">
        <v>3960</v>
      </c>
      <c r="J87" s="0" t="s">
        <v>156</v>
      </c>
      <c r="K87" s="0" t="s">
        <v>3961</v>
      </c>
      <c r="L87" s="0" t="s">
        <v>3961</v>
      </c>
      <c r="M87" s="0" t="s">
        <v>3962</v>
      </c>
      <c r="N87" s="0" t="s">
        <v>3963</v>
      </c>
      <c r="O87" s="0" t="s">
        <v>3964</v>
      </c>
      <c r="P87" s="0" t="s">
        <v>3471</v>
      </c>
      <c r="Q87" s="0" t="s">
        <v>245</v>
      </c>
      <c r="R87" s="0" t="b">
        <v>1</v>
      </c>
      <c r="S87" s="0" t="s">
        <v>3878</v>
      </c>
    </row>
    <row customHeight="1" ht="11.25">
      <c r="A88" s="0">
        <v>2655</v>
      </c>
      <c r="B88" s="0" t="s">
        <v>114</v>
      </c>
      <c r="C88" s="0">
        <v>31774016</v>
      </c>
      <c r="D88" s="0" t="s">
        <v>3965</v>
      </c>
      <c r="E88" s="0" t="s">
        <v>3966</v>
      </c>
      <c r="F88" s="0" t="s">
        <v>3967</v>
      </c>
      <c r="G88" s="0" t="s">
        <v>3582</v>
      </c>
      <c r="H88" s="0" t="s">
        <v>3968</v>
      </c>
      <c r="I88" s="0" t="s">
        <v>3969</v>
      </c>
      <c r="K88" s="0" t="s">
        <v>3970</v>
      </c>
      <c r="L88" s="0" t="s">
        <v>3971</v>
      </c>
      <c r="M88" s="0" t="s">
        <v>3972</v>
      </c>
      <c r="N88" s="0" t="s">
        <v>3973</v>
      </c>
      <c r="O88" s="0" t="s">
        <v>3974</v>
      </c>
      <c r="P88" s="0" t="s">
        <v>3347</v>
      </c>
      <c r="Q88" s="0" t="s">
        <v>245</v>
      </c>
      <c r="R88" s="0" t="b">
        <v>1</v>
      </c>
      <c r="S88" s="0" t="s">
        <v>3878</v>
      </c>
    </row>
    <row customHeight="1" ht="11.25">
      <c r="A89" s="0">
        <v>2655</v>
      </c>
      <c r="B89" s="0" t="s">
        <v>114</v>
      </c>
      <c r="C89" s="0">
        <v>28869965</v>
      </c>
      <c r="D89" s="0" t="s">
        <v>3643</v>
      </c>
      <c r="E89" s="0" t="s">
        <v>3644</v>
      </c>
      <c r="F89" s="0" t="s">
        <v>3645</v>
      </c>
      <c r="G89" s="0" t="s">
        <v>3463</v>
      </c>
      <c r="H89" s="0" t="s">
        <v>3646</v>
      </c>
      <c r="I89" s="0" t="s">
        <v>245</v>
      </c>
      <c r="J89" s="0" t="s">
        <v>156</v>
      </c>
      <c r="K89" s="0" t="s">
        <v>3647</v>
      </c>
      <c r="L89" s="0" t="s">
        <v>3647</v>
      </c>
      <c r="M89" s="0" t="s">
        <v>3648</v>
      </c>
      <c r="N89" s="0" t="s">
        <v>3649</v>
      </c>
      <c r="O89" s="0" t="s">
        <v>3650</v>
      </c>
      <c r="P89" s="0" t="s">
        <v>179</v>
      </c>
      <c r="Q89" s="0" t="s">
        <v>3651</v>
      </c>
      <c r="R89" s="0" t="b">
        <v>0</v>
      </c>
      <c r="S89" s="0" t="s">
        <v>3878</v>
      </c>
    </row>
    <row customHeight="1" ht="11.25">
      <c r="A90" s="0">
        <v>2655</v>
      </c>
      <c r="B90" s="0" t="s">
        <v>114</v>
      </c>
      <c r="C90" s="0">
        <v>28113313</v>
      </c>
      <c r="D90" s="0" t="s">
        <v>3975</v>
      </c>
      <c r="E90" s="0" t="s">
        <v>3976</v>
      </c>
      <c r="F90" s="0" t="s">
        <v>3977</v>
      </c>
      <c r="G90" s="0" t="s">
        <v>3664</v>
      </c>
      <c r="H90" s="0" t="s">
        <v>3978</v>
      </c>
      <c r="I90" s="0" t="s">
        <v>245</v>
      </c>
      <c r="J90" s="0" t="s">
        <v>156</v>
      </c>
      <c r="K90" s="0" t="s">
        <v>3979</v>
      </c>
      <c r="L90" s="0" t="s">
        <v>3980</v>
      </c>
      <c r="M90" s="0" t="s">
        <v>245</v>
      </c>
      <c r="N90" s="0" t="s">
        <v>245</v>
      </c>
      <c r="O90" s="0" t="s">
        <v>3671</v>
      </c>
      <c r="P90" s="0" t="s">
        <v>3347</v>
      </c>
      <c r="Q90" s="0" t="s">
        <v>245</v>
      </c>
      <c r="R90" s="0" t="b">
        <v>1</v>
      </c>
      <c r="S90" s="0" t="s">
        <v>3878</v>
      </c>
    </row>
    <row customHeight="1" ht="11.25">
      <c r="A91" s="0">
        <v>2655</v>
      </c>
      <c r="B91" s="0" t="s">
        <v>114</v>
      </c>
      <c r="C91" s="0">
        <v>26428030</v>
      </c>
      <c r="D91" s="0" t="s">
        <v>3981</v>
      </c>
      <c r="E91" s="0" t="s">
        <v>3982</v>
      </c>
      <c r="F91" s="0" t="s">
        <v>3983</v>
      </c>
      <c r="G91" s="0" t="s">
        <v>3563</v>
      </c>
      <c r="H91" s="0" t="s">
        <v>3984</v>
      </c>
      <c r="I91" s="0" t="s">
        <v>245</v>
      </c>
      <c r="K91" s="0" t="s">
        <v>3985</v>
      </c>
      <c r="L91" s="0" t="s">
        <v>3985</v>
      </c>
      <c r="M91" s="0" t="s">
        <v>3986</v>
      </c>
      <c r="N91" s="0" t="s">
        <v>3987</v>
      </c>
      <c r="O91" s="0" t="s">
        <v>245</v>
      </c>
      <c r="P91" s="0" t="s">
        <v>245</v>
      </c>
      <c r="Q91" s="0" t="s">
        <v>245</v>
      </c>
      <c r="R91" s="0" t="b">
        <v>0</v>
      </c>
      <c r="S91" s="0" t="s">
        <v>3878</v>
      </c>
    </row>
    <row customHeight="1" ht="11.25">
      <c r="A92" s="0">
        <v>2655</v>
      </c>
      <c r="B92" s="0" t="s">
        <v>114</v>
      </c>
      <c r="C92" s="0">
        <v>31356597</v>
      </c>
      <c r="D92" s="0" t="s">
        <v>3652</v>
      </c>
      <c r="E92" s="0" t="s">
        <v>3653</v>
      </c>
      <c r="F92" s="0" t="s">
        <v>3654</v>
      </c>
      <c r="G92" s="0" t="s">
        <v>3534</v>
      </c>
      <c r="H92" s="0" t="s">
        <v>3655</v>
      </c>
      <c r="I92" s="0" t="s">
        <v>3656</v>
      </c>
      <c r="J92" s="0" t="s">
        <v>156</v>
      </c>
      <c r="K92" s="0" t="s">
        <v>3657</v>
      </c>
      <c r="L92" s="0" t="s">
        <v>3657</v>
      </c>
      <c r="M92" s="0" t="s">
        <v>3658</v>
      </c>
      <c r="N92" s="0" t="s">
        <v>3659</v>
      </c>
      <c r="O92" s="0" t="s">
        <v>3660</v>
      </c>
      <c r="P92" s="0" t="s">
        <v>179</v>
      </c>
      <c r="Q92" s="0" t="s">
        <v>245</v>
      </c>
      <c r="R92" s="0" t="b">
        <v>0</v>
      </c>
      <c r="S92" s="0" t="s">
        <v>3878</v>
      </c>
    </row>
    <row customHeight="1" ht="11.25">
      <c r="A93" s="0">
        <v>2655</v>
      </c>
      <c r="B93" s="0" t="s">
        <v>114</v>
      </c>
      <c r="C93" s="0">
        <v>28136671</v>
      </c>
      <c r="D93" s="0" t="s">
        <v>3661</v>
      </c>
      <c r="E93" s="0" t="s">
        <v>3662</v>
      </c>
      <c r="F93" s="0" t="s">
        <v>3663</v>
      </c>
      <c r="G93" s="0" t="s">
        <v>3664</v>
      </c>
      <c r="H93" s="0" t="s">
        <v>3665</v>
      </c>
      <c r="I93" s="0" t="s">
        <v>3666</v>
      </c>
      <c r="J93" s="0" t="s">
        <v>156</v>
      </c>
      <c r="K93" s="0" t="s">
        <v>3667</v>
      </c>
      <c r="L93" s="0" t="s">
        <v>3668</v>
      </c>
      <c r="M93" s="0" t="s">
        <v>3669</v>
      </c>
      <c r="N93" s="0" t="s">
        <v>3670</v>
      </c>
      <c r="O93" s="0" t="s">
        <v>3671</v>
      </c>
      <c r="P93" s="0" t="s">
        <v>3347</v>
      </c>
      <c r="Q93" s="0" t="s">
        <v>245</v>
      </c>
      <c r="R93" s="0" t="b">
        <v>1</v>
      </c>
      <c r="S93" s="0" t="s">
        <v>3878</v>
      </c>
    </row>
    <row customHeight="1" ht="11.25">
      <c r="A94" s="0">
        <v>2655</v>
      </c>
      <c r="B94" s="0" t="s">
        <v>114</v>
      </c>
      <c r="C94" s="0">
        <v>27838991</v>
      </c>
      <c r="D94" s="0" t="s">
        <v>3988</v>
      </c>
      <c r="E94" s="0" t="s">
        <v>3989</v>
      </c>
      <c r="F94" s="0" t="s">
        <v>3990</v>
      </c>
      <c r="G94" s="0" t="s">
        <v>3362</v>
      </c>
      <c r="H94" s="0" t="s">
        <v>3991</v>
      </c>
      <c r="I94" s="0" t="s">
        <v>3992</v>
      </c>
      <c r="J94" s="0" t="s">
        <v>156</v>
      </c>
      <c r="K94" s="0" t="s">
        <v>3993</v>
      </c>
      <c r="L94" s="0" t="s">
        <v>3994</v>
      </c>
      <c r="M94" s="0" t="s">
        <v>3995</v>
      </c>
      <c r="N94" s="0" t="s">
        <v>3996</v>
      </c>
      <c r="O94" s="0" t="s">
        <v>3997</v>
      </c>
      <c r="P94" s="0" t="s">
        <v>179</v>
      </c>
      <c r="Q94" s="0" t="s">
        <v>245</v>
      </c>
      <c r="R94" s="0" t="b">
        <v>0</v>
      </c>
      <c r="S94" s="0" t="s">
        <v>3878</v>
      </c>
    </row>
    <row customHeight="1" ht="11.25">
      <c r="A95" s="0">
        <v>2655</v>
      </c>
      <c r="B95" s="0" t="s">
        <v>114</v>
      </c>
      <c r="C95" s="0">
        <v>26428026</v>
      </c>
      <c r="D95" s="0" t="s">
        <v>3698</v>
      </c>
      <c r="E95" s="0" t="s">
        <v>3699</v>
      </c>
      <c r="F95" s="0" t="s">
        <v>3700</v>
      </c>
      <c r="G95" s="0" t="s">
        <v>3701</v>
      </c>
      <c r="H95" s="0" t="s">
        <v>3702</v>
      </c>
      <c r="I95" s="0" t="s">
        <v>245</v>
      </c>
      <c r="K95" s="0" t="s">
        <v>3703</v>
      </c>
      <c r="L95" s="0" t="s">
        <v>3703</v>
      </c>
      <c r="M95" s="0" t="s">
        <v>3704</v>
      </c>
      <c r="N95" s="0" t="s">
        <v>3705</v>
      </c>
      <c r="O95" s="0" t="s">
        <v>3706</v>
      </c>
      <c r="P95" s="0" t="s">
        <v>3471</v>
      </c>
      <c r="Q95" s="0" t="s">
        <v>245</v>
      </c>
      <c r="R95" s="0" t="b">
        <v>1</v>
      </c>
      <c r="S95" s="0" t="s">
        <v>3878</v>
      </c>
    </row>
    <row customHeight="1" ht="11.25">
      <c r="A96" s="0">
        <v>2655</v>
      </c>
      <c r="B96" s="0" t="s">
        <v>114</v>
      </c>
      <c r="C96" s="0">
        <v>31739633</v>
      </c>
      <c r="D96" s="0" t="s">
        <v>3717</v>
      </c>
      <c r="E96" s="0" t="s">
        <v>3718</v>
      </c>
      <c r="F96" s="0" t="s">
        <v>3719</v>
      </c>
      <c r="G96" s="0" t="s">
        <v>3720</v>
      </c>
      <c r="H96" s="0" t="s">
        <v>3721</v>
      </c>
      <c r="I96" s="0" t="s">
        <v>3722</v>
      </c>
      <c r="K96" s="0" t="s">
        <v>3723</v>
      </c>
      <c r="L96" s="0" t="s">
        <v>3723</v>
      </c>
      <c r="M96" s="0" t="s">
        <v>3724</v>
      </c>
      <c r="N96" s="0" t="s">
        <v>3725</v>
      </c>
      <c r="O96" s="0" t="s">
        <v>3726</v>
      </c>
      <c r="P96" s="0" t="s">
        <v>3434</v>
      </c>
      <c r="Q96" s="0" t="s">
        <v>245</v>
      </c>
      <c r="R96" s="0" t="b">
        <v>0</v>
      </c>
      <c r="S96" s="0" t="s">
        <v>3878</v>
      </c>
    </row>
    <row customHeight="1" ht="11.25">
      <c r="A97" s="0">
        <v>2655</v>
      </c>
      <c r="B97" s="0" t="s">
        <v>114</v>
      </c>
      <c r="C97" s="0">
        <v>31541617</v>
      </c>
      <c r="D97" s="0" t="s">
        <v>3727</v>
      </c>
      <c r="E97" s="0" t="s">
        <v>3728</v>
      </c>
      <c r="F97" s="0" t="s">
        <v>3729</v>
      </c>
      <c r="G97" s="0" t="s">
        <v>3730</v>
      </c>
      <c r="H97" s="0" t="s">
        <v>3731</v>
      </c>
      <c r="I97" s="0" t="s">
        <v>3732</v>
      </c>
      <c r="K97" s="0" t="s">
        <v>3733</v>
      </c>
      <c r="L97" s="0" t="s">
        <v>3733</v>
      </c>
      <c r="M97" s="0" t="s">
        <v>3734</v>
      </c>
      <c r="N97" s="0" t="s">
        <v>3735</v>
      </c>
      <c r="O97" s="0" t="s">
        <v>3736</v>
      </c>
      <c r="P97" s="0" t="s">
        <v>3434</v>
      </c>
      <c r="Q97" s="0" t="s">
        <v>245</v>
      </c>
      <c r="R97" s="0" t="b">
        <v>1</v>
      </c>
      <c r="S97" s="0" t="s">
        <v>3878</v>
      </c>
    </row>
    <row customHeight="1" ht="11.25">
      <c r="A98" s="0">
        <v>2655</v>
      </c>
      <c r="B98" s="0" t="s">
        <v>114</v>
      </c>
      <c r="C98" s="0">
        <v>31834877</v>
      </c>
      <c r="D98" s="0" t="s">
        <v>3998</v>
      </c>
      <c r="E98" s="0" t="s">
        <v>3998</v>
      </c>
      <c r="F98" s="0" t="s">
        <v>3999</v>
      </c>
      <c r="G98" s="0" t="s">
        <v>3352</v>
      </c>
      <c r="H98" s="0" t="s">
        <v>4000</v>
      </c>
      <c r="I98" s="0" t="s">
        <v>4001</v>
      </c>
      <c r="K98" s="0" t="s">
        <v>4002</v>
      </c>
      <c r="L98" s="0" t="s">
        <v>4003</v>
      </c>
      <c r="M98" s="0" t="s">
        <v>245</v>
      </c>
      <c r="N98" s="0" t="s">
        <v>4004</v>
      </c>
      <c r="O98" s="0" t="s">
        <v>4005</v>
      </c>
      <c r="P98" s="0" t="s">
        <v>3347</v>
      </c>
      <c r="Q98" s="0" t="s">
        <v>4006</v>
      </c>
      <c r="R98" s="0" t="b">
        <v>0</v>
      </c>
      <c r="S98" s="0" t="s">
        <v>3878</v>
      </c>
    </row>
    <row customHeight="1" ht="11.25">
      <c r="A99" s="0">
        <v>2655</v>
      </c>
      <c r="B99" s="0" t="s">
        <v>114</v>
      </c>
      <c r="C99" s="0">
        <v>26356891</v>
      </c>
      <c r="D99" s="0" t="s">
        <v>3748</v>
      </c>
      <c r="E99" s="0" t="s">
        <v>3749</v>
      </c>
      <c r="F99" s="0" t="s">
        <v>3750</v>
      </c>
      <c r="G99" s="0" t="s">
        <v>3563</v>
      </c>
      <c r="H99" s="0" t="s">
        <v>3751</v>
      </c>
      <c r="I99" s="0" t="s">
        <v>3752</v>
      </c>
      <c r="J99" s="0" t="s">
        <v>156</v>
      </c>
      <c r="K99" s="0" t="s">
        <v>3753</v>
      </c>
      <c r="L99" s="0" t="s">
        <v>3753</v>
      </c>
      <c r="M99" s="0" t="s">
        <v>3754</v>
      </c>
      <c r="N99" s="0" t="s">
        <v>3755</v>
      </c>
      <c r="O99" s="0" t="s">
        <v>3756</v>
      </c>
      <c r="P99" s="0" t="s">
        <v>3471</v>
      </c>
      <c r="Q99" s="0" t="s">
        <v>245</v>
      </c>
      <c r="R99" s="0" t="b">
        <v>0</v>
      </c>
      <c r="S99" s="0" t="s">
        <v>3878</v>
      </c>
    </row>
    <row customHeight="1" ht="11.25">
      <c r="A100" s="0">
        <v>2655</v>
      </c>
      <c r="B100" s="0" t="s">
        <v>114</v>
      </c>
      <c r="C100" s="0">
        <v>31241637</v>
      </c>
      <c r="D100" s="0" t="s">
        <v>3757</v>
      </c>
      <c r="E100" s="0" t="s">
        <v>3758</v>
      </c>
      <c r="F100" s="0" t="s">
        <v>3759</v>
      </c>
      <c r="G100" s="0" t="s">
        <v>3582</v>
      </c>
      <c r="H100" s="0" t="s">
        <v>3760</v>
      </c>
      <c r="I100" s="0" t="s">
        <v>3761</v>
      </c>
      <c r="J100" s="0" t="s">
        <v>156</v>
      </c>
      <c r="K100" s="0" t="s">
        <v>3762</v>
      </c>
      <c r="L100" s="0" t="s">
        <v>3762</v>
      </c>
      <c r="M100" s="0" t="s">
        <v>3763</v>
      </c>
      <c r="N100" s="0" t="s">
        <v>245</v>
      </c>
      <c r="O100" s="0" t="s">
        <v>3764</v>
      </c>
      <c r="P100" s="0" t="s">
        <v>3434</v>
      </c>
      <c r="Q100" s="0" t="s">
        <v>245</v>
      </c>
      <c r="R100" s="0" t="b">
        <v>0</v>
      </c>
      <c r="S100" s="0" t="s">
        <v>3878</v>
      </c>
    </row>
    <row customHeight="1" ht="11.25">
      <c r="A101" s="0">
        <v>2655</v>
      </c>
      <c r="B101" s="0" t="s">
        <v>114</v>
      </c>
      <c r="C101" s="0">
        <v>28819708</v>
      </c>
      <c r="D101" s="0" t="s">
        <v>4007</v>
      </c>
      <c r="E101" s="0" t="s">
        <v>4008</v>
      </c>
      <c r="F101" s="0" t="s">
        <v>4009</v>
      </c>
      <c r="G101" s="0" t="s">
        <v>3475</v>
      </c>
      <c r="H101" s="0" t="s">
        <v>4010</v>
      </c>
      <c r="I101" s="0" t="s">
        <v>4011</v>
      </c>
      <c r="J101" s="0" t="s">
        <v>156</v>
      </c>
      <c r="K101" s="0" t="s">
        <v>4012</v>
      </c>
      <c r="L101" s="0" t="s">
        <v>4012</v>
      </c>
      <c r="M101" s="0" t="s">
        <v>245</v>
      </c>
      <c r="N101" s="0" t="s">
        <v>4013</v>
      </c>
      <c r="O101" s="0" t="s">
        <v>4014</v>
      </c>
      <c r="P101" s="0" t="s">
        <v>3471</v>
      </c>
      <c r="Q101" s="0" t="s">
        <v>245</v>
      </c>
      <c r="R101" s="0" t="b">
        <v>0</v>
      </c>
      <c r="S101" s="0" t="s">
        <v>3878</v>
      </c>
    </row>
    <row customHeight="1" ht="11.25">
      <c r="A102" s="0">
        <v>2655</v>
      </c>
      <c r="B102" s="0" t="s">
        <v>114</v>
      </c>
      <c r="C102" s="0">
        <v>26356937</v>
      </c>
      <c r="D102" s="0" t="s">
        <v>3765</v>
      </c>
      <c r="E102" s="0" t="s">
        <v>3766</v>
      </c>
      <c r="F102" s="0" t="s">
        <v>3767</v>
      </c>
      <c r="G102" s="0" t="s">
        <v>149</v>
      </c>
      <c r="H102" s="0" t="s">
        <v>3768</v>
      </c>
      <c r="I102" s="0" t="s">
        <v>3769</v>
      </c>
      <c r="J102" s="0" t="s">
        <v>156</v>
      </c>
      <c r="K102" s="0" t="s">
        <v>3770</v>
      </c>
      <c r="L102" s="0" t="s">
        <v>3770</v>
      </c>
      <c r="M102" s="0" t="s">
        <v>3771</v>
      </c>
      <c r="N102" s="0" t="s">
        <v>3772</v>
      </c>
      <c r="O102" s="0" t="s">
        <v>3773</v>
      </c>
      <c r="P102" s="0" t="s">
        <v>3434</v>
      </c>
      <c r="Q102" s="0" t="s">
        <v>3774</v>
      </c>
      <c r="R102" s="0" t="b">
        <v>0</v>
      </c>
      <c r="S102" s="0" t="s">
        <v>3878</v>
      </c>
    </row>
    <row customHeight="1" ht="11.25">
      <c r="A103" s="0">
        <v>2655</v>
      </c>
      <c r="B103" s="0" t="s">
        <v>114</v>
      </c>
      <c r="C103" s="0">
        <v>31770754</v>
      </c>
      <c r="D103" s="0" t="s">
        <v>3775</v>
      </c>
      <c r="E103" s="0" t="s">
        <v>3776</v>
      </c>
      <c r="F103" s="0" t="s">
        <v>3777</v>
      </c>
      <c r="G103" s="0" t="s">
        <v>3720</v>
      </c>
      <c r="H103" s="0" t="s">
        <v>3778</v>
      </c>
      <c r="I103" s="0" t="s">
        <v>3779</v>
      </c>
      <c r="K103" s="0" t="s">
        <v>3780</v>
      </c>
      <c r="L103" s="0" t="s">
        <v>3781</v>
      </c>
      <c r="M103" s="0" t="s">
        <v>3782</v>
      </c>
      <c r="N103" s="0" t="s">
        <v>3783</v>
      </c>
      <c r="O103" s="0" t="s">
        <v>3784</v>
      </c>
      <c r="P103" s="0" t="s">
        <v>3471</v>
      </c>
      <c r="Q103" s="0" t="s">
        <v>245</v>
      </c>
      <c r="R103" s="0" t="b">
        <v>1</v>
      </c>
      <c r="S103" s="0" t="s">
        <v>3878</v>
      </c>
    </row>
    <row customHeight="1" ht="11.25">
      <c r="A104" s="0">
        <v>2655</v>
      </c>
      <c r="B104" s="0" t="s">
        <v>114</v>
      </c>
      <c r="C104" s="0">
        <v>31528492</v>
      </c>
      <c r="D104" s="0" t="s">
        <v>3785</v>
      </c>
      <c r="E104" s="0" t="s">
        <v>3786</v>
      </c>
      <c r="F104" s="0" t="s">
        <v>3787</v>
      </c>
      <c r="G104" s="0" t="s">
        <v>3582</v>
      </c>
      <c r="H104" s="0" t="s">
        <v>3788</v>
      </c>
      <c r="I104" s="0" t="s">
        <v>3789</v>
      </c>
      <c r="K104" s="0" t="s">
        <v>3790</v>
      </c>
      <c r="L104" s="0" t="s">
        <v>3790</v>
      </c>
      <c r="M104" s="0" t="s">
        <v>3791</v>
      </c>
      <c r="N104" s="0" t="s">
        <v>3792</v>
      </c>
      <c r="O104" s="0" t="s">
        <v>3793</v>
      </c>
      <c r="P104" s="0" t="s">
        <v>3347</v>
      </c>
      <c r="Q104" s="0" t="s">
        <v>245</v>
      </c>
      <c r="R104" s="0" t="b">
        <v>0</v>
      </c>
      <c r="S104" s="0" t="s">
        <v>3878</v>
      </c>
    </row>
    <row customHeight="1" ht="11.25">
      <c r="A105" s="0">
        <v>2655</v>
      </c>
      <c r="B105" s="0" t="s">
        <v>114</v>
      </c>
      <c r="C105" s="0">
        <v>28270293</v>
      </c>
      <c r="D105" s="0" t="s">
        <v>3794</v>
      </c>
      <c r="E105" s="0" t="s">
        <v>3795</v>
      </c>
      <c r="F105" s="0" t="s">
        <v>3796</v>
      </c>
      <c r="G105" s="0" t="s">
        <v>3563</v>
      </c>
      <c r="H105" s="0" t="s">
        <v>3797</v>
      </c>
      <c r="I105" s="0" t="s">
        <v>3798</v>
      </c>
      <c r="J105" s="0" t="s">
        <v>156</v>
      </c>
      <c r="K105" s="0" t="s">
        <v>3799</v>
      </c>
      <c r="L105" s="0" t="s">
        <v>3799</v>
      </c>
      <c r="M105" s="0" t="s">
        <v>3800</v>
      </c>
      <c r="N105" s="0" t="s">
        <v>3801</v>
      </c>
      <c r="O105" s="0" t="s">
        <v>3802</v>
      </c>
      <c r="P105" s="0" t="s">
        <v>179</v>
      </c>
      <c r="Q105" s="0" t="s">
        <v>245</v>
      </c>
      <c r="R105" s="0" t="b">
        <v>0</v>
      </c>
      <c r="S105" s="0" t="s">
        <v>3878</v>
      </c>
    </row>
    <row customHeight="1" ht="11.25">
      <c r="A106" s="0">
        <v>2655</v>
      </c>
      <c r="B106" s="0" t="s">
        <v>114</v>
      </c>
      <c r="C106" s="0">
        <v>28873362</v>
      </c>
      <c r="D106" s="0" t="s">
        <v>3803</v>
      </c>
      <c r="E106" s="0" t="s">
        <v>3804</v>
      </c>
      <c r="F106" s="0" t="s">
        <v>3805</v>
      </c>
      <c r="G106" s="0" t="s">
        <v>3339</v>
      </c>
      <c r="H106" s="0" t="s">
        <v>3806</v>
      </c>
      <c r="I106" s="0" t="s">
        <v>3807</v>
      </c>
      <c r="J106" s="0" t="s">
        <v>156</v>
      </c>
      <c r="K106" s="0" t="s">
        <v>3808</v>
      </c>
      <c r="L106" s="0" t="s">
        <v>3808</v>
      </c>
      <c r="M106" s="0" t="s">
        <v>3809</v>
      </c>
      <c r="N106" s="0" t="s">
        <v>3810</v>
      </c>
      <c r="O106" s="0" t="s">
        <v>3811</v>
      </c>
      <c r="P106" s="0" t="s">
        <v>3471</v>
      </c>
      <c r="Q106" s="0" t="s">
        <v>3812</v>
      </c>
      <c r="R106" s="0" t="b">
        <v>0</v>
      </c>
      <c r="S106" s="0" t="s">
        <v>3878</v>
      </c>
    </row>
    <row customHeight="1" ht="11.25">
      <c r="A107" s="0">
        <v>2655</v>
      </c>
      <c r="B107" s="0" t="s">
        <v>114</v>
      </c>
      <c r="C107" s="0">
        <v>28976681</v>
      </c>
      <c r="D107" s="0" t="s">
        <v>3813</v>
      </c>
      <c r="E107" s="0" t="s">
        <v>3814</v>
      </c>
      <c r="F107" s="0" t="s">
        <v>3815</v>
      </c>
      <c r="G107" s="0" t="s">
        <v>3563</v>
      </c>
      <c r="H107" s="0" t="s">
        <v>3816</v>
      </c>
      <c r="I107" s="0" t="s">
        <v>3817</v>
      </c>
      <c r="J107" s="0" t="s">
        <v>156</v>
      </c>
      <c r="K107" s="0" t="s">
        <v>3818</v>
      </c>
      <c r="L107" s="0" t="s">
        <v>3818</v>
      </c>
      <c r="M107" s="0" t="s">
        <v>3819</v>
      </c>
      <c r="N107" s="0" t="s">
        <v>245</v>
      </c>
      <c r="O107" s="0" t="s">
        <v>3820</v>
      </c>
      <c r="P107" s="0" t="s">
        <v>3471</v>
      </c>
      <c r="Q107" s="0" t="s">
        <v>245</v>
      </c>
      <c r="R107" s="0" t="b">
        <v>1</v>
      </c>
      <c r="S107" s="0" t="s">
        <v>3878</v>
      </c>
    </row>
    <row customHeight="1" ht="11.25">
      <c r="A108" s="0">
        <v>2655</v>
      </c>
      <c r="B108" s="0" t="s">
        <v>114</v>
      </c>
      <c r="C108" s="0">
        <v>26853991</v>
      </c>
      <c r="D108" s="0" t="s">
        <v>3832</v>
      </c>
      <c r="E108" s="0" t="s">
        <v>3833</v>
      </c>
      <c r="F108" s="0" t="s">
        <v>3834</v>
      </c>
      <c r="G108" s="0" t="s">
        <v>3835</v>
      </c>
      <c r="H108" s="0" t="s">
        <v>3836</v>
      </c>
      <c r="I108" s="0" t="s">
        <v>3837</v>
      </c>
      <c r="J108" s="0" t="s">
        <v>3327</v>
      </c>
      <c r="K108" s="0" t="s">
        <v>245</v>
      </c>
      <c r="L108" s="0" t="s">
        <v>3838</v>
      </c>
      <c r="M108" s="0" t="s">
        <v>3839</v>
      </c>
      <c r="N108" s="0" t="s">
        <v>3840</v>
      </c>
      <c r="O108" s="0" t="s">
        <v>3841</v>
      </c>
      <c r="P108" s="0" t="s">
        <v>3380</v>
      </c>
      <c r="Q108" s="0" t="s">
        <v>245</v>
      </c>
      <c r="R108" s="0" t="b">
        <v>0</v>
      </c>
      <c r="S108" s="0" t="s">
        <v>3878</v>
      </c>
    </row>
    <row customHeight="1" ht="11.25">
      <c r="A109" s="0">
        <v>2655</v>
      </c>
      <c r="B109" s="0" t="s">
        <v>114</v>
      </c>
      <c r="C109" s="0">
        <v>30808511</v>
      </c>
      <c r="D109" s="0" t="s">
        <v>3842</v>
      </c>
      <c r="E109" s="0" t="s">
        <v>3842</v>
      </c>
      <c r="F109" s="0" t="s">
        <v>3843</v>
      </c>
      <c r="G109" s="0" t="s">
        <v>3844</v>
      </c>
      <c r="H109" s="0" t="s">
        <v>3845</v>
      </c>
      <c r="I109" s="0" t="s">
        <v>3846</v>
      </c>
      <c r="J109" s="0" t="s">
        <v>3847</v>
      </c>
      <c r="K109" s="0" t="s">
        <v>3848</v>
      </c>
      <c r="L109" s="0" t="s">
        <v>3849</v>
      </c>
      <c r="M109" s="0" t="s">
        <v>3850</v>
      </c>
      <c r="N109" s="0" t="s">
        <v>245</v>
      </c>
      <c r="O109" s="0" t="s">
        <v>3851</v>
      </c>
      <c r="P109" s="0" t="s">
        <v>3471</v>
      </c>
      <c r="Q109" s="0" t="s">
        <v>3852</v>
      </c>
      <c r="R109" s="0" t="b">
        <v>0</v>
      </c>
      <c r="S109" s="0" t="s">
        <v>3878</v>
      </c>
    </row>
    <row customHeight="1" ht="11.25">
      <c r="A110" s="0">
        <v>2655</v>
      </c>
      <c r="B110" s="0" t="s">
        <v>114</v>
      </c>
      <c r="C110" s="0">
        <v>26520873</v>
      </c>
      <c r="D110" s="0" t="s">
        <v>3857</v>
      </c>
      <c r="E110" s="0" t="s">
        <v>3858</v>
      </c>
      <c r="F110" s="0" t="s">
        <v>3843</v>
      </c>
      <c r="G110" s="0" t="s">
        <v>3859</v>
      </c>
      <c r="H110" s="0" t="s">
        <v>3845</v>
      </c>
      <c r="I110" s="0" t="s">
        <v>3860</v>
      </c>
      <c r="J110" s="0" t="s">
        <v>3847</v>
      </c>
      <c r="K110" s="0" t="s">
        <v>3861</v>
      </c>
      <c r="L110" s="0" t="s">
        <v>3862</v>
      </c>
      <c r="M110" s="0" t="s">
        <v>3863</v>
      </c>
      <c r="N110" s="0" t="s">
        <v>3864</v>
      </c>
      <c r="O110" s="0" t="s">
        <v>3865</v>
      </c>
      <c r="P110" s="0" t="s">
        <v>3471</v>
      </c>
      <c r="Q110" s="0" t="s">
        <v>3866</v>
      </c>
      <c r="R110" s="0" t="b">
        <v>0</v>
      </c>
      <c r="S110" s="0" t="s">
        <v>3878</v>
      </c>
    </row>
    <row customHeight="1" ht="11.25">
      <c r="A111" s="0">
        <v>2655</v>
      </c>
      <c r="B111" s="0" t="s">
        <v>114</v>
      </c>
      <c r="C111" s="0">
        <v>28976938</v>
      </c>
      <c r="D111" s="0" t="s">
        <v>3321</v>
      </c>
      <c r="E111" s="0" t="s">
        <v>3322</v>
      </c>
      <c r="F111" s="0" t="s">
        <v>3323</v>
      </c>
      <c r="G111" s="0" t="s">
        <v>3324</v>
      </c>
      <c r="H111" s="0" t="s">
        <v>3325</v>
      </c>
      <c r="I111" s="0" t="s">
        <v>3326</v>
      </c>
      <c r="J111" s="0" t="s">
        <v>3327</v>
      </c>
      <c r="K111" s="0" t="s">
        <v>3328</v>
      </c>
      <c r="L111" s="0" t="s">
        <v>3329</v>
      </c>
      <c r="M111" s="0" t="s">
        <v>3330</v>
      </c>
      <c r="N111" s="0" t="s">
        <v>3331</v>
      </c>
      <c r="O111" s="0" t="s">
        <v>3332</v>
      </c>
      <c r="P111" s="0" t="s">
        <v>3333</v>
      </c>
      <c r="Q111" s="0" t="s">
        <v>3334</v>
      </c>
      <c r="R111" s="0" t="b">
        <v>0</v>
      </c>
      <c r="S111" s="0" t="s">
        <v>4015</v>
      </c>
    </row>
    <row customHeight="1" ht="11.25">
      <c r="A112" s="0">
        <v>2655</v>
      </c>
      <c r="B112" s="0" t="s">
        <v>114</v>
      </c>
      <c r="C112" s="0">
        <v>26356915</v>
      </c>
      <c r="D112" s="0" t="s">
        <v>3879</v>
      </c>
      <c r="E112" s="0" t="s">
        <v>3880</v>
      </c>
      <c r="F112" s="0" t="s">
        <v>3881</v>
      </c>
      <c r="G112" s="0" t="s">
        <v>3552</v>
      </c>
      <c r="H112" s="0" t="s">
        <v>3882</v>
      </c>
      <c r="I112" s="0" t="s">
        <v>3883</v>
      </c>
      <c r="J112" s="0" t="s">
        <v>3327</v>
      </c>
      <c r="K112" s="0" t="s">
        <v>3884</v>
      </c>
      <c r="L112" s="0" t="s">
        <v>3884</v>
      </c>
      <c r="M112" s="0" t="s">
        <v>3885</v>
      </c>
      <c r="N112" s="0" t="s">
        <v>3886</v>
      </c>
      <c r="O112" s="0" t="s">
        <v>3887</v>
      </c>
      <c r="P112" s="0" t="s">
        <v>179</v>
      </c>
      <c r="Q112" s="0" t="s">
        <v>190</v>
      </c>
      <c r="R112" s="0" t="b">
        <v>0</v>
      </c>
      <c r="S112" s="0" t="s">
        <v>4015</v>
      </c>
    </row>
    <row customHeight="1" ht="11.25">
      <c r="A113" s="0">
        <v>2655</v>
      </c>
      <c r="B113" s="0" t="s">
        <v>114</v>
      </c>
      <c r="C113" s="0">
        <v>26357007</v>
      </c>
      <c r="D113" s="0" t="s">
        <v>4016</v>
      </c>
      <c r="E113" s="0" t="s">
        <v>4017</v>
      </c>
      <c r="F113" s="0" t="s">
        <v>4018</v>
      </c>
      <c r="G113" s="0" t="s">
        <v>3582</v>
      </c>
      <c r="H113" s="0" t="s">
        <v>4019</v>
      </c>
      <c r="I113" s="0" t="s">
        <v>4020</v>
      </c>
      <c r="J113" s="0" t="s">
        <v>3327</v>
      </c>
      <c r="K113" s="0" t="s">
        <v>4021</v>
      </c>
      <c r="L113" s="0" t="s">
        <v>4021</v>
      </c>
      <c r="M113" s="0" t="s">
        <v>4022</v>
      </c>
      <c r="N113" s="0" t="s">
        <v>4023</v>
      </c>
      <c r="O113" s="0" t="s">
        <v>4024</v>
      </c>
      <c r="P113" s="0" t="s">
        <v>179</v>
      </c>
      <c r="Q113" s="0" t="s">
        <v>4025</v>
      </c>
      <c r="R113" s="0" t="b">
        <v>0</v>
      </c>
      <c r="S113" s="0" t="s">
        <v>4015</v>
      </c>
    </row>
    <row customHeight="1" ht="11.25">
      <c r="A114" s="0">
        <v>2655</v>
      </c>
      <c r="B114" s="0" t="s">
        <v>114</v>
      </c>
      <c r="C114" s="0">
        <v>27804990</v>
      </c>
      <c r="D114" s="0" t="s">
        <v>3336</v>
      </c>
      <c r="E114" s="0" t="s">
        <v>3337</v>
      </c>
      <c r="F114" s="0" t="s">
        <v>3338</v>
      </c>
      <c r="G114" s="0" t="s">
        <v>3339</v>
      </c>
      <c r="H114" s="0" t="s">
        <v>3340</v>
      </c>
      <c r="I114" s="0" t="s">
        <v>3341</v>
      </c>
      <c r="J114" s="0" t="s">
        <v>3327</v>
      </c>
      <c r="K114" s="0" t="s">
        <v>3342</v>
      </c>
      <c r="L114" s="0" t="s">
        <v>3343</v>
      </c>
      <c r="M114" s="0" t="s">
        <v>3344</v>
      </c>
      <c r="N114" s="0" t="s">
        <v>3345</v>
      </c>
      <c r="O114" s="0" t="s">
        <v>3346</v>
      </c>
      <c r="P114" s="0" t="s">
        <v>3347</v>
      </c>
      <c r="Q114" s="0" t="s">
        <v>3348</v>
      </c>
      <c r="R114" s="0" t="b">
        <v>0</v>
      </c>
      <c r="S114" s="0" t="s">
        <v>4015</v>
      </c>
    </row>
    <row customHeight="1" ht="11.25">
      <c r="A115" s="0">
        <v>2655</v>
      </c>
      <c r="B115" s="0" t="s">
        <v>114</v>
      </c>
      <c r="C115" s="0">
        <v>28048296</v>
      </c>
      <c r="D115" s="0" t="s">
        <v>4026</v>
      </c>
      <c r="E115" s="0" t="s">
        <v>4027</v>
      </c>
      <c r="F115" s="0" t="s">
        <v>4028</v>
      </c>
      <c r="G115" s="0" t="s">
        <v>3339</v>
      </c>
      <c r="H115" s="0" t="s">
        <v>4029</v>
      </c>
      <c r="I115" s="0" t="s">
        <v>4030</v>
      </c>
      <c r="J115" s="0" t="s">
        <v>3327</v>
      </c>
      <c r="K115" s="0" t="s">
        <v>4031</v>
      </c>
      <c r="L115" s="0" t="s">
        <v>3343</v>
      </c>
      <c r="M115" s="0" t="s">
        <v>4032</v>
      </c>
      <c r="N115" s="0" t="s">
        <v>4033</v>
      </c>
      <c r="O115" s="0" t="s">
        <v>4034</v>
      </c>
      <c r="P115" s="0" t="s">
        <v>3347</v>
      </c>
      <c r="Q115" s="0" t="s">
        <v>3348</v>
      </c>
      <c r="R115" s="0" t="b">
        <v>0</v>
      </c>
      <c r="S115" s="0" t="s">
        <v>4015</v>
      </c>
    </row>
    <row customHeight="1" ht="11.25">
      <c r="A116" s="0">
        <v>2655</v>
      </c>
      <c r="B116" s="0" t="s">
        <v>114</v>
      </c>
      <c r="C116" s="0">
        <v>27804826</v>
      </c>
      <c r="D116" s="0" t="s">
        <v>3349</v>
      </c>
      <c r="E116" s="0" t="s">
        <v>3350</v>
      </c>
      <c r="F116" s="0" t="s">
        <v>3351</v>
      </c>
      <c r="G116" s="0" t="s">
        <v>3352</v>
      </c>
      <c r="H116" s="0" t="s">
        <v>3353</v>
      </c>
      <c r="I116" s="0" t="s">
        <v>3354</v>
      </c>
      <c r="J116" s="0" t="s">
        <v>3327</v>
      </c>
      <c r="K116" s="0" t="s">
        <v>3355</v>
      </c>
      <c r="L116" s="0" t="s">
        <v>3343</v>
      </c>
      <c r="M116" s="0" t="s">
        <v>245</v>
      </c>
      <c r="N116" s="0" t="s">
        <v>3356</v>
      </c>
      <c r="O116" s="0" t="s">
        <v>3357</v>
      </c>
      <c r="P116" s="0" t="s">
        <v>3347</v>
      </c>
      <c r="Q116" s="0" t="s">
        <v>3358</v>
      </c>
      <c r="R116" s="0" t="b">
        <v>0</v>
      </c>
      <c r="S116" s="0" t="s">
        <v>4015</v>
      </c>
    </row>
    <row customHeight="1" ht="11.25">
      <c r="A117" s="0">
        <v>2655</v>
      </c>
      <c r="B117" s="0" t="s">
        <v>114</v>
      </c>
      <c r="C117" s="0">
        <v>27804896</v>
      </c>
      <c r="D117" s="0" t="s">
        <v>4035</v>
      </c>
      <c r="E117" s="0" t="s">
        <v>4036</v>
      </c>
      <c r="F117" s="0" t="s">
        <v>4037</v>
      </c>
      <c r="G117" s="0" t="s">
        <v>3339</v>
      </c>
      <c r="H117" s="0" t="s">
        <v>4038</v>
      </c>
      <c r="I117" s="0" t="s">
        <v>4039</v>
      </c>
      <c r="J117" s="0" t="s">
        <v>3327</v>
      </c>
      <c r="K117" s="0" t="s">
        <v>4040</v>
      </c>
      <c r="L117" s="0" t="s">
        <v>3343</v>
      </c>
      <c r="M117" s="0" t="s">
        <v>4041</v>
      </c>
      <c r="N117" s="0" t="s">
        <v>4042</v>
      </c>
      <c r="O117" s="0" t="s">
        <v>4043</v>
      </c>
      <c r="P117" s="0" t="s">
        <v>3347</v>
      </c>
      <c r="Q117" s="0" t="s">
        <v>3348</v>
      </c>
      <c r="R117" s="0" t="b">
        <v>0</v>
      </c>
      <c r="S117" s="0" t="s">
        <v>4015</v>
      </c>
    </row>
    <row customHeight="1" ht="11.25">
      <c r="A118" s="0">
        <v>2655</v>
      </c>
      <c r="B118" s="0" t="s">
        <v>114</v>
      </c>
      <c r="C118" s="0">
        <v>27820148</v>
      </c>
      <c r="D118" s="0" t="s">
        <v>3902</v>
      </c>
      <c r="E118" s="0" t="s">
        <v>3903</v>
      </c>
      <c r="F118" s="0" t="s">
        <v>3904</v>
      </c>
      <c r="G118" s="0" t="s">
        <v>149</v>
      </c>
      <c r="H118" s="0" t="s">
        <v>3905</v>
      </c>
      <c r="I118" s="0" t="s">
        <v>3906</v>
      </c>
      <c r="J118" s="0" t="s">
        <v>3327</v>
      </c>
      <c r="K118" s="0" t="s">
        <v>3907</v>
      </c>
      <c r="L118" s="0" t="s">
        <v>3907</v>
      </c>
      <c r="M118" s="0" t="s">
        <v>3908</v>
      </c>
      <c r="N118" s="0" t="s">
        <v>3909</v>
      </c>
      <c r="O118" s="0" t="s">
        <v>3910</v>
      </c>
      <c r="P118" s="0" t="s">
        <v>3911</v>
      </c>
      <c r="Q118" s="0" t="s">
        <v>3912</v>
      </c>
      <c r="R118" s="0" t="b">
        <v>0</v>
      </c>
      <c r="S118" s="0" t="s">
        <v>4015</v>
      </c>
    </row>
    <row customHeight="1" ht="11.25">
      <c r="A119" s="0">
        <v>2655</v>
      </c>
      <c r="B119" s="0" t="s">
        <v>114</v>
      </c>
      <c r="C119" s="0">
        <v>26356905</v>
      </c>
      <c r="D119" s="0" t="s">
        <v>3382</v>
      </c>
      <c r="E119" s="0" t="s">
        <v>3383</v>
      </c>
      <c r="F119" s="0" t="s">
        <v>3384</v>
      </c>
      <c r="G119" s="0" t="s">
        <v>3339</v>
      </c>
      <c r="H119" s="0" t="s">
        <v>3385</v>
      </c>
      <c r="I119" s="0" t="s">
        <v>3386</v>
      </c>
      <c r="J119" s="0" t="s">
        <v>3327</v>
      </c>
      <c r="K119" s="0" t="s">
        <v>3387</v>
      </c>
      <c r="L119" s="0" t="s">
        <v>3387</v>
      </c>
      <c r="M119" s="0" t="s">
        <v>3388</v>
      </c>
      <c r="N119" s="0" t="s">
        <v>3389</v>
      </c>
      <c r="O119" s="0" t="s">
        <v>3390</v>
      </c>
      <c r="P119" s="0" t="s">
        <v>3391</v>
      </c>
      <c r="Q119" s="0" t="s">
        <v>3392</v>
      </c>
      <c r="R119" s="0" t="b">
        <v>0</v>
      </c>
      <c r="S119" s="0" t="s">
        <v>4015</v>
      </c>
    </row>
    <row customHeight="1" ht="11.25">
      <c r="A120" s="0">
        <v>2655</v>
      </c>
      <c r="B120" s="0" t="s">
        <v>114</v>
      </c>
      <c r="C120" s="0">
        <v>26652554</v>
      </c>
      <c r="D120" s="0" t="s">
        <v>4044</v>
      </c>
      <c r="E120" s="0" t="s">
        <v>4045</v>
      </c>
      <c r="F120" s="0" t="s">
        <v>4046</v>
      </c>
      <c r="G120" s="0" t="s">
        <v>3720</v>
      </c>
      <c r="H120" s="0" t="s">
        <v>4047</v>
      </c>
      <c r="I120" s="0" t="s">
        <v>245</v>
      </c>
      <c r="J120" s="0" t="s">
        <v>3327</v>
      </c>
      <c r="K120" s="0" t="s">
        <v>4048</v>
      </c>
      <c r="L120" s="0" t="s">
        <v>4048</v>
      </c>
      <c r="M120" s="0" t="s">
        <v>4049</v>
      </c>
      <c r="N120" s="0" t="s">
        <v>4050</v>
      </c>
      <c r="O120" s="0" t="s">
        <v>4051</v>
      </c>
      <c r="P120" s="0" t="s">
        <v>179</v>
      </c>
      <c r="Q120" s="0" t="s">
        <v>4052</v>
      </c>
      <c r="R120" s="0" t="b">
        <v>0</v>
      </c>
      <c r="S120" s="0" t="s">
        <v>4015</v>
      </c>
    </row>
    <row customHeight="1" ht="11.25">
      <c r="A121" s="0">
        <v>2655</v>
      </c>
      <c r="B121" s="0" t="s">
        <v>114</v>
      </c>
      <c r="C121" s="0">
        <v>26356926</v>
      </c>
      <c r="D121" s="0" t="s">
        <v>4053</v>
      </c>
      <c r="E121" s="0" t="s">
        <v>4054</v>
      </c>
      <c r="F121" s="0" t="s">
        <v>4055</v>
      </c>
      <c r="G121" s="0" t="s">
        <v>149</v>
      </c>
      <c r="H121" s="0" t="s">
        <v>4056</v>
      </c>
      <c r="I121" s="0" t="s">
        <v>4057</v>
      </c>
      <c r="J121" s="0" t="s">
        <v>4058</v>
      </c>
      <c r="K121" s="0" t="s">
        <v>4059</v>
      </c>
      <c r="L121" s="0" t="s">
        <v>4059</v>
      </c>
      <c r="M121" s="0" t="s">
        <v>4060</v>
      </c>
      <c r="N121" s="0" t="s">
        <v>4061</v>
      </c>
      <c r="O121" s="0" t="s">
        <v>4062</v>
      </c>
      <c r="P121" s="0" t="s">
        <v>4063</v>
      </c>
      <c r="Q121" s="0" t="s">
        <v>4064</v>
      </c>
      <c r="R121" s="0" t="b">
        <v>0</v>
      </c>
      <c r="S121" s="0" t="s">
        <v>4015</v>
      </c>
    </row>
    <row customHeight="1" ht="11.25">
      <c r="A122" s="0">
        <v>2655</v>
      </c>
      <c r="B122" s="0" t="s">
        <v>114</v>
      </c>
      <c r="C122" s="0">
        <v>28875287</v>
      </c>
      <c r="D122" s="0" t="s">
        <v>4065</v>
      </c>
      <c r="E122" s="0" t="s">
        <v>4066</v>
      </c>
      <c r="F122" s="0" t="s">
        <v>4067</v>
      </c>
      <c r="G122" s="0" t="s">
        <v>149</v>
      </c>
      <c r="H122" s="0" t="s">
        <v>4068</v>
      </c>
      <c r="I122" s="0" t="s">
        <v>4069</v>
      </c>
      <c r="J122" s="0" t="s">
        <v>4070</v>
      </c>
      <c r="K122" s="0" t="s">
        <v>4071</v>
      </c>
      <c r="L122" s="0" t="s">
        <v>4071</v>
      </c>
      <c r="M122" s="0" t="s">
        <v>4072</v>
      </c>
      <c r="N122" s="0" t="s">
        <v>4073</v>
      </c>
      <c r="O122" s="0" t="s">
        <v>4074</v>
      </c>
      <c r="P122" s="0" t="s">
        <v>4075</v>
      </c>
      <c r="Q122" s="0" t="s">
        <v>245</v>
      </c>
      <c r="R122" s="0" t="b">
        <v>0</v>
      </c>
      <c r="S122" s="0" t="s">
        <v>4015</v>
      </c>
    </row>
    <row customHeight="1" ht="11.25">
      <c r="A123" s="0">
        <v>2655</v>
      </c>
      <c r="B123" s="0" t="s">
        <v>114</v>
      </c>
      <c r="C123" s="0">
        <v>31720063</v>
      </c>
      <c r="D123" s="0" t="s">
        <v>4076</v>
      </c>
      <c r="E123" s="0" t="s">
        <v>4077</v>
      </c>
      <c r="F123" s="0" t="s">
        <v>4078</v>
      </c>
      <c r="G123" s="0" t="s">
        <v>3525</v>
      </c>
      <c r="H123" s="0" t="s">
        <v>4079</v>
      </c>
      <c r="I123" s="0" t="s">
        <v>4080</v>
      </c>
      <c r="K123" s="0" t="s">
        <v>4081</v>
      </c>
      <c r="L123" s="0" t="s">
        <v>4081</v>
      </c>
      <c r="M123" s="0" t="s">
        <v>245</v>
      </c>
      <c r="N123" s="0" t="s">
        <v>4082</v>
      </c>
      <c r="O123" s="0" t="s">
        <v>4083</v>
      </c>
      <c r="P123" s="0" t="s">
        <v>3434</v>
      </c>
      <c r="Q123" s="0" t="s">
        <v>4084</v>
      </c>
      <c r="R123" s="0" t="b">
        <v>0</v>
      </c>
      <c r="S123" s="0" t="s">
        <v>4015</v>
      </c>
    </row>
    <row customHeight="1" ht="11.25">
      <c r="A124" s="0">
        <v>2655</v>
      </c>
      <c r="B124" s="0" t="s">
        <v>114</v>
      </c>
      <c r="C124" s="0">
        <v>31826293</v>
      </c>
      <c r="D124" s="0" t="s">
        <v>3424</v>
      </c>
      <c r="E124" s="0" t="s">
        <v>3425</v>
      </c>
      <c r="F124" s="0" t="s">
        <v>3426</v>
      </c>
      <c r="G124" s="0" t="s">
        <v>3427</v>
      </c>
      <c r="H124" s="0" t="s">
        <v>3428</v>
      </c>
      <c r="I124" s="0" t="s">
        <v>3429</v>
      </c>
      <c r="K124" s="0" t="s">
        <v>3430</v>
      </c>
      <c r="L124" s="0" t="s">
        <v>3431</v>
      </c>
      <c r="M124" s="0" t="s">
        <v>245</v>
      </c>
      <c r="N124" s="0" t="s">
        <v>3432</v>
      </c>
      <c r="O124" s="0" t="s">
        <v>3433</v>
      </c>
      <c r="P124" s="0" t="s">
        <v>3434</v>
      </c>
      <c r="Q124" s="0" t="s">
        <v>245</v>
      </c>
      <c r="R124" s="0" t="b">
        <v>0</v>
      </c>
      <c r="S124" s="0" t="s">
        <v>4015</v>
      </c>
    </row>
    <row customHeight="1" ht="11.25">
      <c r="A125" s="0">
        <v>2655</v>
      </c>
      <c r="B125" s="0" t="s">
        <v>114</v>
      </c>
      <c r="C125" s="0">
        <v>28262434</v>
      </c>
      <c r="D125" s="0" t="s">
        <v>4085</v>
      </c>
      <c r="E125" s="0" t="s">
        <v>4086</v>
      </c>
      <c r="F125" s="0" t="s">
        <v>4087</v>
      </c>
      <c r="G125" s="0" t="s">
        <v>4088</v>
      </c>
      <c r="H125" s="0" t="s">
        <v>4089</v>
      </c>
      <c r="I125" s="0" t="s">
        <v>4090</v>
      </c>
      <c r="J125" s="0" t="s">
        <v>3327</v>
      </c>
      <c r="K125" s="0" t="s">
        <v>4091</v>
      </c>
      <c r="L125" s="0" t="s">
        <v>4091</v>
      </c>
      <c r="M125" s="0" t="s">
        <v>4092</v>
      </c>
      <c r="N125" s="0" t="s">
        <v>4093</v>
      </c>
      <c r="O125" s="0" t="s">
        <v>4094</v>
      </c>
      <c r="P125" s="0" t="s">
        <v>179</v>
      </c>
      <c r="Q125" s="0" t="s">
        <v>245</v>
      </c>
      <c r="R125" s="0" t="b">
        <v>0</v>
      </c>
      <c r="S125" s="0" t="s">
        <v>4015</v>
      </c>
    </row>
    <row customHeight="1" ht="11.25">
      <c r="A126" s="0">
        <v>2655</v>
      </c>
      <c r="B126" s="0" t="s">
        <v>114</v>
      </c>
      <c r="C126" s="0">
        <v>31382238</v>
      </c>
      <c r="D126" s="0" t="s">
        <v>4095</v>
      </c>
      <c r="E126" s="0" t="s">
        <v>4096</v>
      </c>
      <c r="F126" s="0" t="s">
        <v>4097</v>
      </c>
      <c r="G126" s="0" t="s">
        <v>4098</v>
      </c>
      <c r="H126" s="0" t="s">
        <v>4099</v>
      </c>
      <c r="I126" s="0" t="s">
        <v>4100</v>
      </c>
      <c r="J126" s="0" t="s">
        <v>4101</v>
      </c>
      <c r="K126" s="0" t="s">
        <v>4102</v>
      </c>
      <c r="L126" s="0" t="s">
        <v>4102</v>
      </c>
      <c r="M126" s="0" t="s">
        <v>245</v>
      </c>
      <c r="N126" s="0" t="s">
        <v>245</v>
      </c>
      <c r="O126" s="0" t="s">
        <v>4103</v>
      </c>
      <c r="P126" s="0" t="s">
        <v>4104</v>
      </c>
      <c r="Q126" s="0" t="s">
        <v>245</v>
      </c>
      <c r="R126" s="0" t="b">
        <v>1</v>
      </c>
      <c r="S126" s="0" t="s">
        <v>4015</v>
      </c>
    </row>
    <row customHeight="1" ht="11.25">
      <c r="A127" s="0">
        <v>2655</v>
      </c>
      <c r="B127" s="0" t="s">
        <v>114</v>
      </c>
      <c r="C127" s="0">
        <v>31763194</v>
      </c>
      <c r="D127" s="0" t="s">
        <v>4105</v>
      </c>
      <c r="E127" s="0" t="s">
        <v>4106</v>
      </c>
      <c r="F127" s="0" t="s">
        <v>4107</v>
      </c>
      <c r="G127" s="0" t="s">
        <v>4098</v>
      </c>
      <c r="H127" s="0" t="s">
        <v>4108</v>
      </c>
      <c r="I127" s="0" t="s">
        <v>4109</v>
      </c>
      <c r="K127" s="0" t="s">
        <v>4110</v>
      </c>
      <c r="L127" s="0" t="s">
        <v>4111</v>
      </c>
      <c r="M127" s="0" t="s">
        <v>245</v>
      </c>
      <c r="N127" s="0" t="s">
        <v>4112</v>
      </c>
      <c r="O127" s="0" t="s">
        <v>4113</v>
      </c>
      <c r="P127" s="0" t="s">
        <v>4114</v>
      </c>
      <c r="Q127" s="0" t="s">
        <v>4115</v>
      </c>
      <c r="R127" s="0" t="b">
        <v>1</v>
      </c>
      <c r="S127" s="0" t="s">
        <v>4015</v>
      </c>
    </row>
    <row customHeight="1" ht="11.25">
      <c r="A128" s="0">
        <v>2655</v>
      </c>
      <c r="B128" s="0" t="s">
        <v>114</v>
      </c>
      <c r="C128" s="0">
        <v>26322867</v>
      </c>
      <c r="D128" s="0" t="s">
        <v>3435</v>
      </c>
      <c r="E128" s="0" t="s">
        <v>3436</v>
      </c>
      <c r="F128" s="0" t="s">
        <v>3437</v>
      </c>
      <c r="G128" s="0" t="s">
        <v>3372</v>
      </c>
      <c r="H128" s="0" t="s">
        <v>3438</v>
      </c>
      <c r="I128" s="0" t="s">
        <v>3439</v>
      </c>
      <c r="J128" s="0" t="s">
        <v>3327</v>
      </c>
      <c r="K128" s="0" t="s">
        <v>3440</v>
      </c>
      <c r="L128" s="0" t="s">
        <v>3440</v>
      </c>
      <c r="M128" s="0" t="s">
        <v>3441</v>
      </c>
      <c r="N128" s="0" t="s">
        <v>3442</v>
      </c>
      <c r="O128" s="0" t="s">
        <v>3443</v>
      </c>
      <c r="P128" s="0" t="s">
        <v>179</v>
      </c>
      <c r="Q128" s="0" t="s">
        <v>3444</v>
      </c>
      <c r="R128" s="0" t="b">
        <v>0</v>
      </c>
      <c r="S128" s="0" t="s">
        <v>4015</v>
      </c>
    </row>
    <row customHeight="1" ht="11.25">
      <c r="A129" s="0">
        <v>2655</v>
      </c>
      <c r="B129" s="0" t="s">
        <v>114</v>
      </c>
      <c r="C129" s="0">
        <v>26824396</v>
      </c>
      <c r="D129" s="0" t="s">
        <v>3454</v>
      </c>
      <c r="E129" s="0" t="s">
        <v>3455</v>
      </c>
      <c r="F129" s="0" t="s">
        <v>3416</v>
      </c>
      <c r="G129" s="0" t="s">
        <v>3456</v>
      </c>
      <c r="H129" s="0" t="s">
        <v>3418</v>
      </c>
      <c r="I129" s="0" t="s">
        <v>245</v>
      </c>
      <c r="J129" s="0" t="s">
        <v>3409</v>
      </c>
      <c r="K129" s="0" t="s">
        <v>3457</v>
      </c>
      <c r="L129" s="0" t="s">
        <v>3457</v>
      </c>
      <c r="M129" s="0" t="s">
        <v>3458</v>
      </c>
      <c r="N129" s="0" t="s">
        <v>245</v>
      </c>
      <c r="O129" s="0" t="s">
        <v>3459</v>
      </c>
      <c r="P129" s="0" t="s">
        <v>3453</v>
      </c>
      <c r="Q129" s="0" t="s">
        <v>245</v>
      </c>
      <c r="R129" s="0" t="b">
        <v>0</v>
      </c>
      <c r="S129" s="0" t="s">
        <v>4015</v>
      </c>
    </row>
    <row customHeight="1" ht="11.25">
      <c r="A130" s="0">
        <v>2655</v>
      </c>
      <c r="B130" s="0" t="s">
        <v>114</v>
      </c>
      <c r="C130" s="0">
        <v>30808700</v>
      </c>
      <c r="D130" s="0" t="s">
        <v>3483</v>
      </c>
      <c r="E130" s="0" t="s">
        <v>3484</v>
      </c>
      <c r="F130" s="0" t="s">
        <v>3485</v>
      </c>
      <c r="G130" s="0" t="s">
        <v>3417</v>
      </c>
      <c r="H130" s="0" t="s">
        <v>3486</v>
      </c>
      <c r="I130" s="0" t="s">
        <v>3487</v>
      </c>
      <c r="J130" s="0" t="s">
        <v>3478</v>
      </c>
      <c r="K130" s="0" t="s">
        <v>3488</v>
      </c>
      <c r="L130" s="0" t="s">
        <v>3489</v>
      </c>
      <c r="M130" s="0" t="s">
        <v>3490</v>
      </c>
      <c r="N130" s="0" t="s">
        <v>3491</v>
      </c>
      <c r="O130" s="0" t="s">
        <v>3492</v>
      </c>
      <c r="P130" s="0" t="s">
        <v>3434</v>
      </c>
      <c r="Q130" s="0" t="s">
        <v>245</v>
      </c>
      <c r="R130" s="0" t="b">
        <v>1</v>
      </c>
      <c r="S130" s="0" t="s">
        <v>4015</v>
      </c>
    </row>
    <row customHeight="1" ht="11.25">
      <c r="A131" s="0">
        <v>2655</v>
      </c>
      <c r="B131" s="0" t="s">
        <v>114</v>
      </c>
      <c r="C131" s="0">
        <v>31319221</v>
      </c>
      <c r="D131" s="0" t="s">
        <v>3493</v>
      </c>
      <c r="E131" s="0" t="s">
        <v>3494</v>
      </c>
      <c r="F131" s="0" t="s">
        <v>3495</v>
      </c>
      <c r="G131" s="0" t="s">
        <v>3475</v>
      </c>
      <c r="H131" s="0" t="s">
        <v>3496</v>
      </c>
      <c r="I131" s="0" t="s">
        <v>3497</v>
      </c>
      <c r="J131" s="0" t="s">
        <v>3466</v>
      </c>
      <c r="K131" s="0" t="s">
        <v>3498</v>
      </c>
      <c r="L131" s="0" t="s">
        <v>3499</v>
      </c>
      <c r="M131" s="0" t="s">
        <v>3500</v>
      </c>
      <c r="N131" s="0" t="s">
        <v>3501</v>
      </c>
      <c r="O131" s="0" t="s">
        <v>3502</v>
      </c>
      <c r="P131" s="0" t="s">
        <v>3471</v>
      </c>
      <c r="Q131" s="0" t="s">
        <v>245</v>
      </c>
      <c r="R131" s="0" t="b">
        <v>0</v>
      </c>
      <c r="S131" s="0" t="s">
        <v>4015</v>
      </c>
    </row>
    <row customHeight="1" ht="11.25">
      <c r="A132" s="0">
        <v>2655</v>
      </c>
      <c r="B132" s="0" t="s">
        <v>114</v>
      </c>
      <c r="C132" s="0">
        <v>31343443</v>
      </c>
      <c r="D132" s="0" t="s">
        <v>3514</v>
      </c>
      <c r="E132" s="0" t="s">
        <v>3515</v>
      </c>
      <c r="F132" s="0" t="s">
        <v>3516</v>
      </c>
      <c r="G132" s="0" t="s">
        <v>3417</v>
      </c>
      <c r="H132" s="0" t="s">
        <v>3517</v>
      </c>
      <c r="I132" s="0" t="s">
        <v>3518</v>
      </c>
      <c r="J132" s="0" t="s">
        <v>3466</v>
      </c>
      <c r="K132" s="0" t="s">
        <v>3519</v>
      </c>
      <c r="L132" s="0" t="s">
        <v>3519</v>
      </c>
      <c r="N132" s="0" t="s">
        <v>3520</v>
      </c>
      <c r="O132" s="0" t="s">
        <v>3521</v>
      </c>
      <c r="P132" s="0" t="s">
        <v>3434</v>
      </c>
      <c r="R132" s="0" t="b">
        <v>0</v>
      </c>
      <c r="S132" s="0" t="s">
        <v>4015</v>
      </c>
    </row>
    <row customHeight="1" ht="11.25">
      <c r="A133" s="0">
        <v>2655</v>
      </c>
      <c r="B133" s="0" t="s">
        <v>114</v>
      </c>
      <c r="C133" s="0">
        <v>31367841</v>
      </c>
      <c r="D133" s="0" t="s">
        <v>3522</v>
      </c>
      <c r="E133" s="0" t="s">
        <v>3523</v>
      </c>
      <c r="F133" s="0" t="s">
        <v>3524</v>
      </c>
      <c r="G133" s="0" t="s">
        <v>3525</v>
      </c>
      <c r="H133" s="0" t="s">
        <v>3526</v>
      </c>
      <c r="I133" s="0" t="s">
        <v>3527</v>
      </c>
      <c r="J133" s="0" t="s">
        <v>3478</v>
      </c>
      <c r="K133" s="0" t="s">
        <v>3528</v>
      </c>
      <c r="L133" s="0" t="s">
        <v>3528</v>
      </c>
      <c r="M133" s="0" t="s">
        <v>245</v>
      </c>
      <c r="N133" s="0" t="s">
        <v>3529</v>
      </c>
      <c r="O133" s="0" t="s">
        <v>3530</v>
      </c>
      <c r="P133" s="0" t="s">
        <v>3471</v>
      </c>
      <c r="Q133" s="0" t="s">
        <v>245</v>
      </c>
      <c r="R133" s="0" t="b">
        <v>0</v>
      </c>
      <c r="S133" s="0" t="s">
        <v>4015</v>
      </c>
    </row>
    <row customHeight="1" ht="11.25">
      <c r="A134" s="0">
        <v>2655</v>
      </c>
      <c r="B134" s="0" t="s">
        <v>114</v>
      </c>
      <c r="C134" s="0">
        <v>31087651</v>
      </c>
      <c r="D134" s="0" t="s">
        <v>3531</v>
      </c>
      <c r="E134" s="0" t="s">
        <v>3532</v>
      </c>
      <c r="F134" s="0" t="s">
        <v>3533</v>
      </c>
      <c r="G134" s="0" t="s">
        <v>3534</v>
      </c>
      <c r="H134" s="0" t="s">
        <v>3535</v>
      </c>
      <c r="I134" s="0" t="s">
        <v>3536</v>
      </c>
      <c r="J134" s="0" t="s">
        <v>3466</v>
      </c>
      <c r="K134" s="0" t="s">
        <v>3537</v>
      </c>
      <c r="L134" s="0" t="s">
        <v>3537</v>
      </c>
      <c r="M134" s="0" t="s">
        <v>3538</v>
      </c>
      <c r="N134" s="0" t="s">
        <v>3539</v>
      </c>
      <c r="O134" s="0" t="s">
        <v>3540</v>
      </c>
      <c r="R134" s="0" t="b">
        <v>0</v>
      </c>
      <c r="S134" s="0" t="s">
        <v>4015</v>
      </c>
    </row>
    <row customHeight="1" ht="11.25">
      <c r="A135" s="0">
        <v>2655</v>
      </c>
      <c r="B135" s="0" t="s">
        <v>114</v>
      </c>
      <c r="C135" s="0">
        <v>31367862</v>
      </c>
      <c r="D135" s="0" t="s">
        <v>3541</v>
      </c>
      <c r="E135" s="0" t="s">
        <v>3542</v>
      </c>
      <c r="F135" s="0" t="s">
        <v>3543</v>
      </c>
      <c r="G135" s="0" t="s">
        <v>3525</v>
      </c>
      <c r="H135" s="0" t="s">
        <v>3544</v>
      </c>
      <c r="I135" s="0" t="s">
        <v>3545</v>
      </c>
      <c r="J135" s="0" t="s">
        <v>3466</v>
      </c>
      <c r="K135" s="0" t="s">
        <v>3546</v>
      </c>
      <c r="L135" s="0" t="s">
        <v>3546</v>
      </c>
      <c r="M135" s="0" t="s">
        <v>245</v>
      </c>
      <c r="N135" s="0" t="s">
        <v>3547</v>
      </c>
      <c r="O135" s="0" t="s">
        <v>3548</v>
      </c>
      <c r="P135" s="0" t="s">
        <v>3471</v>
      </c>
      <c r="Q135" s="0" t="s">
        <v>245</v>
      </c>
      <c r="R135" s="0" t="b">
        <v>0</v>
      </c>
      <c r="S135" s="0" t="s">
        <v>4015</v>
      </c>
    </row>
    <row customHeight="1" ht="11.25">
      <c r="A136" s="0">
        <v>2655</v>
      </c>
      <c r="B136" s="0" t="s">
        <v>114</v>
      </c>
      <c r="C136" s="0">
        <v>31085797</v>
      </c>
      <c r="D136" s="0" t="s">
        <v>4116</v>
      </c>
      <c r="E136" s="0" t="s">
        <v>4117</v>
      </c>
      <c r="F136" s="0" t="s">
        <v>4118</v>
      </c>
      <c r="G136" s="0" t="s">
        <v>3352</v>
      </c>
      <c r="H136" s="0" t="s">
        <v>4119</v>
      </c>
      <c r="I136" s="0" t="s">
        <v>4120</v>
      </c>
      <c r="J136" s="0" t="s">
        <v>3478</v>
      </c>
      <c r="K136" s="0" t="s">
        <v>4121</v>
      </c>
      <c r="L136" s="0" t="s">
        <v>4122</v>
      </c>
      <c r="M136" s="0" t="s">
        <v>4123</v>
      </c>
      <c r="N136" s="0" t="s">
        <v>4124</v>
      </c>
      <c r="O136" s="0" t="s">
        <v>4125</v>
      </c>
      <c r="P136" s="0" t="s">
        <v>3471</v>
      </c>
      <c r="Q136" s="0" t="s">
        <v>245</v>
      </c>
      <c r="R136" s="0" t="b">
        <v>1</v>
      </c>
      <c r="S136" s="0" t="s">
        <v>4015</v>
      </c>
    </row>
    <row customHeight="1" ht="11.25">
      <c r="A137" s="0">
        <v>2655</v>
      </c>
      <c r="B137" s="0" t="s">
        <v>114</v>
      </c>
      <c r="C137" s="0">
        <v>26486390</v>
      </c>
      <c r="D137" s="0" t="s">
        <v>3549</v>
      </c>
      <c r="E137" s="0" t="s">
        <v>3550</v>
      </c>
      <c r="F137" s="0" t="s">
        <v>3551</v>
      </c>
      <c r="G137" s="0" t="s">
        <v>3552</v>
      </c>
      <c r="H137" s="0" t="s">
        <v>3553</v>
      </c>
      <c r="I137" s="0" t="s">
        <v>3554</v>
      </c>
      <c r="J137" s="0" t="s">
        <v>3478</v>
      </c>
      <c r="K137" s="0" t="s">
        <v>3555</v>
      </c>
      <c r="L137" s="0" t="s">
        <v>3555</v>
      </c>
      <c r="M137" s="0" t="s">
        <v>3556</v>
      </c>
      <c r="N137" s="0" t="s">
        <v>3557</v>
      </c>
      <c r="O137" s="0" t="s">
        <v>3558</v>
      </c>
      <c r="P137" s="0" t="s">
        <v>3559</v>
      </c>
      <c r="Q137" s="0" t="s">
        <v>245</v>
      </c>
      <c r="R137" s="0" t="b">
        <v>0</v>
      </c>
      <c r="S137" s="0" t="s">
        <v>4015</v>
      </c>
    </row>
    <row customHeight="1" ht="11.25">
      <c r="A138" s="0">
        <v>2655</v>
      </c>
      <c r="B138" s="0" t="s">
        <v>114</v>
      </c>
      <c r="C138" s="0">
        <v>31187282</v>
      </c>
      <c r="D138" s="0" t="s">
        <v>4126</v>
      </c>
      <c r="E138" s="0" t="s">
        <v>4127</v>
      </c>
      <c r="F138" s="0" t="s">
        <v>4128</v>
      </c>
      <c r="G138" s="0" t="s">
        <v>3362</v>
      </c>
      <c r="H138" s="0" t="s">
        <v>4129</v>
      </c>
      <c r="I138" s="0" t="s">
        <v>4130</v>
      </c>
      <c r="J138" s="0" t="s">
        <v>3478</v>
      </c>
      <c r="K138" s="0" t="s">
        <v>4131</v>
      </c>
      <c r="L138" s="0" t="s">
        <v>4131</v>
      </c>
      <c r="M138" s="0" t="s">
        <v>245</v>
      </c>
      <c r="N138" s="0" t="s">
        <v>4132</v>
      </c>
      <c r="O138" s="0" t="s">
        <v>4133</v>
      </c>
      <c r="P138" s="0" t="s">
        <v>3471</v>
      </c>
      <c r="Q138" s="0" t="s">
        <v>245</v>
      </c>
      <c r="R138" s="0" t="b">
        <v>0</v>
      </c>
      <c r="S138" s="0" t="s">
        <v>4015</v>
      </c>
    </row>
    <row customHeight="1" ht="11.25">
      <c r="A139" s="0">
        <v>2655</v>
      </c>
      <c r="B139" s="0" t="s">
        <v>114</v>
      </c>
      <c r="C139" s="0">
        <v>31284269</v>
      </c>
      <c r="D139" s="0" t="s">
        <v>3589</v>
      </c>
      <c r="E139" s="0" t="s">
        <v>3590</v>
      </c>
      <c r="F139" s="0" t="s">
        <v>3591</v>
      </c>
      <c r="G139" s="0" t="s">
        <v>3534</v>
      </c>
      <c r="H139" s="0" t="s">
        <v>3592</v>
      </c>
      <c r="I139" s="0" t="s">
        <v>3593</v>
      </c>
      <c r="J139" s="0" t="s">
        <v>3478</v>
      </c>
      <c r="K139" s="0" t="s">
        <v>3594</v>
      </c>
      <c r="L139" s="0" t="s">
        <v>3595</v>
      </c>
      <c r="M139" s="0" t="s">
        <v>3596</v>
      </c>
      <c r="N139" s="0" t="s">
        <v>3597</v>
      </c>
      <c r="O139" s="0" t="s">
        <v>3598</v>
      </c>
      <c r="P139" s="0" t="s">
        <v>245</v>
      </c>
      <c r="Q139" s="0" t="s">
        <v>245</v>
      </c>
      <c r="R139" s="0" t="b">
        <v>0</v>
      </c>
      <c r="S139" s="0" t="s">
        <v>4015</v>
      </c>
    </row>
    <row customHeight="1" ht="11.25">
      <c r="A140" s="0">
        <v>2655</v>
      </c>
      <c r="B140" s="0" t="s">
        <v>114</v>
      </c>
      <c r="C140" s="0">
        <v>31159389</v>
      </c>
      <c r="D140" s="0" t="s">
        <v>4134</v>
      </c>
      <c r="E140" s="0" t="s">
        <v>4135</v>
      </c>
      <c r="F140" s="0" t="s">
        <v>4136</v>
      </c>
      <c r="G140" s="0" t="s">
        <v>3506</v>
      </c>
      <c r="H140" s="0" t="s">
        <v>4137</v>
      </c>
      <c r="I140" s="0" t="s">
        <v>4138</v>
      </c>
      <c r="J140" s="0" t="s">
        <v>3478</v>
      </c>
      <c r="K140" s="0" t="s">
        <v>4139</v>
      </c>
      <c r="L140" s="0" t="s">
        <v>4140</v>
      </c>
      <c r="M140" s="0" t="s">
        <v>4141</v>
      </c>
      <c r="N140" s="0" t="s">
        <v>4142</v>
      </c>
      <c r="O140" s="0" t="s">
        <v>4143</v>
      </c>
      <c r="P140" s="0" t="s">
        <v>3471</v>
      </c>
      <c r="Q140" s="0" t="s">
        <v>245</v>
      </c>
      <c r="R140" s="0" t="b">
        <v>0</v>
      </c>
      <c r="S140" s="0" t="s">
        <v>4015</v>
      </c>
    </row>
    <row customHeight="1" ht="11.25">
      <c r="A141" s="0">
        <v>2655</v>
      </c>
      <c r="B141" s="0" t="s">
        <v>114</v>
      </c>
      <c r="C141" s="0">
        <v>26322895</v>
      </c>
      <c r="D141" s="0" t="s">
        <v>3619</v>
      </c>
      <c r="E141" s="0" t="s">
        <v>3620</v>
      </c>
      <c r="F141" s="0" t="s">
        <v>3621</v>
      </c>
      <c r="G141" s="0" t="s">
        <v>3339</v>
      </c>
      <c r="H141" s="0" t="s">
        <v>3622</v>
      </c>
      <c r="I141" s="0" t="s">
        <v>3623</v>
      </c>
      <c r="J141" s="0" t="s">
        <v>3409</v>
      </c>
      <c r="K141" s="0" t="s">
        <v>3624</v>
      </c>
      <c r="L141" s="0" t="s">
        <v>3624</v>
      </c>
      <c r="M141" s="0" t="s">
        <v>3625</v>
      </c>
      <c r="N141" s="0" t="s">
        <v>3626</v>
      </c>
      <c r="O141" s="0" t="s">
        <v>3627</v>
      </c>
      <c r="P141" s="0" t="s">
        <v>179</v>
      </c>
      <c r="Q141" s="0" t="s">
        <v>3628</v>
      </c>
      <c r="R141" s="0" t="b">
        <v>0</v>
      </c>
      <c r="S141" s="0" t="s">
        <v>4015</v>
      </c>
    </row>
    <row customHeight="1" ht="11.25">
      <c r="A142" s="0">
        <v>2655</v>
      </c>
      <c r="B142" s="0" t="s">
        <v>114</v>
      </c>
      <c r="C142" s="0">
        <v>26356930</v>
      </c>
      <c r="D142" s="0" t="s">
        <v>4144</v>
      </c>
      <c r="E142" s="0" t="s">
        <v>4145</v>
      </c>
      <c r="F142" s="0" t="s">
        <v>4146</v>
      </c>
      <c r="G142" s="0" t="s">
        <v>149</v>
      </c>
      <c r="H142" s="0" t="s">
        <v>4147</v>
      </c>
      <c r="I142" s="0" t="s">
        <v>4148</v>
      </c>
      <c r="J142" s="0" t="s">
        <v>156</v>
      </c>
      <c r="K142" s="0" t="s">
        <v>4149</v>
      </c>
      <c r="L142" s="0" t="s">
        <v>4149</v>
      </c>
      <c r="M142" s="0" t="s">
        <v>4150</v>
      </c>
      <c r="N142" s="0" t="s">
        <v>245</v>
      </c>
      <c r="O142" s="0" t="s">
        <v>4151</v>
      </c>
      <c r="P142" s="0" t="s">
        <v>3471</v>
      </c>
      <c r="Q142" s="0" t="s">
        <v>245</v>
      </c>
      <c r="R142" s="0" t="b">
        <v>1</v>
      </c>
      <c r="S142" s="0" t="s">
        <v>4015</v>
      </c>
    </row>
    <row customHeight="1" ht="11.25">
      <c r="A143" s="0">
        <v>2655</v>
      </c>
      <c r="B143" s="0" t="s">
        <v>114</v>
      </c>
      <c r="C143" s="0">
        <v>30843704</v>
      </c>
      <c r="D143" s="0" t="s">
        <v>4152</v>
      </c>
      <c r="E143" s="0" t="s">
        <v>4153</v>
      </c>
      <c r="F143" s="0" t="s">
        <v>4154</v>
      </c>
      <c r="G143" s="0" t="s">
        <v>3339</v>
      </c>
      <c r="H143" s="0" t="s">
        <v>4155</v>
      </c>
      <c r="I143" s="0" t="s">
        <v>4156</v>
      </c>
      <c r="J143" s="0" t="s">
        <v>156</v>
      </c>
      <c r="K143" s="0" t="s">
        <v>4157</v>
      </c>
      <c r="L143" s="0" t="s">
        <v>4158</v>
      </c>
      <c r="M143" s="0" t="s">
        <v>245</v>
      </c>
      <c r="N143" s="0" t="s">
        <v>4159</v>
      </c>
      <c r="O143" s="0" t="s">
        <v>4160</v>
      </c>
      <c r="P143" s="0" t="s">
        <v>179</v>
      </c>
      <c r="Q143" s="0" t="s">
        <v>245</v>
      </c>
      <c r="R143" s="0" t="b">
        <v>0</v>
      </c>
      <c r="S143" s="0" t="s">
        <v>4015</v>
      </c>
    </row>
    <row customHeight="1" ht="11.25">
      <c r="A144" s="0">
        <v>2655</v>
      </c>
      <c r="B144" s="0" t="s">
        <v>114</v>
      </c>
      <c r="C144" s="0">
        <v>26798812</v>
      </c>
      <c r="D144" s="0" t="s">
        <v>4161</v>
      </c>
      <c r="E144" s="0" t="s">
        <v>4162</v>
      </c>
      <c r="F144" s="0" t="s">
        <v>4163</v>
      </c>
      <c r="G144" s="0" t="s">
        <v>3352</v>
      </c>
      <c r="H144" s="0" t="s">
        <v>4164</v>
      </c>
      <c r="I144" s="0" t="s">
        <v>4165</v>
      </c>
      <c r="J144" s="0" t="s">
        <v>156</v>
      </c>
      <c r="K144" s="0" t="s">
        <v>4166</v>
      </c>
      <c r="L144" s="0" t="s">
        <v>4166</v>
      </c>
      <c r="M144" s="0" t="s">
        <v>4167</v>
      </c>
      <c r="N144" s="0" t="s">
        <v>4168</v>
      </c>
      <c r="O144" s="0" t="s">
        <v>4169</v>
      </c>
      <c r="P144" s="0" t="s">
        <v>179</v>
      </c>
      <c r="Q144" s="0" t="s">
        <v>4170</v>
      </c>
      <c r="R144" s="0" t="b">
        <v>0</v>
      </c>
      <c r="S144" s="0" t="s">
        <v>4015</v>
      </c>
    </row>
    <row customHeight="1" ht="11.25">
      <c r="A145" s="0">
        <v>2655</v>
      </c>
      <c r="B145" s="0" t="s">
        <v>114</v>
      </c>
      <c r="C145" s="0">
        <v>30398770</v>
      </c>
      <c r="D145" s="0" t="s">
        <v>4171</v>
      </c>
      <c r="E145" s="0" t="s">
        <v>4172</v>
      </c>
      <c r="F145" s="0" t="s">
        <v>4173</v>
      </c>
      <c r="G145" s="0" t="s">
        <v>3352</v>
      </c>
      <c r="H145" s="0" t="s">
        <v>4174</v>
      </c>
      <c r="I145" s="0" t="s">
        <v>4175</v>
      </c>
      <c r="J145" s="0" t="s">
        <v>156</v>
      </c>
      <c r="K145" s="0" t="s">
        <v>245</v>
      </c>
      <c r="L145" s="0" t="s">
        <v>4176</v>
      </c>
      <c r="M145" s="0" t="s">
        <v>4177</v>
      </c>
      <c r="N145" s="0" t="s">
        <v>4178</v>
      </c>
      <c r="O145" s="0" t="s">
        <v>4179</v>
      </c>
      <c r="P145" s="0" t="s">
        <v>179</v>
      </c>
      <c r="Q145" s="0" t="s">
        <v>245</v>
      </c>
      <c r="R145" s="0" t="b">
        <v>0</v>
      </c>
      <c r="S145" s="0" t="s">
        <v>4015</v>
      </c>
    </row>
    <row customHeight="1" ht="11.25">
      <c r="A146" s="0">
        <v>2655</v>
      </c>
      <c r="B146" s="0" t="s">
        <v>114</v>
      </c>
      <c r="C146" s="0">
        <v>31775146</v>
      </c>
      <c r="D146" s="0" t="s">
        <v>3636</v>
      </c>
      <c r="E146" s="0" t="s">
        <v>3637</v>
      </c>
      <c r="F146" s="0" t="s">
        <v>3638</v>
      </c>
      <c r="G146" s="0" t="s">
        <v>149</v>
      </c>
      <c r="H146" s="0" t="s">
        <v>3639</v>
      </c>
      <c r="I146" s="0" t="s">
        <v>3640</v>
      </c>
      <c r="K146" s="0" t="s">
        <v>3641</v>
      </c>
      <c r="L146" s="0" t="s">
        <v>3641</v>
      </c>
      <c r="M146" s="0" t="s">
        <v>3642</v>
      </c>
      <c r="N146" s="0" t="s">
        <v>171</v>
      </c>
      <c r="O146" s="0" t="s">
        <v>175</v>
      </c>
      <c r="P146" s="0" t="s">
        <v>3434</v>
      </c>
      <c r="Q146" s="0" t="s">
        <v>245</v>
      </c>
      <c r="R146" s="0" t="b">
        <v>1</v>
      </c>
      <c r="S146" s="0" t="s">
        <v>4015</v>
      </c>
    </row>
    <row customHeight="1" ht="11.25">
      <c r="A147" s="0">
        <v>2655</v>
      </c>
      <c r="B147" s="0" t="s">
        <v>114</v>
      </c>
      <c r="C147" s="0">
        <v>28873685</v>
      </c>
      <c r="D147" s="0" t="s">
        <v>133</v>
      </c>
      <c r="E147" s="0" t="s">
        <v>136</v>
      </c>
      <c r="F147" s="0" t="s">
        <v>146</v>
      </c>
      <c r="G147" s="0" t="s">
        <v>149</v>
      </c>
      <c r="H147" s="0" t="s">
        <v>143</v>
      </c>
      <c r="I147" s="0" t="s">
        <v>152</v>
      </c>
      <c r="J147" s="0" t="s">
        <v>156</v>
      </c>
      <c r="K147" s="0" t="s">
        <v>160</v>
      </c>
      <c r="L147" s="0" t="s">
        <v>160</v>
      </c>
      <c r="M147" s="0" t="s">
        <v>4180</v>
      </c>
      <c r="N147" s="0" t="s">
        <v>171</v>
      </c>
      <c r="O147" s="0" t="s">
        <v>175</v>
      </c>
      <c r="P147" s="0" t="s">
        <v>179</v>
      </c>
      <c r="Q147" s="0" t="s">
        <v>183</v>
      </c>
      <c r="R147" s="0" t="b">
        <v>1</v>
      </c>
      <c r="S147" s="0" t="s">
        <v>4015</v>
      </c>
    </row>
    <row customHeight="1" ht="11.25">
      <c r="A148" s="0">
        <v>2655</v>
      </c>
      <c r="B148" s="0" t="s">
        <v>114</v>
      </c>
      <c r="C148" s="0">
        <v>28869965</v>
      </c>
      <c r="D148" s="0" t="s">
        <v>3643</v>
      </c>
      <c r="E148" s="0" t="s">
        <v>3644</v>
      </c>
      <c r="F148" s="0" t="s">
        <v>3645</v>
      </c>
      <c r="G148" s="0" t="s">
        <v>3463</v>
      </c>
      <c r="H148" s="0" t="s">
        <v>3646</v>
      </c>
      <c r="I148" s="0" t="s">
        <v>245</v>
      </c>
      <c r="J148" s="0" t="s">
        <v>156</v>
      </c>
      <c r="K148" s="0" t="s">
        <v>3647</v>
      </c>
      <c r="L148" s="0" t="s">
        <v>3647</v>
      </c>
      <c r="M148" s="0" t="s">
        <v>3648</v>
      </c>
      <c r="N148" s="0" t="s">
        <v>3649</v>
      </c>
      <c r="O148" s="0" t="s">
        <v>3650</v>
      </c>
      <c r="P148" s="0" t="s">
        <v>179</v>
      </c>
      <c r="Q148" s="0" t="s">
        <v>3651</v>
      </c>
      <c r="R148" s="0" t="b">
        <v>0</v>
      </c>
      <c r="S148" s="0" t="s">
        <v>4015</v>
      </c>
    </row>
    <row customHeight="1" ht="11.25">
      <c r="A149" s="0">
        <v>2655</v>
      </c>
      <c r="B149" s="0" t="s">
        <v>114</v>
      </c>
      <c r="C149" s="0">
        <v>31245446</v>
      </c>
      <c r="D149" s="0" t="s">
        <v>4181</v>
      </c>
      <c r="E149" s="0" t="s">
        <v>4182</v>
      </c>
      <c r="F149" s="0" t="s">
        <v>4183</v>
      </c>
      <c r="G149" s="0" t="s">
        <v>3664</v>
      </c>
      <c r="H149" s="0" t="s">
        <v>4184</v>
      </c>
      <c r="I149" s="0" t="s">
        <v>4185</v>
      </c>
      <c r="J149" s="0" t="s">
        <v>156</v>
      </c>
      <c r="K149" s="0" t="s">
        <v>245</v>
      </c>
      <c r="L149" s="0" t="s">
        <v>4186</v>
      </c>
      <c r="M149" s="0" t="s">
        <v>245</v>
      </c>
      <c r="N149" s="0" t="s">
        <v>4187</v>
      </c>
      <c r="O149" s="0" t="s">
        <v>4188</v>
      </c>
      <c r="P149" s="0" t="s">
        <v>3471</v>
      </c>
      <c r="Q149" s="0" t="s">
        <v>245</v>
      </c>
      <c r="R149" s="0" t="b">
        <v>0</v>
      </c>
      <c r="S149" s="0" t="s">
        <v>4015</v>
      </c>
    </row>
    <row customHeight="1" ht="11.25">
      <c r="A150" s="0">
        <v>2655</v>
      </c>
      <c r="B150" s="0" t="s">
        <v>114</v>
      </c>
      <c r="C150" s="0">
        <v>26476793</v>
      </c>
      <c r="D150" s="0" t="s">
        <v>4189</v>
      </c>
      <c r="E150" s="0" t="s">
        <v>4190</v>
      </c>
      <c r="F150" s="0" t="s">
        <v>4191</v>
      </c>
      <c r="G150" s="0" t="s">
        <v>4088</v>
      </c>
      <c r="H150" s="0" t="s">
        <v>4192</v>
      </c>
      <c r="I150" s="0" t="s">
        <v>4193</v>
      </c>
      <c r="J150" s="0" t="s">
        <v>156</v>
      </c>
      <c r="K150" s="0" t="s">
        <v>4194</v>
      </c>
      <c r="L150" s="0" t="s">
        <v>4194</v>
      </c>
      <c r="M150" s="0" t="s">
        <v>4195</v>
      </c>
      <c r="N150" s="0" t="s">
        <v>4196</v>
      </c>
      <c r="O150" s="0" t="s">
        <v>4197</v>
      </c>
      <c r="P150" s="0" t="s">
        <v>3471</v>
      </c>
      <c r="Q150" s="0" t="s">
        <v>190</v>
      </c>
      <c r="R150" s="0" t="b">
        <v>1</v>
      </c>
      <c r="S150" s="0" t="s">
        <v>4015</v>
      </c>
    </row>
    <row customHeight="1" ht="11.25">
      <c r="A151" s="0">
        <v>2655</v>
      </c>
      <c r="B151" s="0" t="s">
        <v>114</v>
      </c>
      <c r="C151" s="0">
        <v>28509720</v>
      </c>
      <c r="D151" s="0" t="s">
        <v>4198</v>
      </c>
      <c r="E151" s="0" t="s">
        <v>4199</v>
      </c>
      <c r="F151" s="0" t="s">
        <v>4200</v>
      </c>
      <c r="G151" s="0" t="s">
        <v>4201</v>
      </c>
      <c r="H151" s="0" t="s">
        <v>4202</v>
      </c>
      <c r="I151" s="0" t="s">
        <v>4203</v>
      </c>
      <c r="J151" s="0" t="s">
        <v>156</v>
      </c>
      <c r="K151" s="0" t="s">
        <v>4204</v>
      </c>
      <c r="L151" s="0" t="s">
        <v>4205</v>
      </c>
      <c r="M151" s="0" t="s">
        <v>4206</v>
      </c>
      <c r="N151" s="0" t="s">
        <v>245</v>
      </c>
      <c r="O151" s="0" t="s">
        <v>4207</v>
      </c>
      <c r="P151" s="0" t="s">
        <v>179</v>
      </c>
      <c r="Q151" s="0" t="s">
        <v>245</v>
      </c>
      <c r="R151" s="0" t="b">
        <v>0</v>
      </c>
      <c r="S151" s="0" t="s">
        <v>4015</v>
      </c>
    </row>
    <row customHeight="1" ht="11.25">
      <c r="A152" s="0">
        <v>2655</v>
      </c>
      <c r="B152" s="0" t="s">
        <v>114</v>
      </c>
      <c r="C152" s="0">
        <v>30950350</v>
      </c>
      <c r="D152" s="0" t="s">
        <v>4208</v>
      </c>
      <c r="E152" s="0" t="s">
        <v>4209</v>
      </c>
      <c r="F152" s="0" t="s">
        <v>4210</v>
      </c>
      <c r="G152" s="0" t="s">
        <v>3582</v>
      </c>
      <c r="H152" s="0" t="s">
        <v>4211</v>
      </c>
      <c r="I152" s="0" t="s">
        <v>4212</v>
      </c>
      <c r="J152" s="0" t="s">
        <v>156</v>
      </c>
      <c r="K152" s="0" t="s">
        <v>4213</v>
      </c>
      <c r="L152" s="0" t="s">
        <v>4213</v>
      </c>
      <c r="M152" s="0" t="s">
        <v>4214</v>
      </c>
      <c r="N152" s="0" t="s">
        <v>4215</v>
      </c>
      <c r="O152" s="0" t="s">
        <v>4216</v>
      </c>
      <c r="P152" s="0" t="s">
        <v>3471</v>
      </c>
      <c r="Q152" s="0" t="s">
        <v>190</v>
      </c>
      <c r="R152" s="0" t="b">
        <v>0</v>
      </c>
      <c r="S152" s="0" t="s">
        <v>4015</v>
      </c>
    </row>
    <row customHeight="1" ht="11.25">
      <c r="A153" s="0">
        <v>2655</v>
      </c>
      <c r="B153" s="0" t="s">
        <v>114</v>
      </c>
      <c r="C153" s="0">
        <v>31527562</v>
      </c>
      <c r="D153" s="0" t="s">
        <v>4217</v>
      </c>
      <c r="E153" s="0" t="s">
        <v>4218</v>
      </c>
      <c r="F153" s="0" t="s">
        <v>4219</v>
      </c>
      <c r="G153" s="0" t="s">
        <v>4220</v>
      </c>
      <c r="H153" s="0" t="s">
        <v>4221</v>
      </c>
      <c r="I153" s="0" t="s">
        <v>4222</v>
      </c>
      <c r="K153" s="0" t="s">
        <v>4223</v>
      </c>
      <c r="L153" s="0" t="s">
        <v>4224</v>
      </c>
      <c r="M153" s="0" t="s">
        <v>245</v>
      </c>
      <c r="N153" s="0" t="s">
        <v>245</v>
      </c>
      <c r="O153" s="0" t="s">
        <v>4225</v>
      </c>
      <c r="P153" s="0" t="s">
        <v>245</v>
      </c>
      <c r="Q153" s="0" t="s">
        <v>245</v>
      </c>
      <c r="R153" s="0" t="b">
        <v>0</v>
      </c>
      <c r="S153" s="0" t="s">
        <v>4015</v>
      </c>
    </row>
    <row customHeight="1" ht="11.25">
      <c r="A154" s="0">
        <v>2655</v>
      </c>
      <c r="B154" s="0" t="s">
        <v>114</v>
      </c>
      <c r="C154" s="0">
        <v>31874557</v>
      </c>
      <c r="D154" s="0" t="s">
        <v>4226</v>
      </c>
      <c r="E154" s="0" t="s">
        <v>4227</v>
      </c>
      <c r="F154" s="0" t="s">
        <v>4228</v>
      </c>
      <c r="G154" s="0" t="s">
        <v>3582</v>
      </c>
      <c r="H154" s="0" t="s">
        <v>4229</v>
      </c>
      <c r="I154" s="0" t="s">
        <v>4230</v>
      </c>
      <c r="K154" s="0" t="s">
        <v>4231</v>
      </c>
      <c r="L154" s="0" t="s">
        <v>4231</v>
      </c>
      <c r="M154" s="0" t="s">
        <v>4232</v>
      </c>
      <c r="N154" s="0" t="s">
        <v>4233</v>
      </c>
      <c r="O154" s="0" t="s">
        <v>4234</v>
      </c>
      <c r="P154" s="0" t="s">
        <v>179</v>
      </c>
      <c r="Q154" s="0" t="s">
        <v>245</v>
      </c>
      <c r="R154" s="0" t="b">
        <v>1</v>
      </c>
      <c r="S154" s="0" t="s">
        <v>4015</v>
      </c>
    </row>
    <row customHeight="1" ht="11.25">
      <c r="A155" s="0">
        <v>2655</v>
      </c>
      <c r="B155" s="0" t="s">
        <v>114</v>
      </c>
      <c r="C155" s="0">
        <v>31656254</v>
      </c>
      <c r="D155" s="0" t="s">
        <v>3681</v>
      </c>
      <c r="E155" s="0" t="s">
        <v>3682</v>
      </c>
      <c r="F155" s="0" t="s">
        <v>3683</v>
      </c>
      <c r="G155" s="0" t="s">
        <v>3684</v>
      </c>
      <c r="H155" s="0" t="s">
        <v>3685</v>
      </c>
      <c r="I155" s="0" t="s">
        <v>3686</v>
      </c>
      <c r="K155" s="0" t="s">
        <v>3687</v>
      </c>
      <c r="L155" s="0" t="s">
        <v>3688</v>
      </c>
      <c r="M155" s="0" t="s">
        <v>3689</v>
      </c>
      <c r="N155" s="0" t="s">
        <v>3690</v>
      </c>
      <c r="O155" s="0" t="s">
        <v>3691</v>
      </c>
      <c r="P155" s="0" t="s">
        <v>3471</v>
      </c>
      <c r="Q155" s="0" t="s">
        <v>3692</v>
      </c>
      <c r="R155" s="0" t="b">
        <v>0</v>
      </c>
      <c r="S155" s="0" t="s">
        <v>4015</v>
      </c>
    </row>
    <row customHeight="1" ht="11.25">
      <c r="A156" s="0">
        <v>2655</v>
      </c>
      <c r="B156" s="0" t="s">
        <v>114</v>
      </c>
      <c r="C156" s="0">
        <v>26356927</v>
      </c>
      <c r="D156" s="0" t="s">
        <v>4235</v>
      </c>
      <c r="E156" s="0" t="s">
        <v>4236</v>
      </c>
      <c r="F156" s="0" t="s">
        <v>4237</v>
      </c>
      <c r="G156" s="0" t="s">
        <v>149</v>
      </c>
      <c r="H156" s="0" t="s">
        <v>4238</v>
      </c>
      <c r="I156" s="0" t="s">
        <v>4239</v>
      </c>
      <c r="J156" s="0" t="s">
        <v>156</v>
      </c>
      <c r="K156" s="0" t="s">
        <v>4240</v>
      </c>
      <c r="L156" s="0" t="s">
        <v>4240</v>
      </c>
      <c r="M156" s="0" t="s">
        <v>4241</v>
      </c>
      <c r="N156" s="0" t="s">
        <v>4242</v>
      </c>
      <c r="O156" s="0" t="s">
        <v>4243</v>
      </c>
      <c r="P156" s="0" t="s">
        <v>3434</v>
      </c>
      <c r="Q156" s="0" t="s">
        <v>245</v>
      </c>
      <c r="R156" s="0" t="b">
        <v>1</v>
      </c>
      <c r="S156" s="0" t="s">
        <v>4015</v>
      </c>
    </row>
    <row customHeight="1" ht="11.25">
      <c r="A157" s="0">
        <v>2655</v>
      </c>
      <c r="B157" s="0" t="s">
        <v>114</v>
      </c>
      <c r="C157" s="0">
        <v>28878273</v>
      </c>
      <c r="D157" s="0" t="s">
        <v>4244</v>
      </c>
      <c r="E157" s="0" t="s">
        <v>4245</v>
      </c>
      <c r="F157" s="0" t="s">
        <v>4246</v>
      </c>
      <c r="G157" s="0" t="s">
        <v>3339</v>
      </c>
      <c r="H157" s="0" t="s">
        <v>4247</v>
      </c>
      <c r="I157" s="0" t="s">
        <v>245</v>
      </c>
      <c r="J157" s="0" t="s">
        <v>156</v>
      </c>
      <c r="K157" s="0" t="s">
        <v>4248</v>
      </c>
      <c r="L157" s="0" t="s">
        <v>4249</v>
      </c>
      <c r="M157" s="0" t="s">
        <v>4250</v>
      </c>
      <c r="N157" s="0" t="s">
        <v>4251</v>
      </c>
      <c r="O157" s="0" t="s">
        <v>4252</v>
      </c>
      <c r="P157" s="0" t="s">
        <v>179</v>
      </c>
      <c r="Q157" s="0" t="s">
        <v>4253</v>
      </c>
      <c r="R157" s="0" t="b">
        <v>0</v>
      </c>
      <c r="S157" s="0" t="s">
        <v>4015</v>
      </c>
    </row>
    <row customHeight="1" ht="11.25">
      <c r="A158" s="0">
        <v>2655</v>
      </c>
      <c r="B158" s="0" t="s">
        <v>114</v>
      </c>
      <c r="C158" s="0">
        <v>26562805</v>
      </c>
      <c r="D158" s="0" t="s">
        <v>4254</v>
      </c>
      <c r="E158" s="0" t="s">
        <v>4255</v>
      </c>
      <c r="F158" s="0" t="s">
        <v>4256</v>
      </c>
      <c r="G158" s="0" t="s">
        <v>3552</v>
      </c>
      <c r="H158" s="0" t="s">
        <v>4257</v>
      </c>
      <c r="I158" s="0" t="s">
        <v>4258</v>
      </c>
      <c r="J158" s="0" t="s">
        <v>156</v>
      </c>
      <c r="K158" s="0" t="s">
        <v>4259</v>
      </c>
      <c r="L158" s="0" t="s">
        <v>4259</v>
      </c>
      <c r="M158" s="0" t="s">
        <v>4260</v>
      </c>
      <c r="N158" s="0" t="s">
        <v>4261</v>
      </c>
      <c r="O158" s="0" t="s">
        <v>4262</v>
      </c>
      <c r="P158" s="0" t="s">
        <v>3471</v>
      </c>
      <c r="Q158" s="0" t="s">
        <v>4263</v>
      </c>
      <c r="R158" s="0" t="b">
        <v>0</v>
      </c>
      <c r="S158" s="0" t="s">
        <v>4015</v>
      </c>
    </row>
    <row customHeight="1" ht="11.25">
      <c r="A159" s="0">
        <v>2655</v>
      </c>
      <c r="B159" s="0" t="s">
        <v>114</v>
      </c>
      <c r="C159" s="0">
        <v>31684090</v>
      </c>
      <c r="D159" s="0" t="s">
        <v>4264</v>
      </c>
      <c r="E159" s="0" t="s">
        <v>4265</v>
      </c>
      <c r="F159" s="0" t="s">
        <v>4266</v>
      </c>
      <c r="G159" s="0" t="s">
        <v>3339</v>
      </c>
      <c r="H159" s="0" t="s">
        <v>4267</v>
      </c>
      <c r="I159" s="0" t="s">
        <v>4268</v>
      </c>
      <c r="K159" s="0" t="s">
        <v>4269</v>
      </c>
      <c r="L159" s="0" t="s">
        <v>4270</v>
      </c>
      <c r="M159" s="0" t="s">
        <v>245</v>
      </c>
      <c r="N159" s="0" t="s">
        <v>245</v>
      </c>
      <c r="O159" s="0" t="s">
        <v>4271</v>
      </c>
      <c r="P159" s="0" t="s">
        <v>3347</v>
      </c>
      <c r="Q159" s="0" t="s">
        <v>4272</v>
      </c>
      <c r="R159" s="0" t="b">
        <v>0</v>
      </c>
      <c r="S159" s="0" t="s">
        <v>4015</v>
      </c>
    </row>
    <row customHeight="1" ht="11.25">
      <c r="A160" s="0">
        <v>2655</v>
      </c>
      <c r="B160" s="0" t="s">
        <v>114</v>
      </c>
      <c r="C160" s="0">
        <v>27997588</v>
      </c>
      <c r="D160" s="0" t="s">
        <v>4273</v>
      </c>
      <c r="E160" s="0" t="s">
        <v>4274</v>
      </c>
      <c r="F160" s="0" t="s">
        <v>4275</v>
      </c>
      <c r="G160" s="0" t="s">
        <v>3463</v>
      </c>
      <c r="H160" s="0" t="s">
        <v>4276</v>
      </c>
      <c r="I160" s="0" t="s">
        <v>4277</v>
      </c>
      <c r="J160" s="0" t="s">
        <v>156</v>
      </c>
      <c r="K160" s="0" t="s">
        <v>4278</v>
      </c>
      <c r="L160" s="0" t="s">
        <v>4278</v>
      </c>
      <c r="M160" s="0" t="s">
        <v>4279</v>
      </c>
      <c r="N160" s="0" t="s">
        <v>4280</v>
      </c>
      <c r="O160" s="0" t="s">
        <v>4281</v>
      </c>
      <c r="P160" s="0" t="s">
        <v>4282</v>
      </c>
      <c r="Q160" s="0" t="s">
        <v>245</v>
      </c>
      <c r="R160" s="0" t="b">
        <v>0</v>
      </c>
      <c r="S160" s="0" t="s">
        <v>4015</v>
      </c>
    </row>
    <row customHeight="1" ht="11.25">
      <c r="A161" s="0">
        <v>2655</v>
      </c>
      <c r="B161" s="0" t="s">
        <v>114</v>
      </c>
      <c r="C161" s="0">
        <v>28882034</v>
      </c>
      <c r="D161" s="0" t="s">
        <v>4283</v>
      </c>
      <c r="E161" s="0" t="s">
        <v>4284</v>
      </c>
      <c r="F161" s="0" t="s">
        <v>4285</v>
      </c>
      <c r="G161" s="0" t="s">
        <v>3339</v>
      </c>
      <c r="H161" s="0" t="s">
        <v>4286</v>
      </c>
      <c r="I161" s="0" t="s">
        <v>245</v>
      </c>
      <c r="J161" s="0" t="s">
        <v>156</v>
      </c>
      <c r="K161" s="0" t="s">
        <v>4287</v>
      </c>
      <c r="L161" s="0" t="s">
        <v>4287</v>
      </c>
      <c r="M161" s="0" t="s">
        <v>245</v>
      </c>
      <c r="N161" s="0" t="s">
        <v>245</v>
      </c>
      <c r="O161" s="0" t="s">
        <v>4288</v>
      </c>
      <c r="P161" s="0" t="s">
        <v>3471</v>
      </c>
      <c r="Q161" s="0" t="s">
        <v>245</v>
      </c>
      <c r="R161" s="0" t="b">
        <v>0</v>
      </c>
      <c r="S161" s="0" t="s">
        <v>4015</v>
      </c>
    </row>
    <row customHeight="1" ht="11.25">
      <c r="A162" s="0">
        <v>2655</v>
      </c>
      <c r="B162" s="0" t="s">
        <v>114</v>
      </c>
      <c r="C162" s="0">
        <v>26648537</v>
      </c>
      <c r="D162" s="0" t="s">
        <v>4289</v>
      </c>
      <c r="E162" s="0" t="s">
        <v>4290</v>
      </c>
      <c r="F162" s="0" t="s">
        <v>4291</v>
      </c>
      <c r="G162" s="0" t="s">
        <v>3339</v>
      </c>
      <c r="H162" s="0" t="s">
        <v>4292</v>
      </c>
      <c r="I162" s="0" t="s">
        <v>4293</v>
      </c>
      <c r="J162" s="0" t="s">
        <v>156</v>
      </c>
      <c r="K162" s="0" t="s">
        <v>4294</v>
      </c>
      <c r="L162" s="0" t="s">
        <v>4294</v>
      </c>
      <c r="M162" s="0" t="s">
        <v>4295</v>
      </c>
      <c r="N162" s="0" t="s">
        <v>4296</v>
      </c>
      <c r="O162" s="0" t="s">
        <v>4297</v>
      </c>
      <c r="P162" s="0" t="s">
        <v>3471</v>
      </c>
      <c r="Q162" s="0" t="s">
        <v>4298</v>
      </c>
      <c r="R162" s="0" t="b">
        <v>0</v>
      </c>
      <c r="S162" s="0" t="s">
        <v>4015</v>
      </c>
    </row>
    <row customHeight="1" ht="11.25">
      <c r="A163" s="0">
        <v>2655</v>
      </c>
      <c r="B163" s="0" t="s">
        <v>114</v>
      </c>
      <c r="C163" s="0">
        <v>31519209</v>
      </c>
      <c r="D163" s="0" t="s">
        <v>4299</v>
      </c>
      <c r="E163" s="0" t="s">
        <v>4300</v>
      </c>
      <c r="F163" s="0" t="s">
        <v>4301</v>
      </c>
      <c r="G163" s="0" t="s">
        <v>149</v>
      </c>
      <c r="H163" s="0" t="s">
        <v>4302</v>
      </c>
      <c r="I163" s="0" t="s">
        <v>4303</v>
      </c>
      <c r="J163" s="0" t="s">
        <v>156</v>
      </c>
      <c r="K163" s="0" t="s">
        <v>4304</v>
      </c>
      <c r="L163" s="0" t="s">
        <v>4305</v>
      </c>
      <c r="M163" s="0" t="s">
        <v>4306</v>
      </c>
      <c r="N163" s="0" t="s">
        <v>4307</v>
      </c>
      <c r="O163" s="0" t="s">
        <v>4308</v>
      </c>
      <c r="P163" s="0" t="s">
        <v>3347</v>
      </c>
      <c r="Q163" s="0" t="s">
        <v>245</v>
      </c>
      <c r="R163" s="0" t="b">
        <v>0</v>
      </c>
      <c r="S163" s="0" t="s">
        <v>4015</v>
      </c>
    </row>
    <row customHeight="1" ht="11.25">
      <c r="A164" s="0">
        <v>2655</v>
      </c>
      <c r="B164" s="0" t="s">
        <v>114</v>
      </c>
      <c r="C164" s="0">
        <v>31574053</v>
      </c>
      <c r="D164" s="0" t="s">
        <v>4309</v>
      </c>
      <c r="E164" s="0" t="s">
        <v>4310</v>
      </c>
      <c r="F164" s="0" t="s">
        <v>4311</v>
      </c>
      <c r="G164" s="0" t="s">
        <v>3582</v>
      </c>
      <c r="H164" s="0" t="s">
        <v>4312</v>
      </c>
      <c r="I164" s="0" t="s">
        <v>4313</v>
      </c>
      <c r="K164" s="0" t="s">
        <v>4314</v>
      </c>
      <c r="L164" s="0" t="s">
        <v>4314</v>
      </c>
      <c r="M164" s="0" t="s">
        <v>4315</v>
      </c>
      <c r="N164" s="0" t="s">
        <v>4316</v>
      </c>
      <c r="O164" s="0" t="s">
        <v>4317</v>
      </c>
      <c r="P164" s="0" t="s">
        <v>3471</v>
      </c>
      <c r="Q164" s="0" t="s">
        <v>245</v>
      </c>
      <c r="R164" s="0" t="b">
        <v>0</v>
      </c>
      <c r="S164" s="0" t="s">
        <v>4015</v>
      </c>
    </row>
    <row customHeight="1" ht="11.25">
      <c r="A165" s="0">
        <v>2655</v>
      </c>
      <c r="B165" s="0" t="s">
        <v>114</v>
      </c>
      <c r="C165" s="0">
        <v>28141951</v>
      </c>
      <c r="D165" s="0" t="s">
        <v>4318</v>
      </c>
      <c r="E165" s="0" t="s">
        <v>4319</v>
      </c>
      <c r="F165" s="0" t="s">
        <v>4320</v>
      </c>
      <c r="G165" s="0" t="s">
        <v>3362</v>
      </c>
      <c r="H165" s="0" t="s">
        <v>4321</v>
      </c>
      <c r="I165" s="0" t="s">
        <v>4322</v>
      </c>
      <c r="J165" s="0" t="s">
        <v>156</v>
      </c>
      <c r="K165" s="0" t="s">
        <v>4323</v>
      </c>
      <c r="L165" s="0" t="s">
        <v>4323</v>
      </c>
      <c r="M165" s="0" t="s">
        <v>4324</v>
      </c>
      <c r="N165" s="0" t="s">
        <v>4325</v>
      </c>
      <c r="O165" s="0" t="s">
        <v>4326</v>
      </c>
      <c r="P165" s="0" t="s">
        <v>179</v>
      </c>
      <c r="Q165" s="0" t="s">
        <v>4327</v>
      </c>
      <c r="R165" s="0" t="b">
        <v>0</v>
      </c>
      <c r="S165" s="0" t="s">
        <v>4015</v>
      </c>
    </row>
    <row customHeight="1" ht="11.25">
      <c r="A166" s="0">
        <v>2655</v>
      </c>
      <c r="B166" s="0" t="s">
        <v>114</v>
      </c>
      <c r="C166" s="0">
        <v>26852793</v>
      </c>
      <c r="D166" s="0" t="s">
        <v>4328</v>
      </c>
      <c r="E166" s="0" t="s">
        <v>4329</v>
      </c>
      <c r="F166" s="0" t="s">
        <v>4330</v>
      </c>
      <c r="G166" s="0" t="s">
        <v>3582</v>
      </c>
      <c r="H166" s="0" t="s">
        <v>4331</v>
      </c>
      <c r="I166" s="0" t="s">
        <v>4332</v>
      </c>
      <c r="J166" s="0" t="s">
        <v>156</v>
      </c>
      <c r="K166" s="0" t="s">
        <v>4021</v>
      </c>
      <c r="L166" s="0" t="s">
        <v>4021</v>
      </c>
      <c r="M166" s="0" t="s">
        <v>4333</v>
      </c>
      <c r="N166" s="0" t="s">
        <v>4334</v>
      </c>
      <c r="O166" s="0" t="s">
        <v>4335</v>
      </c>
      <c r="P166" s="0" t="s">
        <v>179</v>
      </c>
      <c r="Q166" s="0" t="s">
        <v>190</v>
      </c>
      <c r="R166" s="0" t="b">
        <v>0</v>
      </c>
      <c r="S166" s="0" t="s">
        <v>4015</v>
      </c>
    </row>
    <row customHeight="1" ht="11.25">
      <c r="A167" s="0">
        <v>2655</v>
      </c>
      <c r="B167" s="0" t="s">
        <v>114</v>
      </c>
      <c r="C167" s="0">
        <v>28141966</v>
      </c>
      <c r="D167" s="0" t="s">
        <v>4336</v>
      </c>
      <c r="E167" s="0" t="s">
        <v>4337</v>
      </c>
      <c r="F167" s="0" t="s">
        <v>4338</v>
      </c>
      <c r="G167" s="0" t="s">
        <v>3463</v>
      </c>
      <c r="H167" s="0" t="s">
        <v>4339</v>
      </c>
      <c r="I167" s="0" t="s">
        <v>4340</v>
      </c>
      <c r="J167" s="0" t="s">
        <v>156</v>
      </c>
      <c r="K167" s="0" t="s">
        <v>4341</v>
      </c>
      <c r="L167" s="0" t="s">
        <v>4342</v>
      </c>
      <c r="M167" s="0" t="s">
        <v>4343</v>
      </c>
      <c r="N167" s="0" t="s">
        <v>4344</v>
      </c>
      <c r="O167" s="0" t="s">
        <v>4345</v>
      </c>
      <c r="P167" s="0" t="s">
        <v>179</v>
      </c>
      <c r="Q167" s="0" t="s">
        <v>4346</v>
      </c>
      <c r="R167" s="0" t="b">
        <v>0</v>
      </c>
      <c r="S167" s="0" t="s">
        <v>4015</v>
      </c>
    </row>
    <row customHeight="1" ht="11.25">
      <c r="A168" s="0">
        <v>2655</v>
      </c>
      <c r="B168" s="0" t="s">
        <v>114</v>
      </c>
      <c r="C168" s="0">
        <v>31424033</v>
      </c>
      <c r="D168" s="0" t="s">
        <v>3693</v>
      </c>
      <c r="E168" s="0" t="s">
        <v>3694</v>
      </c>
      <c r="F168" s="0" t="s">
        <v>3695</v>
      </c>
      <c r="G168" s="0" t="s">
        <v>3696</v>
      </c>
      <c r="H168" s="0" t="s">
        <v>3697</v>
      </c>
      <c r="I168" s="0" t="s">
        <v>245</v>
      </c>
      <c r="J168" s="0" t="s">
        <v>156</v>
      </c>
      <c r="K168" s="0" t="s">
        <v>245</v>
      </c>
      <c r="L168" s="0" t="s">
        <v>245</v>
      </c>
      <c r="M168" s="0" t="s">
        <v>245</v>
      </c>
      <c r="N168" s="0" t="s">
        <v>245</v>
      </c>
      <c r="O168" s="0" t="s">
        <v>245</v>
      </c>
      <c r="P168" s="0" t="s">
        <v>245</v>
      </c>
      <c r="Q168" s="0" t="s">
        <v>245</v>
      </c>
      <c r="R168" s="0" t="b">
        <v>0</v>
      </c>
      <c r="S168" s="0" t="s">
        <v>4015</v>
      </c>
    </row>
    <row customHeight="1" ht="11.25">
      <c r="A169" s="0">
        <v>2655</v>
      </c>
      <c r="B169" s="0" t="s">
        <v>114</v>
      </c>
      <c r="C169" s="0">
        <v>27838991</v>
      </c>
      <c r="D169" s="0" t="s">
        <v>3988</v>
      </c>
      <c r="E169" s="0" t="s">
        <v>3989</v>
      </c>
      <c r="F169" s="0" t="s">
        <v>3990</v>
      </c>
      <c r="G169" s="0" t="s">
        <v>3362</v>
      </c>
      <c r="H169" s="0" t="s">
        <v>3991</v>
      </c>
      <c r="I169" s="0" t="s">
        <v>3992</v>
      </c>
      <c r="J169" s="0" t="s">
        <v>156</v>
      </c>
      <c r="K169" s="0" t="s">
        <v>3993</v>
      </c>
      <c r="L169" s="0" t="s">
        <v>3994</v>
      </c>
      <c r="M169" s="0" t="s">
        <v>3995</v>
      </c>
      <c r="N169" s="0" t="s">
        <v>3996</v>
      </c>
      <c r="O169" s="0" t="s">
        <v>3997</v>
      </c>
      <c r="P169" s="0" t="s">
        <v>179</v>
      </c>
      <c r="Q169" s="0" t="s">
        <v>245</v>
      </c>
      <c r="R169" s="0" t="b">
        <v>0</v>
      </c>
      <c r="S169" s="0" t="s">
        <v>4015</v>
      </c>
    </row>
    <row customHeight="1" ht="11.25">
      <c r="A170" s="0">
        <v>2655</v>
      </c>
      <c r="B170" s="0" t="s">
        <v>114</v>
      </c>
      <c r="C170" s="0">
        <v>26356931</v>
      </c>
      <c r="D170" s="0" t="s">
        <v>4347</v>
      </c>
      <c r="E170" s="0" t="s">
        <v>4348</v>
      </c>
      <c r="F170" s="0" t="s">
        <v>4349</v>
      </c>
      <c r="G170" s="0" t="s">
        <v>149</v>
      </c>
      <c r="H170" s="0" t="s">
        <v>4350</v>
      </c>
      <c r="I170" s="0" t="s">
        <v>4351</v>
      </c>
      <c r="J170" s="0" t="s">
        <v>156</v>
      </c>
      <c r="K170" s="0" t="s">
        <v>4352</v>
      </c>
      <c r="L170" s="0" t="s">
        <v>4352</v>
      </c>
      <c r="M170" s="0" t="s">
        <v>4353</v>
      </c>
      <c r="N170" s="0" t="s">
        <v>4354</v>
      </c>
      <c r="O170" s="0" t="s">
        <v>4355</v>
      </c>
      <c r="P170" s="0" t="s">
        <v>3471</v>
      </c>
      <c r="Q170" s="0" t="s">
        <v>190</v>
      </c>
      <c r="R170" s="0" t="b">
        <v>1</v>
      </c>
      <c r="S170" s="0" t="s">
        <v>4015</v>
      </c>
    </row>
    <row customHeight="1" ht="11.25">
      <c r="A171" s="0">
        <v>2655</v>
      </c>
      <c r="B171" s="0" t="s">
        <v>114</v>
      </c>
      <c r="C171" s="0">
        <v>28151808</v>
      </c>
      <c r="D171" s="0" t="s">
        <v>3707</v>
      </c>
      <c r="E171" s="0" t="s">
        <v>3708</v>
      </c>
      <c r="F171" s="0" t="s">
        <v>3709</v>
      </c>
      <c r="G171" s="0" t="s">
        <v>3417</v>
      </c>
      <c r="H171" s="0" t="s">
        <v>3710</v>
      </c>
      <c r="I171" s="0" t="s">
        <v>3711</v>
      </c>
      <c r="J171" s="0" t="s">
        <v>156</v>
      </c>
      <c r="K171" s="0" t="s">
        <v>3712</v>
      </c>
      <c r="L171" s="0" t="s">
        <v>3713</v>
      </c>
      <c r="M171" s="0" t="s">
        <v>3714</v>
      </c>
      <c r="N171" s="0" t="s">
        <v>3715</v>
      </c>
      <c r="O171" s="0" t="s">
        <v>3716</v>
      </c>
      <c r="P171" s="0" t="s">
        <v>179</v>
      </c>
      <c r="Q171" s="0" t="s">
        <v>245</v>
      </c>
      <c r="R171" s="0" t="b">
        <v>1</v>
      </c>
      <c r="S171" s="0" t="s">
        <v>4015</v>
      </c>
    </row>
    <row customHeight="1" ht="11.25">
      <c r="A172" s="0">
        <v>2655</v>
      </c>
      <c r="B172" s="0" t="s">
        <v>114</v>
      </c>
      <c r="C172" s="0">
        <v>31739633</v>
      </c>
      <c r="D172" s="0" t="s">
        <v>3717</v>
      </c>
      <c r="E172" s="0" t="s">
        <v>3718</v>
      </c>
      <c r="F172" s="0" t="s">
        <v>3719</v>
      </c>
      <c r="G172" s="0" t="s">
        <v>3720</v>
      </c>
      <c r="H172" s="0" t="s">
        <v>3721</v>
      </c>
      <c r="I172" s="0" t="s">
        <v>3722</v>
      </c>
      <c r="K172" s="0" t="s">
        <v>3723</v>
      </c>
      <c r="L172" s="0" t="s">
        <v>3723</v>
      </c>
      <c r="M172" s="0" t="s">
        <v>3724</v>
      </c>
      <c r="N172" s="0" t="s">
        <v>3725</v>
      </c>
      <c r="O172" s="0" t="s">
        <v>3726</v>
      </c>
      <c r="P172" s="0" t="s">
        <v>3434</v>
      </c>
      <c r="Q172" s="0" t="s">
        <v>245</v>
      </c>
      <c r="R172" s="0" t="b">
        <v>0</v>
      </c>
      <c r="S172" s="0" t="s">
        <v>4015</v>
      </c>
    </row>
    <row customHeight="1" ht="11.25">
      <c r="A173" s="0">
        <v>2655</v>
      </c>
      <c r="B173" s="0" t="s">
        <v>114</v>
      </c>
      <c r="C173" s="0">
        <v>30433806</v>
      </c>
      <c r="D173" s="0" t="s">
        <v>4356</v>
      </c>
      <c r="E173" s="0" t="s">
        <v>4357</v>
      </c>
      <c r="F173" s="0" t="s">
        <v>4358</v>
      </c>
      <c r="G173" s="0" t="s">
        <v>3552</v>
      </c>
      <c r="H173" s="0" t="s">
        <v>4359</v>
      </c>
      <c r="I173" s="0" t="s">
        <v>4360</v>
      </c>
      <c r="J173" s="0" t="s">
        <v>156</v>
      </c>
      <c r="K173" s="0" t="s">
        <v>4361</v>
      </c>
      <c r="L173" s="0" t="s">
        <v>4361</v>
      </c>
      <c r="M173" s="0" t="s">
        <v>4362</v>
      </c>
      <c r="N173" s="0" t="s">
        <v>4363</v>
      </c>
      <c r="O173" s="0" t="s">
        <v>4364</v>
      </c>
      <c r="P173" s="0" t="s">
        <v>3471</v>
      </c>
      <c r="Q173" s="0" t="s">
        <v>190</v>
      </c>
      <c r="R173" s="0" t="b">
        <v>0</v>
      </c>
      <c r="S173" s="0" t="s">
        <v>4015</v>
      </c>
    </row>
    <row customHeight="1" ht="11.25">
      <c r="A174" s="0">
        <v>2655</v>
      </c>
      <c r="B174" s="0" t="s">
        <v>114</v>
      </c>
      <c r="C174" s="0">
        <v>31743966</v>
      </c>
      <c r="D174" s="0" t="s">
        <v>4365</v>
      </c>
      <c r="E174" s="0" t="s">
        <v>4366</v>
      </c>
      <c r="F174" s="0" t="s">
        <v>4367</v>
      </c>
      <c r="G174" s="0" t="s">
        <v>3339</v>
      </c>
      <c r="H174" s="0" t="s">
        <v>4368</v>
      </c>
      <c r="I174" s="0" t="s">
        <v>4369</v>
      </c>
      <c r="K174" s="0" t="s">
        <v>4370</v>
      </c>
      <c r="L174" s="0" t="s">
        <v>4370</v>
      </c>
      <c r="M174" s="0" t="s">
        <v>4371</v>
      </c>
      <c r="N174" s="0" t="s">
        <v>4372</v>
      </c>
      <c r="O174" s="0" t="s">
        <v>4373</v>
      </c>
      <c r="P174" s="0" t="s">
        <v>179</v>
      </c>
      <c r="Q174" s="0" t="s">
        <v>4374</v>
      </c>
      <c r="R174" s="0" t="b">
        <v>1</v>
      </c>
      <c r="S174" s="0" t="s">
        <v>4015</v>
      </c>
    </row>
    <row customHeight="1" ht="11.25">
      <c r="A175" s="0">
        <v>2655</v>
      </c>
      <c r="B175" s="0" t="s">
        <v>114</v>
      </c>
      <c r="C175" s="0">
        <v>30874454</v>
      </c>
      <c r="D175" s="0" t="s">
        <v>4375</v>
      </c>
      <c r="E175" s="0" t="s">
        <v>4376</v>
      </c>
      <c r="F175" s="0" t="s">
        <v>4377</v>
      </c>
      <c r="G175" s="0" t="s">
        <v>3696</v>
      </c>
      <c r="H175" s="0" t="s">
        <v>4378</v>
      </c>
      <c r="I175" s="0" t="s">
        <v>4379</v>
      </c>
      <c r="J175" s="0" t="s">
        <v>156</v>
      </c>
      <c r="K175" s="0" t="s">
        <v>4380</v>
      </c>
      <c r="L175" s="0" t="s">
        <v>4381</v>
      </c>
      <c r="M175" s="0" t="s">
        <v>4382</v>
      </c>
      <c r="N175" s="0" t="s">
        <v>4344</v>
      </c>
      <c r="O175" s="0" t="s">
        <v>4383</v>
      </c>
      <c r="P175" s="0" t="s">
        <v>3434</v>
      </c>
      <c r="Q175" s="0" t="s">
        <v>4384</v>
      </c>
      <c r="R175" s="0" t="b">
        <v>0</v>
      </c>
      <c r="S175" s="0" t="s">
        <v>4015</v>
      </c>
    </row>
    <row customHeight="1" ht="11.25">
      <c r="A176" s="0">
        <v>2655</v>
      </c>
      <c r="B176" s="0" t="s">
        <v>114</v>
      </c>
      <c r="C176" s="0">
        <v>26356987</v>
      </c>
      <c r="D176" s="0" t="s">
        <v>3737</v>
      </c>
      <c r="E176" s="0" t="s">
        <v>3738</v>
      </c>
      <c r="F176" s="0" t="s">
        <v>3739</v>
      </c>
      <c r="G176" s="0" t="s">
        <v>3740</v>
      </c>
      <c r="H176" s="0" t="s">
        <v>3741</v>
      </c>
      <c r="I176" s="0" t="s">
        <v>3742</v>
      </c>
      <c r="J176" s="0" t="s">
        <v>156</v>
      </c>
      <c r="K176" s="0" t="s">
        <v>3743</v>
      </c>
      <c r="L176" s="0" t="s">
        <v>3743</v>
      </c>
      <c r="M176" s="0" t="s">
        <v>3744</v>
      </c>
      <c r="N176" s="0" t="s">
        <v>3745</v>
      </c>
      <c r="O176" s="0" t="s">
        <v>3746</v>
      </c>
      <c r="P176" s="0" t="s">
        <v>3434</v>
      </c>
      <c r="Q176" s="0" t="s">
        <v>3747</v>
      </c>
      <c r="R176" s="0" t="b">
        <v>0</v>
      </c>
      <c r="S176" s="0" t="s">
        <v>4015</v>
      </c>
    </row>
    <row customHeight="1" ht="11.25">
      <c r="A177" s="0">
        <v>2655</v>
      </c>
      <c r="B177" s="0" t="s">
        <v>114</v>
      </c>
      <c r="C177" s="0">
        <v>30856223</v>
      </c>
      <c r="D177" s="0" t="s">
        <v>4385</v>
      </c>
      <c r="E177" s="0" t="s">
        <v>4386</v>
      </c>
      <c r="F177" s="0" t="s">
        <v>4387</v>
      </c>
      <c r="G177" s="0" t="s">
        <v>3362</v>
      </c>
      <c r="H177" s="0" t="s">
        <v>4388</v>
      </c>
      <c r="I177" s="0" t="s">
        <v>4389</v>
      </c>
      <c r="J177" s="0" t="s">
        <v>156</v>
      </c>
      <c r="K177" s="0" t="s">
        <v>4390</v>
      </c>
      <c r="L177" s="0" t="s">
        <v>4390</v>
      </c>
      <c r="M177" s="0" t="s">
        <v>4391</v>
      </c>
      <c r="N177" s="0" t="s">
        <v>4392</v>
      </c>
      <c r="O177" s="0" t="s">
        <v>4393</v>
      </c>
      <c r="P177" s="0" t="s">
        <v>179</v>
      </c>
      <c r="Q177" s="0" t="s">
        <v>4394</v>
      </c>
      <c r="R177" s="0" t="b">
        <v>0</v>
      </c>
      <c r="S177" s="0" t="s">
        <v>4015</v>
      </c>
    </row>
    <row customHeight="1" ht="11.25">
      <c r="A178" s="0">
        <v>2655</v>
      </c>
      <c r="B178" s="0" t="s">
        <v>114</v>
      </c>
      <c r="C178" s="0">
        <v>31373026</v>
      </c>
      <c r="D178" s="0" t="s">
        <v>4385</v>
      </c>
      <c r="E178" s="0" t="s">
        <v>4386</v>
      </c>
      <c r="F178" s="0" t="s">
        <v>4395</v>
      </c>
      <c r="G178" s="0" t="s">
        <v>3720</v>
      </c>
      <c r="H178" s="0" t="s">
        <v>4396</v>
      </c>
      <c r="I178" s="0" t="s">
        <v>4397</v>
      </c>
      <c r="J178" s="0" t="s">
        <v>156</v>
      </c>
      <c r="K178" s="0" t="s">
        <v>4398</v>
      </c>
      <c r="L178" s="0" t="s">
        <v>4399</v>
      </c>
      <c r="M178" s="0" t="s">
        <v>4400</v>
      </c>
      <c r="N178" s="0" t="s">
        <v>4401</v>
      </c>
      <c r="O178" s="0" t="s">
        <v>4402</v>
      </c>
      <c r="P178" s="0" t="s">
        <v>4403</v>
      </c>
      <c r="Q178" s="0" t="s">
        <v>4404</v>
      </c>
      <c r="R178" s="0" t="b">
        <v>1</v>
      </c>
      <c r="S178" s="0" t="s">
        <v>4015</v>
      </c>
    </row>
    <row customHeight="1" ht="11.25">
      <c r="A179" s="0">
        <v>2655</v>
      </c>
      <c r="B179" s="0" t="s">
        <v>114</v>
      </c>
      <c r="C179" s="0">
        <v>31579609</v>
      </c>
      <c r="D179" s="0" t="s">
        <v>4405</v>
      </c>
      <c r="E179" s="0" t="s">
        <v>4406</v>
      </c>
      <c r="F179" s="0" t="s">
        <v>4407</v>
      </c>
      <c r="G179" s="0" t="s">
        <v>3417</v>
      </c>
      <c r="H179" s="0" t="s">
        <v>4408</v>
      </c>
      <c r="I179" s="0" t="s">
        <v>4409</v>
      </c>
      <c r="K179" s="0" t="s">
        <v>4410</v>
      </c>
      <c r="L179" s="0" t="s">
        <v>4410</v>
      </c>
      <c r="M179" s="0" t="s">
        <v>4411</v>
      </c>
      <c r="N179" s="0" t="s">
        <v>4412</v>
      </c>
      <c r="O179" s="0" t="s">
        <v>4413</v>
      </c>
      <c r="P179" s="0" t="s">
        <v>179</v>
      </c>
      <c r="Q179" s="0" t="s">
        <v>245</v>
      </c>
      <c r="R179" s="0" t="b">
        <v>1</v>
      </c>
      <c r="S179" s="0" t="s">
        <v>4015</v>
      </c>
    </row>
    <row customHeight="1" ht="11.25">
      <c r="A180" s="0">
        <v>2655</v>
      </c>
      <c r="B180" s="0" t="s">
        <v>114</v>
      </c>
      <c r="C180" s="0">
        <v>26356891</v>
      </c>
      <c r="D180" s="0" t="s">
        <v>3748</v>
      </c>
      <c r="E180" s="0" t="s">
        <v>3749</v>
      </c>
      <c r="F180" s="0" t="s">
        <v>3750</v>
      </c>
      <c r="G180" s="0" t="s">
        <v>3563</v>
      </c>
      <c r="H180" s="0" t="s">
        <v>3751</v>
      </c>
      <c r="I180" s="0" t="s">
        <v>3752</v>
      </c>
      <c r="J180" s="0" t="s">
        <v>156</v>
      </c>
      <c r="K180" s="0" t="s">
        <v>3753</v>
      </c>
      <c r="L180" s="0" t="s">
        <v>3753</v>
      </c>
      <c r="M180" s="0" t="s">
        <v>3754</v>
      </c>
      <c r="N180" s="0" t="s">
        <v>3755</v>
      </c>
      <c r="O180" s="0" t="s">
        <v>3756</v>
      </c>
      <c r="P180" s="0" t="s">
        <v>3471</v>
      </c>
      <c r="Q180" s="0" t="s">
        <v>245</v>
      </c>
      <c r="R180" s="0" t="b">
        <v>0</v>
      </c>
      <c r="S180" s="0" t="s">
        <v>4015</v>
      </c>
    </row>
    <row customHeight="1" ht="11.25">
      <c r="A181" s="0">
        <v>2655</v>
      </c>
      <c r="B181" s="0" t="s">
        <v>114</v>
      </c>
      <c r="C181" s="0">
        <v>27566835</v>
      </c>
      <c r="D181" s="0" t="s">
        <v>4414</v>
      </c>
      <c r="E181" s="0" t="s">
        <v>4415</v>
      </c>
      <c r="F181" s="0" t="s">
        <v>4416</v>
      </c>
      <c r="G181" s="0" t="s">
        <v>3563</v>
      </c>
      <c r="H181" s="0" t="s">
        <v>4417</v>
      </c>
      <c r="I181" s="0" t="s">
        <v>4418</v>
      </c>
      <c r="J181" s="0" t="s">
        <v>156</v>
      </c>
      <c r="K181" s="0" t="s">
        <v>4419</v>
      </c>
      <c r="L181" s="0" t="s">
        <v>4419</v>
      </c>
      <c r="M181" s="0" t="s">
        <v>4420</v>
      </c>
      <c r="N181" s="0" t="s">
        <v>3577</v>
      </c>
      <c r="O181" s="0" t="s">
        <v>4421</v>
      </c>
      <c r="P181" s="0" t="s">
        <v>3471</v>
      </c>
      <c r="Q181" s="0" t="s">
        <v>190</v>
      </c>
      <c r="R181" s="0" t="b">
        <v>0</v>
      </c>
      <c r="S181" s="0" t="s">
        <v>4015</v>
      </c>
    </row>
    <row customHeight="1" ht="11.25">
      <c r="A182" s="0">
        <v>2655</v>
      </c>
      <c r="B182" s="0" t="s">
        <v>114</v>
      </c>
      <c r="C182" s="0">
        <v>31229342</v>
      </c>
      <c r="D182" s="0" t="s">
        <v>4422</v>
      </c>
      <c r="E182" s="0" t="s">
        <v>4423</v>
      </c>
      <c r="F182" s="0" t="s">
        <v>4424</v>
      </c>
      <c r="G182" s="0" t="s">
        <v>3582</v>
      </c>
      <c r="H182" s="0" t="s">
        <v>4425</v>
      </c>
      <c r="I182" s="0" t="s">
        <v>4426</v>
      </c>
      <c r="J182" s="0" t="s">
        <v>156</v>
      </c>
      <c r="K182" s="0" t="s">
        <v>4427</v>
      </c>
      <c r="L182" s="0" t="s">
        <v>4427</v>
      </c>
      <c r="M182" s="0" t="s">
        <v>4428</v>
      </c>
      <c r="N182" s="0" t="s">
        <v>4429</v>
      </c>
      <c r="O182" s="0" t="s">
        <v>4430</v>
      </c>
      <c r="P182" s="0" t="s">
        <v>179</v>
      </c>
      <c r="Q182" s="0" t="s">
        <v>245</v>
      </c>
      <c r="R182" s="0" t="b">
        <v>0</v>
      </c>
      <c r="S182" s="0" t="s">
        <v>4015</v>
      </c>
    </row>
    <row customHeight="1" ht="11.25">
      <c r="A183" s="0">
        <v>2655</v>
      </c>
      <c r="B183" s="0" t="s">
        <v>114</v>
      </c>
      <c r="C183" s="0">
        <v>31690080</v>
      </c>
      <c r="D183" s="0" t="s">
        <v>4431</v>
      </c>
      <c r="E183" s="0" t="s">
        <v>4432</v>
      </c>
      <c r="F183" s="0" t="s">
        <v>4433</v>
      </c>
      <c r="G183" s="0" t="s">
        <v>3582</v>
      </c>
      <c r="H183" s="0" t="s">
        <v>4434</v>
      </c>
      <c r="I183" s="0" t="s">
        <v>4435</v>
      </c>
      <c r="K183" s="0" t="s">
        <v>4436</v>
      </c>
      <c r="L183" s="0" t="s">
        <v>4436</v>
      </c>
      <c r="M183" s="0" t="s">
        <v>4437</v>
      </c>
      <c r="N183" s="0" t="s">
        <v>4438</v>
      </c>
      <c r="O183" s="0" t="s">
        <v>4439</v>
      </c>
      <c r="P183" s="0" t="s">
        <v>3471</v>
      </c>
      <c r="Q183" s="0" t="s">
        <v>245</v>
      </c>
      <c r="R183" s="0" t="b">
        <v>1</v>
      </c>
      <c r="S183" s="0" t="s">
        <v>4015</v>
      </c>
    </row>
    <row customHeight="1" ht="11.25">
      <c r="A184" s="0">
        <v>2655</v>
      </c>
      <c r="B184" s="0" t="s">
        <v>114</v>
      </c>
      <c r="C184" s="0">
        <v>31539720</v>
      </c>
      <c r="D184" s="0" t="s">
        <v>4431</v>
      </c>
      <c r="E184" s="0" t="s">
        <v>4440</v>
      </c>
      <c r="F184" s="0" t="s">
        <v>4441</v>
      </c>
      <c r="G184" s="0" t="s">
        <v>3582</v>
      </c>
      <c r="H184" s="0" t="s">
        <v>4442</v>
      </c>
      <c r="I184" s="0" t="s">
        <v>4443</v>
      </c>
      <c r="K184" s="0" t="s">
        <v>4444</v>
      </c>
      <c r="L184" s="0" t="s">
        <v>4444</v>
      </c>
      <c r="M184" s="0" t="s">
        <v>4445</v>
      </c>
      <c r="N184" s="0" t="s">
        <v>245</v>
      </c>
      <c r="O184" s="0" t="s">
        <v>4446</v>
      </c>
      <c r="P184" s="0" t="s">
        <v>3347</v>
      </c>
      <c r="Q184" s="0" t="s">
        <v>4447</v>
      </c>
      <c r="R184" s="0" t="b">
        <v>0</v>
      </c>
      <c r="S184" s="0" t="s">
        <v>4015</v>
      </c>
    </row>
    <row customHeight="1" ht="11.25">
      <c r="A185" s="0">
        <v>2655</v>
      </c>
      <c r="B185" s="0" t="s">
        <v>114</v>
      </c>
      <c r="C185" s="0">
        <v>30872315</v>
      </c>
      <c r="D185" s="0" t="s">
        <v>4448</v>
      </c>
      <c r="E185" s="0" t="s">
        <v>4449</v>
      </c>
      <c r="F185" s="0" t="s">
        <v>4450</v>
      </c>
      <c r="G185" s="0" t="s">
        <v>3339</v>
      </c>
      <c r="H185" s="0" t="s">
        <v>4451</v>
      </c>
      <c r="I185" s="0" t="s">
        <v>4452</v>
      </c>
      <c r="J185" s="0" t="s">
        <v>156</v>
      </c>
      <c r="K185" s="0" t="s">
        <v>4453</v>
      </c>
      <c r="L185" s="0" t="s">
        <v>4453</v>
      </c>
      <c r="M185" s="0" t="s">
        <v>4454</v>
      </c>
      <c r="N185" s="0" t="s">
        <v>4455</v>
      </c>
      <c r="O185" s="0" t="s">
        <v>4456</v>
      </c>
      <c r="P185" s="0" t="s">
        <v>3471</v>
      </c>
      <c r="Q185" s="0" t="s">
        <v>245</v>
      </c>
      <c r="R185" s="0" t="b">
        <v>0</v>
      </c>
      <c r="S185" s="0" t="s">
        <v>4015</v>
      </c>
    </row>
    <row customHeight="1" ht="11.25">
      <c r="A186" s="0">
        <v>2655</v>
      </c>
      <c r="B186" s="0" t="s">
        <v>114</v>
      </c>
      <c r="C186" s="0">
        <v>30856253</v>
      </c>
      <c r="D186" s="0" t="s">
        <v>4457</v>
      </c>
      <c r="E186" s="0" t="s">
        <v>4458</v>
      </c>
      <c r="F186" s="0" t="s">
        <v>4459</v>
      </c>
      <c r="G186" s="0" t="s">
        <v>3417</v>
      </c>
      <c r="H186" s="0" t="s">
        <v>4460</v>
      </c>
      <c r="I186" s="0" t="s">
        <v>4461</v>
      </c>
      <c r="J186" s="0" t="s">
        <v>156</v>
      </c>
      <c r="K186" s="0" t="s">
        <v>4462</v>
      </c>
      <c r="L186" s="0" t="s">
        <v>4462</v>
      </c>
      <c r="M186" s="0" t="s">
        <v>4463</v>
      </c>
      <c r="N186" s="0" t="s">
        <v>4464</v>
      </c>
      <c r="O186" s="0" t="s">
        <v>4465</v>
      </c>
      <c r="P186" s="0" t="s">
        <v>3471</v>
      </c>
      <c r="Q186" s="0" t="s">
        <v>245</v>
      </c>
      <c r="R186" s="0" t="b">
        <v>0</v>
      </c>
      <c r="S186" s="0" t="s">
        <v>4015</v>
      </c>
    </row>
    <row customHeight="1" ht="11.25">
      <c r="A187" s="0">
        <v>2655</v>
      </c>
      <c r="B187" s="0" t="s">
        <v>114</v>
      </c>
      <c r="C187" s="0">
        <v>33000042</v>
      </c>
      <c r="D187" s="0" t="s">
        <v>4466</v>
      </c>
      <c r="E187" s="0" t="s">
        <v>4467</v>
      </c>
      <c r="F187" s="0" t="s">
        <v>4468</v>
      </c>
      <c r="G187" s="0" t="s">
        <v>3664</v>
      </c>
      <c r="H187" s="0" t="s">
        <v>4469</v>
      </c>
      <c r="I187" s="0" t="s">
        <v>4470</v>
      </c>
      <c r="K187" s="0" t="s">
        <v>4471</v>
      </c>
      <c r="L187" s="0" t="s">
        <v>4472</v>
      </c>
      <c r="M187" s="0" t="s">
        <v>4473</v>
      </c>
      <c r="N187" s="0" t="s">
        <v>4474</v>
      </c>
      <c r="O187" s="0" t="s">
        <v>3671</v>
      </c>
      <c r="P187" s="0" t="s">
        <v>4475</v>
      </c>
      <c r="Q187" s="0" t="s">
        <v>245</v>
      </c>
      <c r="R187" s="0" t="b">
        <v>0</v>
      </c>
      <c r="S187" s="0" t="s">
        <v>4015</v>
      </c>
    </row>
    <row customHeight="1" ht="11.25">
      <c r="A188" s="0">
        <v>2655</v>
      </c>
      <c r="B188" s="0" t="s">
        <v>114</v>
      </c>
      <c r="C188" s="0">
        <v>26517842</v>
      </c>
      <c r="D188" s="0" t="s">
        <v>4476</v>
      </c>
      <c r="E188" s="0" t="s">
        <v>4477</v>
      </c>
      <c r="F188" s="0" t="s">
        <v>4478</v>
      </c>
      <c r="G188" s="0" t="s">
        <v>3563</v>
      </c>
      <c r="H188" s="0" t="s">
        <v>4479</v>
      </c>
      <c r="I188" s="0" t="s">
        <v>4480</v>
      </c>
      <c r="J188" s="0" t="s">
        <v>156</v>
      </c>
      <c r="K188" s="0" t="s">
        <v>4481</v>
      </c>
      <c r="L188" s="0" t="s">
        <v>3343</v>
      </c>
      <c r="M188" s="0" t="s">
        <v>4482</v>
      </c>
      <c r="N188" s="0" t="s">
        <v>4483</v>
      </c>
      <c r="O188" s="0" t="s">
        <v>4484</v>
      </c>
      <c r="P188" s="0" t="s">
        <v>179</v>
      </c>
      <c r="Q188" s="0" t="s">
        <v>245</v>
      </c>
      <c r="R188" s="0" t="b">
        <v>0</v>
      </c>
      <c r="S188" s="0" t="s">
        <v>4015</v>
      </c>
    </row>
    <row customHeight="1" ht="11.25">
      <c r="A189" s="0">
        <v>2655</v>
      </c>
      <c r="B189" s="0" t="s">
        <v>114</v>
      </c>
      <c r="C189" s="0">
        <v>26356937</v>
      </c>
      <c r="D189" s="0" t="s">
        <v>3765</v>
      </c>
      <c r="E189" s="0" t="s">
        <v>3766</v>
      </c>
      <c r="F189" s="0" t="s">
        <v>3767</v>
      </c>
      <c r="G189" s="0" t="s">
        <v>149</v>
      </c>
      <c r="H189" s="0" t="s">
        <v>3768</v>
      </c>
      <c r="I189" s="0" t="s">
        <v>3769</v>
      </c>
      <c r="J189" s="0" t="s">
        <v>156</v>
      </c>
      <c r="K189" s="0" t="s">
        <v>3770</v>
      </c>
      <c r="L189" s="0" t="s">
        <v>3770</v>
      </c>
      <c r="M189" s="0" t="s">
        <v>3771</v>
      </c>
      <c r="N189" s="0" t="s">
        <v>3772</v>
      </c>
      <c r="O189" s="0" t="s">
        <v>3773</v>
      </c>
      <c r="P189" s="0" t="s">
        <v>3434</v>
      </c>
      <c r="Q189" s="0" t="s">
        <v>3774</v>
      </c>
      <c r="R189" s="0" t="b">
        <v>0</v>
      </c>
      <c r="S189" s="0" t="s">
        <v>4015</v>
      </c>
    </row>
    <row customHeight="1" ht="11.25">
      <c r="A190" s="0">
        <v>2655</v>
      </c>
      <c r="B190" s="0" t="s">
        <v>114</v>
      </c>
      <c r="C190" s="0">
        <v>31473621</v>
      </c>
      <c r="D190" s="0" t="s">
        <v>4485</v>
      </c>
      <c r="E190" s="0" t="s">
        <v>4486</v>
      </c>
      <c r="F190" s="0" t="s">
        <v>4487</v>
      </c>
      <c r="G190" s="0" t="s">
        <v>3506</v>
      </c>
      <c r="H190" s="0" t="s">
        <v>4488</v>
      </c>
      <c r="I190" s="0" t="s">
        <v>4489</v>
      </c>
      <c r="J190" s="0" t="s">
        <v>156</v>
      </c>
      <c r="K190" s="0" t="s">
        <v>4490</v>
      </c>
      <c r="L190" s="0" t="s">
        <v>4490</v>
      </c>
      <c r="M190" s="0" t="s">
        <v>4491</v>
      </c>
      <c r="N190" s="0" t="s">
        <v>4492</v>
      </c>
      <c r="O190" s="0" t="s">
        <v>4493</v>
      </c>
      <c r="P190" s="0" t="s">
        <v>179</v>
      </c>
      <c r="Q190" s="0" t="s">
        <v>4494</v>
      </c>
      <c r="R190" s="0" t="b">
        <v>0</v>
      </c>
      <c r="S190" s="0" t="s">
        <v>4015</v>
      </c>
    </row>
    <row customHeight="1" ht="11.25">
      <c r="A191" s="0">
        <v>2655</v>
      </c>
      <c r="B191" s="0" t="s">
        <v>114</v>
      </c>
      <c r="C191" s="0">
        <v>31004851</v>
      </c>
      <c r="D191" s="0" t="s">
        <v>4495</v>
      </c>
      <c r="E191" s="0" t="s">
        <v>4496</v>
      </c>
      <c r="F191" s="0" t="s">
        <v>4497</v>
      </c>
      <c r="G191" s="0" t="s">
        <v>3362</v>
      </c>
      <c r="H191" s="0" t="s">
        <v>4498</v>
      </c>
      <c r="I191" s="0" t="s">
        <v>4499</v>
      </c>
      <c r="J191" s="0" t="s">
        <v>156</v>
      </c>
      <c r="K191" s="0" t="s">
        <v>4500</v>
      </c>
      <c r="L191" s="0" t="s">
        <v>4501</v>
      </c>
      <c r="M191" s="0" t="s">
        <v>4502</v>
      </c>
      <c r="N191" s="0" t="s">
        <v>4503</v>
      </c>
      <c r="O191" s="0" t="s">
        <v>4504</v>
      </c>
      <c r="P191" s="0" t="s">
        <v>245</v>
      </c>
      <c r="Q191" s="0" t="s">
        <v>245</v>
      </c>
      <c r="R191" s="0" t="b">
        <v>0</v>
      </c>
      <c r="S191" s="0" t="s">
        <v>4015</v>
      </c>
    </row>
    <row customHeight="1" ht="11.25">
      <c r="A192" s="0">
        <v>2655</v>
      </c>
      <c r="B192" s="0" t="s">
        <v>114</v>
      </c>
      <c r="C192" s="0">
        <v>26356976</v>
      </c>
      <c r="D192" s="0" t="s">
        <v>4505</v>
      </c>
      <c r="E192" s="0" t="s">
        <v>4506</v>
      </c>
      <c r="F192" s="0" t="s">
        <v>4507</v>
      </c>
      <c r="G192" s="0" t="s">
        <v>3730</v>
      </c>
      <c r="H192" s="0" t="s">
        <v>4508</v>
      </c>
      <c r="I192" s="0" t="s">
        <v>4509</v>
      </c>
      <c r="J192" s="0" t="s">
        <v>156</v>
      </c>
      <c r="K192" s="0" t="s">
        <v>4510</v>
      </c>
      <c r="L192" s="0" t="s">
        <v>4510</v>
      </c>
      <c r="M192" s="0" t="s">
        <v>4511</v>
      </c>
      <c r="N192" s="0" t="s">
        <v>4512</v>
      </c>
      <c r="O192" s="0" t="s">
        <v>4513</v>
      </c>
      <c r="P192" s="0" t="s">
        <v>3380</v>
      </c>
      <c r="Q192" s="0" t="s">
        <v>4514</v>
      </c>
      <c r="R192" s="0" t="b">
        <v>0</v>
      </c>
      <c r="S192" s="0" t="s">
        <v>4015</v>
      </c>
    </row>
    <row customHeight="1" ht="11.25">
      <c r="A193" s="0">
        <v>2655</v>
      </c>
      <c r="B193" s="0" t="s">
        <v>114</v>
      </c>
      <c r="C193" s="0">
        <v>28274482</v>
      </c>
      <c r="D193" s="0" t="s">
        <v>4515</v>
      </c>
      <c r="E193" s="0" t="s">
        <v>4516</v>
      </c>
      <c r="F193" s="0" t="s">
        <v>4517</v>
      </c>
      <c r="G193" s="0" t="s">
        <v>3417</v>
      </c>
      <c r="H193" s="0" t="s">
        <v>4518</v>
      </c>
      <c r="I193" s="0" t="s">
        <v>4519</v>
      </c>
      <c r="J193" s="0" t="s">
        <v>156</v>
      </c>
      <c r="K193" s="0" t="s">
        <v>4520</v>
      </c>
      <c r="L193" s="0" t="s">
        <v>4521</v>
      </c>
      <c r="M193" s="0" t="s">
        <v>3714</v>
      </c>
      <c r="N193" s="0" t="s">
        <v>4522</v>
      </c>
      <c r="O193" s="0" t="s">
        <v>3716</v>
      </c>
      <c r="P193" s="0" t="s">
        <v>3471</v>
      </c>
      <c r="Q193" s="0" t="s">
        <v>245</v>
      </c>
      <c r="R193" s="0" t="b">
        <v>0</v>
      </c>
      <c r="S193" s="0" t="s">
        <v>4015</v>
      </c>
    </row>
    <row customHeight="1" ht="11.25">
      <c r="A194" s="0">
        <v>2655</v>
      </c>
      <c r="B194" s="0" t="s">
        <v>114</v>
      </c>
      <c r="C194" s="0">
        <v>31224454</v>
      </c>
      <c r="D194" s="0" t="s">
        <v>4523</v>
      </c>
      <c r="E194" s="0" t="s">
        <v>4524</v>
      </c>
      <c r="F194" s="0" t="s">
        <v>4525</v>
      </c>
      <c r="G194" s="0" t="s">
        <v>3362</v>
      </c>
      <c r="H194" s="0" t="s">
        <v>4526</v>
      </c>
      <c r="I194" s="0" t="s">
        <v>4527</v>
      </c>
      <c r="J194" s="0" t="s">
        <v>156</v>
      </c>
      <c r="K194" s="0" t="s">
        <v>4528</v>
      </c>
      <c r="L194" s="0" t="s">
        <v>4528</v>
      </c>
      <c r="M194" s="0" t="s">
        <v>4529</v>
      </c>
      <c r="N194" s="0" t="s">
        <v>4530</v>
      </c>
      <c r="O194" s="0" t="s">
        <v>4531</v>
      </c>
      <c r="P194" s="0" t="s">
        <v>179</v>
      </c>
      <c r="Q194" s="0" t="s">
        <v>245</v>
      </c>
      <c r="R194" s="0" t="b">
        <v>0</v>
      </c>
      <c r="S194" s="0" t="s">
        <v>4015</v>
      </c>
    </row>
    <row customHeight="1" ht="11.25">
      <c r="A195" s="0">
        <v>2655</v>
      </c>
      <c r="B195" s="0" t="s">
        <v>114</v>
      </c>
      <c r="C195" s="0">
        <v>27997410</v>
      </c>
      <c r="D195" s="0" t="s">
        <v>4532</v>
      </c>
      <c r="E195" s="0" t="s">
        <v>4533</v>
      </c>
      <c r="F195" s="0" t="s">
        <v>4534</v>
      </c>
      <c r="G195" s="0" t="s">
        <v>3534</v>
      </c>
      <c r="H195" s="0" t="s">
        <v>4535</v>
      </c>
      <c r="I195" s="0" t="s">
        <v>4536</v>
      </c>
      <c r="J195" s="0" t="s">
        <v>156</v>
      </c>
      <c r="K195" s="0" t="s">
        <v>4537</v>
      </c>
      <c r="L195" s="0" t="s">
        <v>4537</v>
      </c>
      <c r="M195" s="0" t="s">
        <v>4538</v>
      </c>
      <c r="N195" s="0" t="s">
        <v>4539</v>
      </c>
      <c r="O195" s="0" t="s">
        <v>4540</v>
      </c>
      <c r="P195" s="0" t="s">
        <v>3471</v>
      </c>
      <c r="Q195" s="0" t="s">
        <v>4541</v>
      </c>
      <c r="R195" s="0" t="b">
        <v>1</v>
      </c>
      <c r="S195" s="0" t="s">
        <v>4015</v>
      </c>
    </row>
    <row customHeight="1" ht="11.25">
      <c r="A196" s="0">
        <v>2655</v>
      </c>
      <c r="B196" s="0" t="s">
        <v>114</v>
      </c>
      <c r="C196" s="0">
        <v>26852692</v>
      </c>
      <c r="D196" s="0" t="s">
        <v>4542</v>
      </c>
      <c r="E196" s="0" t="s">
        <v>4543</v>
      </c>
      <c r="F196" s="0" t="s">
        <v>4544</v>
      </c>
      <c r="G196" s="0" t="s">
        <v>3730</v>
      </c>
      <c r="H196" s="0" t="s">
        <v>4545</v>
      </c>
      <c r="I196" s="0" t="s">
        <v>4546</v>
      </c>
      <c r="K196" s="0" t="s">
        <v>4547</v>
      </c>
      <c r="L196" s="0" t="s">
        <v>4547</v>
      </c>
      <c r="M196" s="0" t="s">
        <v>4538</v>
      </c>
      <c r="N196" s="0" t="s">
        <v>4539</v>
      </c>
      <c r="O196" s="0" t="s">
        <v>4548</v>
      </c>
      <c r="P196" s="0" t="s">
        <v>3471</v>
      </c>
      <c r="Q196" s="0" t="s">
        <v>245</v>
      </c>
      <c r="R196" s="0" t="b">
        <v>1</v>
      </c>
      <c r="S196" s="0" t="s">
        <v>4015</v>
      </c>
    </row>
    <row customHeight="1" ht="11.25">
      <c r="A197" s="0">
        <v>2655</v>
      </c>
      <c r="B197" s="0" t="s">
        <v>114</v>
      </c>
      <c r="C197" s="0">
        <v>31534676</v>
      </c>
      <c r="D197" s="0" t="s">
        <v>4549</v>
      </c>
      <c r="E197" s="0" t="s">
        <v>4550</v>
      </c>
      <c r="F197" s="0" t="s">
        <v>4551</v>
      </c>
      <c r="G197" s="0" t="s">
        <v>3506</v>
      </c>
      <c r="H197" s="0" t="s">
        <v>4552</v>
      </c>
      <c r="I197" s="0" t="s">
        <v>4553</v>
      </c>
      <c r="K197" s="0" t="s">
        <v>4554</v>
      </c>
      <c r="L197" s="0" t="s">
        <v>4555</v>
      </c>
      <c r="M197" s="0" t="s">
        <v>4556</v>
      </c>
      <c r="N197" s="0" t="s">
        <v>4557</v>
      </c>
      <c r="O197" s="0" t="s">
        <v>4558</v>
      </c>
      <c r="P197" s="0" t="s">
        <v>3471</v>
      </c>
      <c r="Q197" s="0" t="s">
        <v>245</v>
      </c>
      <c r="R197" s="0" t="b">
        <v>0</v>
      </c>
      <c r="S197" s="0" t="s">
        <v>4015</v>
      </c>
    </row>
    <row customHeight="1" ht="11.25">
      <c r="A198" s="0">
        <v>2655</v>
      </c>
      <c r="B198" s="0" t="s">
        <v>114</v>
      </c>
      <c r="C198" s="0">
        <v>26356899</v>
      </c>
      <c r="D198" s="0" t="s">
        <v>4559</v>
      </c>
      <c r="E198" s="0" t="s">
        <v>4560</v>
      </c>
      <c r="F198" s="0" t="s">
        <v>4561</v>
      </c>
      <c r="G198" s="0" t="s">
        <v>4562</v>
      </c>
      <c r="H198" s="0" t="s">
        <v>4563</v>
      </c>
      <c r="I198" s="0" t="s">
        <v>245</v>
      </c>
      <c r="J198" s="0" t="s">
        <v>156</v>
      </c>
      <c r="K198" s="0" t="s">
        <v>3818</v>
      </c>
      <c r="L198" s="0" t="s">
        <v>3818</v>
      </c>
      <c r="M198" s="0" t="s">
        <v>4564</v>
      </c>
      <c r="N198" s="0" t="s">
        <v>245</v>
      </c>
      <c r="O198" s="0" t="s">
        <v>3820</v>
      </c>
      <c r="P198" s="0" t="s">
        <v>3471</v>
      </c>
      <c r="Q198" s="0" t="s">
        <v>245</v>
      </c>
      <c r="R198" s="0" t="b">
        <v>0</v>
      </c>
      <c r="S198" s="0" t="s">
        <v>4015</v>
      </c>
    </row>
    <row customHeight="1" ht="11.25">
      <c r="A199" s="0">
        <v>2655</v>
      </c>
      <c r="B199" s="0" t="s">
        <v>114</v>
      </c>
      <c r="C199" s="0">
        <v>31224507</v>
      </c>
      <c r="D199" s="0" t="s">
        <v>4565</v>
      </c>
      <c r="E199" s="0" t="s">
        <v>4566</v>
      </c>
      <c r="F199" s="0" t="s">
        <v>4567</v>
      </c>
      <c r="G199" s="0" t="s">
        <v>4568</v>
      </c>
      <c r="H199" s="0" t="s">
        <v>4569</v>
      </c>
      <c r="I199" s="0" t="s">
        <v>4570</v>
      </c>
      <c r="J199" s="0" t="s">
        <v>156</v>
      </c>
      <c r="K199" s="0" t="s">
        <v>4571</v>
      </c>
      <c r="L199" s="0" t="s">
        <v>4571</v>
      </c>
      <c r="M199" s="0" t="s">
        <v>4572</v>
      </c>
      <c r="N199" s="0" t="s">
        <v>4573</v>
      </c>
      <c r="O199" s="0" t="s">
        <v>4531</v>
      </c>
      <c r="P199" s="0" t="s">
        <v>179</v>
      </c>
      <c r="Q199" s="0" t="s">
        <v>245</v>
      </c>
      <c r="R199" s="0" t="b">
        <v>0</v>
      </c>
      <c r="S199" s="0" t="s">
        <v>4015</v>
      </c>
    </row>
    <row customHeight="1" ht="11.25">
      <c r="A200" s="0">
        <v>2655</v>
      </c>
      <c r="B200" s="0" t="s">
        <v>114</v>
      </c>
      <c r="C200" s="0">
        <v>27968109</v>
      </c>
      <c r="D200" s="0" t="s">
        <v>4574</v>
      </c>
      <c r="E200" s="0" t="s">
        <v>4575</v>
      </c>
      <c r="F200" s="0" t="s">
        <v>4576</v>
      </c>
      <c r="G200" s="0" t="s">
        <v>3339</v>
      </c>
      <c r="H200" s="0" t="s">
        <v>4577</v>
      </c>
      <c r="I200" s="0" t="s">
        <v>4578</v>
      </c>
      <c r="J200" s="0" t="s">
        <v>156</v>
      </c>
      <c r="K200" s="0" t="s">
        <v>4579</v>
      </c>
      <c r="L200" s="0" t="s">
        <v>4579</v>
      </c>
      <c r="M200" s="0" t="s">
        <v>4580</v>
      </c>
      <c r="N200" s="0" t="s">
        <v>4581</v>
      </c>
      <c r="O200" s="0" t="s">
        <v>4582</v>
      </c>
      <c r="P200" s="0" t="s">
        <v>179</v>
      </c>
      <c r="Q200" s="0" t="s">
        <v>4583</v>
      </c>
      <c r="R200" s="0" t="b">
        <v>0</v>
      </c>
      <c r="S200" s="0" t="s">
        <v>4015</v>
      </c>
    </row>
    <row customHeight="1" ht="11.25">
      <c r="A201" s="0">
        <v>2655</v>
      </c>
      <c r="B201" s="0" t="s">
        <v>114</v>
      </c>
      <c r="C201" s="0">
        <v>26356932</v>
      </c>
      <c r="D201" s="0" t="s">
        <v>4584</v>
      </c>
      <c r="E201" s="0" t="s">
        <v>4585</v>
      </c>
      <c r="F201" s="0" t="s">
        <v>4586</v>
      </c>
      <c r="G201" s="0" t="s">
        <v>149</v>
      </c>
      <c r="H201" s="0" t="s">
        <v>4587</v>
      </c>
      <c r="I201" s="0" t="s">
        <v>4588</v>
      </c>
      <c r="J201" s="0" t="s">
        <v>156</v>
      </c>
      <c r="K201" s="0" t="s">
        <v>4589</v>
      </c>
      <c r="L201" s="0" t="s">
        <v>4589</v>
      </c>
      <c r="M201" s="0" t="s">
        <v>4590</v>
      </c>
      <c r="N201" s="0" t="s">
        <v>4591</v>
      </c>
      <c r="O201" s="0" t="s">
        <v>4592</v>
      </c>
      <c r="P201" s="0" t="s">
        <v>3471</v>
      </c>
      <c r="Q201" s="0" t="s">
        <v>245</v>
      </c>
      <c r="R201" s="0" t="b">
        <v>1</v>
      </c>
      <c r="S201" s="0" t="s">
        <v>4015</v>
      </c>
    </row>
    <row customHeight="1" ht="11.25">
      <c r="A202" s="0">
        <v>2655</v>
      </c>
      <c r="B202" s="0" t="s">
        <v>114</v>
      </c>
      <c r="C202" s="0">
        <v>28270293</v>
      </c>
      <c r="D202" s="0" t="s">
        <v>3794</v>
      </c>
      <c r="E202" s="0" t="s">
        <v>3795</v>
      </c>
      <c r="F202" s="0" t="s">
        <v>3796</v>
      </c>
      <c r="G202" s="0" t="s">
        <v>3563</v>
      </c>
      <c r="H202" s="0" t="s">
        <v>3797</v>
      </c>
      <c r="I202" s="0" t="s">
        <v>3798</v>
      </c>
      <c r="J202" s="0" t="s">
        <v>156</v>
      </c>
      <c r="K202" s="0" t="s">
        <v>3799</v>
      </c>
      <c r="L202" s="0" t="s">
        <v>3799</v>
      </c>
      <c r="M202" s="0" t="s">
        <v>3800</v>
      </c>
      <c r="N202" s="0" t="s">
        <v>3801</v>
      </c>
      <c r="O202" s="0" t="s">
        <v>3802</v>
      </c>
      <c r="P202" s="0" t="s">
        <v>179</v>
      </c>
      <c r="Q202" s="0" t="s">
        <v>245</v>
      </c>
      <c r="R202" s="0" t="b">
        <v>0</v>
      </c>
      <c r="S202" s="0" t="s">
        <v>4015</v>
      </c>
    </row>
    <row customHeight="1" ht="11.25">
      <c r="A203" s="0">
        <v>2655</v>
      </c>
      <c r="B203" s="0" t="s">
        <v>114</v>
      </c>
      <c r="C203" s="0">
        <v>28873362</v>
      </c>
      <c r="D203" s="0" t="s">
        <v>3803</v>
      </c>
      <c r="E203" s="0" t="s">
        <v>3804</v>
      </c>
      <c r="F203" s="0" t="s">
        <v>3805</v>
      </c>
      <c r="G203" s="0" t="s">
        <v>3339</v>
      </c>
      <c r="H203" s="0" t="s">
        <v>3806</v>
      </c>
      <c r="I203" s="0" t="s">
        <v>3807</v>
      </c>
      <c r="J203" s="0" t="s">
        <v>156</v>
      </c>
      <c r="K203" s="0" t="s">
        <v>3808</v>
      </c>
      <c r="L203" s="0" t="s">
        <v>3808</v>
      </c>
      <c r="M203" s="0" t="s">
        <v>3809</v>
      </c>
      <c r="N203" s="0" t="s">
        <v>3810</v>
      </c>
      <c r="O203" s="0" t="s">
        <v>3811</v>
      </c>
      <c r="P203" s="0" t="s">
        <v>3471</v>
      </c>
      <c r="Q203" s="0" t="s">
        <v>3812</v>
      </c>
      <c r="R203" s="0" t="b">
        <v>0</v>
      </c>
      <c r="S203" s="0" t="s">
        <v>4015</v>
      </c>
    </row>
    <row customHeight="1" ht="11.25">
      <c r="A204" s="0">
        <v>2655</v>
      </c>
      <c r="B204" s="0" t="s">
        <v>114</v>
      </c>
      <c r="C204" s="0">
        <v>31774768</v>
      </c>
      <c r="D204" s="0" t="s">
        <v>4593</v>
      </c>
      <c r="E204" s="0" t="s">
        <v>4594</v>
      </c>
      <c r="F204" s="0" t="s">
        <v>4595</v>
      </c>
      <c r="G204" s="0" t="s">
        <v>3582</v>
      </c>
      <c r="H204" s="0" t="s">
        <v>4596</v>
      </c>
      <c r="I204" s="0" t="s">
        <v>4597</v>
      </c>
      <c r="K204" s="0" t="s">
        <v>4598</v>
      </c>
      <c r="L204" s="0" t="s">
        <v>4598</v>
      </c>
      <c r="M204" s="0" t="s">
        <v>245</v>
      </c>
      <c r="N204" s="0" t="s">
        <v>4599</v>
      </c>
      <c r="O204" s="0" t="s">
        <v>4600</v>
      </c>
      <c r="P204" s="0" t="s">
        <v>3347</v>
      </c>
      <c r="Q204" s="0" t="s">
        <v>245</v>
      </c>
      <c r="R204" s="0" t="b">
        <v>1</v>
      </c>
      <c r="S204" s="0" t="s">
        <v>4015</v>
      </c>
    </row>
    <row customHeight="1" ht="11.25">
      <c r="A205" s="0">
        <v>2655</v>
      </c>
      <c r="B205" s="0" t="s">
        <v>114</v>
      </c>
      <c r="C205" s="0">
        <v>30992391</v>
      </c>
      <c r="D205" s="0" t="s">
        <v>3821</v>
      </c>
      <c r="E205" s="0" t="s">
        <v>3822</v>
      </c>
      <c r="F205" s="0" t="s">
        <v>3823</v>
      </c>
      <c r="G205" s="0" t="s">
        <v>3463</v>
      </c>
      <c r="H205" s="0" t="s">
        <v>3824</v>
      </c>
      <c r="I205" s="0" t="s">
        <v>3825</v>
      </c>
      <c r="J205" s="0" t="s">
        <v>156</v>
      </c>
      <c r="K205" s="0" t="s">
        <v>3826</v>
      </c>
      <c r="L205" s="0" t="s">
        <v>3827</v>
      </c>
      <c r="M205" s="0" t="s">
        <v>3828</v>
      </c>
      <c r="N205" s="0" t="s">
        <v>3829</v>
      </c>
      <c r="O205" s="0" t="s">
        <v>3830</v>
      </c>
      <c r="P205" s="0" t="s">
        <v>3471</v>
      </c>
      <c r="Q205" s="0" t="s">
        <v>3831</v>
      </c>
      <c r="R205" s="0" t="b">
        <v>0</v>
      </c>
      <c r="S205" s="0" t="s">
        <v>4015</v>
      </c>
    </row>
    <row customHeight="1" ht="11.25">
      <c r="A206" s="0">
        <v>2655</v>
      </c>
      <c r="B206" s="0" t="s">
        <v>114</v>
      </c>
      <c r="C206" s="0">
        <v>31491836</v>
      </c>
      <c r="D206" s="0" t="s">
        <v>4601</v>
      </c>
      <c r="E206" s="0" t="s">
        <v>4602</v>
      </c>
      <c r="F206" s="0" t="s">
        <v>4603</v>
      </c>
      <c r="G206" s="0" t="s">
        <v>3339</v>
      </c>
      <c r="H206" s="0" t="s">
        <v>4604</v>
      </c>
      <c r="I206" s="0" t="s">
        <v>4605</v>
      </c>
      <c r="J206" s="0" t="s">
        <v>156</v>
      </c>
      <c r="K206" s="0" t="s">
        <v>4606</v>
      </c>
      <c r="L206" s="0" t="s">
        <v>4607</v>
      </c>
      <c r="M206" s="0" t="s">
        <v>4608</v>
      </c>
      <c r="N206" s="0" t="s">
        <v>4609</v>
      </c>
      <c r="O206" s="0" t="s">
        <v>4610</v>
      </c>
      <c r="P206" s="0" t="s">
        <v>3434</v>
      </c>
      <c r="Q206" s="0" t="s">
        <v>245</v>
      </c>
      <c r="R206" s="0" t="b">
        <v>1</v>
      </c>
      <c r="S206" s="0" t="s">
        <v>4015</v>
      </c>
    </row>
    <row customHeight="1" ht="11.25">
      <c r="A207" s="0">
        <v>2655</v>
      </c>
      <c r="B207" s="0" t="s">
        <v>114</v>
      </c>
      <c r="C207" s="0">
        <v>26356974</v>
      </c>
      <c r="D207" s="0" t="s">
        <v>4611</v>
      </c>
      <c r="E207" s="0" t="s">
        <v>4612</v>
      </c>
      <c r="F207" s="0" t="s">
        <v>4613</v>
      </c>
      <c r="G207" s="0" t="s">
        <v>4614</v>
      </c>
      <c r="H207" s="0" t="s">
        <v>4615</v>
      </c>
      <c r="I207" s="0" t="s">
        <v>4616</v>
      </c>
      <c r="J207" s="0" t="s">
        <v>156</v>
      </c>
      <c r="K207" s="0" t="s">
        <v>4617</v>
      </c>
      <c r="L207" s="0" t="s">
        <v>4617</v>
      </c>
      <c r="M207" s="0" t="s">
        <v>4618</v>
      </c>
      <c r="N207" s="0" t="s">
        <v>4619</v>
      </c>
      <c r="O207" s="0" t="s">
        <v>4620</v>
      </c>
      <c r="P207" s="0" t="s">
        <v>3471</v>
      </c>
      <c r="Q207" s="0" t="s">
        <v>4621</v>
      </c>
      <c r="R207" s="0" t="b">
        <v>0</v>
      </c>
      <c r="S207" s="0" t="s">
        <v>4015</v>
      </c>
    </row>
    <row customHeight="1" ht="11.25">
      <c r="A208" s="0">
        <v>2655</v>
      </c>
      <c r="B208" s="0" t="s">
        <v>114</v>
      </c>
      <c r="C208" s="0">
        <v>31365968</v>
      </c>
      <c r="D208" s="0" t="s">
        <v>4622</v>
      </c>
      <c r="E208" s="0" t="s">
        <v>4623</v>
      </c>
      <c r="F208" s="0" t="s">
        <v>4624</v>
      </c>
      <c r="G208" s="0" t="s">
        <v>3534</v>
      </c>
      <c r="H208" s="0" t="s">
        <v>4625</v>
      </c>
      <c r="I208" s="0" t="s">
        <v>4626</v>
      </c>
      <c r="J208" s="0" t="s">
        <v>156</v>
      </c>
      <c r="K208" s="0" t="s">
        <v>4627</v>
      </c>
      <c r="L208" s="0" t="s">
        <v>4627</v>
      </c>
      <c r="M208" s="0" t="s">
        <v>4628</v>
      </c>
      <c r="N208" s="0" t="s">
        <v>4629</v>
      </c>
      <c r="O208" s="0" t="s">
        <v>4630</v>
      </c>
      <c r="P208" s="0" t="s">
        <v>179</v>
      </c>
      <c r="Q208" s="0" t="s">
        <v>245</v>
      </c>
      <c r="R208" s="0" t="b">
        <v>0</v>
      </c>
      <c r="S208" s="0" t="s">
        <v>4015</v>
      </c>
    </row>
    <row customHeight="1" ht="11.25">
      <c r="A209" s="0">
        <v>2655</v>
      </c>
      <c r="B209" s="0" t="s">
        <v>114</v>
      </c>
      <c r="C209" s="0">
        <v>31038861</v>
      </c>
      <c r="D209" s="0" t="s">
        <v>4631</v>
      </c>
      <c r="E209" s="0" t="s">
        <v>4632</v>
      </c>
      <c r="F209" s="0" t="s">
        <v>4633</v>
      </c>
      <c r="G209" s="0" t="s">
        <v>3362</v>
      </c>
      <c r="H209" s="0" t="s">
        <v>4634</v>
      </c>
      <c r="I209" s="0" t="s">
        <v>4635</v>
      </c>
      <c r="J209" s="0" t="s">
        <v>156</v>
      </c>
      <c r="K209" s="0" t="s">
        <v>4636</v>
      </c>
      <c r="L209" s="0" t="s">
        <v>4637</v>
      </c>
      <c r="M209" s="0" t="s">
        <v>4638</v>
      </c>
      <c r="N209" s="0" t="s">
        <v>4639</v>
      </c>
      <c r="O209" s="0" t="s">
        <v>4640</v>
      </c>
      <c r="P209" s="0" t="s">
        <v>179</v>
      </c>
      <c r="Q209" s="0" t="s">
        <v>245</v>
      </c>
      <c r="R209" s="0" t="b">
        <v>0</v>
      </c>
      <c r="S209" s="0" t="s">
        <v>4015</v>
      </c>
    </row>
    <row customHeight="1" ht="11.25">
      <c r="A210" s="0">
        <v>2655</v>
      </c>
      <c r="B210" s="0" t="s">
        <v>114</v>
      </c>
      <c r="C210" s="0">
        <v>26853991</v>
      </c>
      <c r="D210" s="0" t="s">
        <v>3832</v>
      </c>
      <c r="E210" s="0" t="s">
        <v>3833</v>
      </c>
      <c r="F210" s="0" t="s">
        <v>3834</v>
      </c>
      <c r="G210" s="0" t="s">
        <v>3835</v>
      </c>
      <c r="H210" s="0" t="s">
        <v>3836</v>
      </c>
      <c r="I210" s="0" t="s">
        <v>3837</v>
      </c>
      <c r="J210" s="0" t="s">
        <v>3327</v>
      </c>
      <c r="K210" s="0" t="s">
        <v>245</v>
      </c>
      <c r="L210" s="0" t="s">
        <v>3838</v>
      </c>
      <c r="M210" s="0" t="s">
        <v>3839</v>
      </c>
      <c r="N210" s="0" t="s">
        <v>3840</v>
      </c>
      <c r="O210" s="0" t="s">
        <v>3841</v>
      </c>
      <c r="P210" s="0" t="s">
        <v>3380</v>
      </c>
      <c r="Q210" s="0" t="s">
        <v>245</v>
      </c>
      <c r="R210" s="0" t="b">
        <v>0</v>
      </c>
      <c r="S210" s="0" t="s">
        <v>4015</v>
      </c>
    </row>
    <row customHeight="1" ht="11.25">
      <c r="A211" s="0">
        <v>2655</v>
      </c>
      <c r="B211" s="0" t="s">
        <v>114</v>
      </c>
      <c r="C211" s="0">
        <v>26519663</v>
      </c>
      <c r="D211" s="0" t="s">
        <v>4641</v>
      </c>
      <c r="E211" s="0" t="s">
        <v>4642</v>
      </c>
      <c r="F211" s="0" t="s">
        <v>4643</v>
      </c>
      <c r="G211" s="0" t="s">
        <v>3525</v>
      </c>
      <c r="H211" s="0" t="s">
        <v>4644</v>
      </c>
      <c r="I211" s="0" t="s">
        <v>4645</v>
      </c>
      <c r="J211" s="0" t="s">
        <v>3409</v>
      </c>
      <c r="K211" s="0" t="s">
        <v>4646</v>
      </c>
      <c r="L211" s="0" t="s">
        <v>4646</v>
      </c>
      <c r="M211" s="0" t="s">
        <v>4647</v>
      </c>
      <c r="N211" s="0" t="s">
        <v>4648</v>
      </c>
      <c r="O211" s="0" t="s">
        <v>4649</v>
      </c>
      <c r="P211" s="0" t="s">
        <v>3380</v>
      </c>
      <c r="Q211" s="0" t="s">
        <v>4650</v>
      </c>
      <c r="R211" s="0" t="b">
        <v>0</v>
      </c>
      <c r="S211" s="0" t="s">
        <v>4015</v>
      </c>
    </row>
    <row customHeight="1" ht="11.25">
      <c r="A212" s="0">
        <v>2655</v>
      </c>
      <c r="B212" s="0" t="s">
        <v>114</v>
      </c>
      <c r="C212" s="0">
        <v>30808511</v>
      </c>
      <c r="D212" s="0" t="s">
        <v>3842</v>
      </c>
      <c r="E212" s="0" t="s">
        <v>3842</v>
      </c>
      <c r="F212" s="0" t="s">
        <v>3843</v>
      </c>
      <c r="G212" s="0" t="s">
        <v>3844</v>
      </c>
      <c r="H212" s="0" t="s">
        <v>3845</v>
      </c>
      <c r="I212" s="0" t="s">
        <v>3846</v>
      </c>
      <c r="J212" s="0" t="s">
        <v>3847</v>
      </c>
      <c r="K212" s="0" t="s">
        <v>3848</v>
      </c>
      <c r="L212" s="0" t="s">
        <v>3849</v>
      </c>
      <c r="M212" s="0" t="s">
        <v>3850</v>
      </c>
      <c r="N212" s="0" t="s">
        <v>245</v>
      </c>
      <c r="O212" s="0" t="s">
        <v>3851</v>
      </c>
      <c r="P212" s="0" t="s">
        <v>3471</v>
      </c>
      <c r="Q212" s="0" t="s">
        <v>3852</v>
      </c>
      <c r="R212" s="0" t="b">
        <v>0</v>
      </c>
      <c r="S212" s="0" t="s">
        <v>4015</v>
      </c>
    </row>
    <row customHeight="1" ht="11.25">
      <c r="A213" s="0">
        <v>2655</v>
      </c>
      <c r="B213" s="0" t="s">
        <v>114</v>
      </c>
      <c r="C213" s="0">
        <v>30829962</v>
      </c>
      <c r="D213" s="0" t="s">
        <v>4651</v>
      </c>
      <c r="E213" s="0" t="s">
        <v>4652</v>
      </c>
      <c r="F213" s="0" t="s">
        <v>3843</v>
      </c>
      <c r="G213" s="0" t="s">
        <v>3339</v>
      </c>
      <c r="H213" s="0" t="s">
        <v>3845</v>
      </c>
      <c r="I213" s="0" t="s">
        <v>4653</v>
      </c>
      <c r="J213" s="0" t="s">
        <v>3847</v>
      </c>
      <c r="K213" s="0" t="s">
        <v>4654</v>
      </c>
      <c r="L213" s="0" t="s">
        <v>4654</v>
      </c>
      <c r="M213" s="0" t="s">
        <v>4655</v>
      </c>
      <c r="N213" s="0" t="s">
        <v>4656</v>
      </c>
      <c r="O213" s="0" t="s">
        <v>4657</v>
      </c>
      <c r="P213" s="0" t="s">
        <v>3434</v>
      </c>
      <c r="Q213" s="0" t="s">
        <v>245</v>
      </c>
      <c r="R213" s="0" t="b">
        <v>0</v>
      </c>
      <c r="S213" s="0" t="s">
        <v>4015</v>
      </c>
    </row>
    <row customHeight="1" ht="11.25">
      <c r="A214" s="0">
        <v>2655</v>
      </c>
      <c r="B214" s="0" t="s">
        <v>114</v>
      </c>
      <c r="C214" s="0">
        <v>28977129</v>
      </c>
      <c r="D214" s="0" t="s">
        <v>4658</v>
      </c>
      <c r="E214" s="0" t="s">
        <v>4659</v>
      </c>
      <c r="F214" s="0" t="s">
        <v>3843</v>
      </c>
      <c r="G214" s="0" t="s">
        <v>4660</v>
      </c>
      <c r="H214" s="0" t="s">
        <v>3845</v>
      </c>
      <c r="I214" s="0" t="s">
        <v>3860</v>
      </c>
      <c r="J214" s="0" t="s">
        <v>3847</v>
      </c>
      <c r="K214" s="0" t="s">
        <v>4661</v>
      </c>
      <c r="L214" s="0" t="s">
        <v>4662</v>
      </c>
      <c r="M214" s="0" t="s">
        <v>4663</v>
      </c>
      <c r="N214" s="0" t="s">
        <v>245</v>
      </c>
      <c r="O214" s="0" t="s">
        <v>4664</v>
      </c>
      <c r="P214" s="0" t="s">
        <v>3471</v>
      </c>
      <c r="Q214" s="0" t="s">
        <v>245</v>
      </c>
      <c r="R214" s="0" t="b">
        <v>0</v>
      </c>
      <c r="S214" s="0" t="s">
        <v>4015</v>
      </c>
    </row>
    <row customHeight="1" ht="11.25">
      <c r="A215" s="0">
        <v>2655</v>
      </c>
      <c r="B215" s="0" t="s">
        <v>114</v>
      </c>
      <c r="C215" s="0">
        <v>30914574</v>
      </c>
      <c r="D215" s="0" t="s">
        <v>4665</v>
      </c>
      <c r="E215" s="0" t="s">
        <v>4666</v>
      </c>
      <c r="F215" s="0" t="s">
        <v>4667</v>
      </c>
      <c r="G215" s="0" t="s">
        <v>4668</v>
      </c>
      <c r="H215" s="0" t="s">
        <v>4669</v>
      </c>
      <c r="I215" s="0" t="s">
        <v>4670</v>
      </c>
      <c r="J215" s="0" t="s">
        <v>4671</v>
      </c>
      <c r="K215" s="0" t="s">
        <v>245</v>
      </c>
      <c r="L215" s="0" t="s">
        <v>4672</v>
      </c>
      <c r="M215" s="0" t="s">
        <v>4673</v>
      </c>
      <c r="N215" s="0" t="s">
        <v>4674</v>
      </c>
      <c r="O215" s="0" t="s">
        <v>4675</v>
      </c>
      <c r="P215" s="0" t="s">
        <v>4676</v>
      </c>
      <c r="Q215" s="0" t="s">
        <v>245</v>
      </c>
      <c r="R215" s="0" t="b">
        <v>0</v>
      </c>
      <c r="S215" s="0" t="s">
        <v>4015</v>
      </c>
    </row>
    <row customHeight="1" ht="11.25">
      <c r="A216" s="0">
        <v>2655</v>
      </c>
      <c r="B216" s="0" t="s">
        <v>114</v>
      </c>
      <c r="C216" s="0">
        <v>26356915</v>
      </c>
      <c r="D216" s="0" t="s">
        <v>3879</v>
      </c>
      <c r="E216" s="0" t="s">
        <v>3880</v>
      </c>
      <c r="F216" s="0" t="s">
        <v>3881</v>
      </c>
      <c r="G216" s="0" t="s">
        <v>3552</v>
      </c>
      <c r="H216" s="0" t="s">
        <v>3882</v>
      </c>
      <c r="I216" s="0" t="s">
        <v>3883</v>
      </c>
      <c r="J216" s="0" t="s">
        <v>3327</v>
      </c>
      <c r="K216" s="0" t="s">
        <v>3884</v>
      </c>
      <c r="L216" s="0" t="s">
        <v>3884</v>
      </c>
      <c r="M216" s="0" t="s">
        <v>3885</v>
      </c>
      <c r="N216" s="0" t="s">
        <v>3886</v>
      </c>
      <c r="O216" s="0" t="s">
        <v>3887</v>
      </c>
      <c r="P216" s="0" t="s">
        <v>179</v>
      </c>
      <c r="Q216" s="0" t="s">
        <v>190</v>
      </c>
      <c r="R216" s="0" t="b">
        <v>0</v>
      </c>
      <c r="S216" s="0" t="s">
        <v>4677</v>
      </c>
    </row>
    <row customHeight="1" ht="11.25">
      <c r="A217" s="0">
        <v>2655</v>
      </c>
      <c r="B217" s="0" t="s">
        <v>114</v>
      </c>
      <c r="C217" s="0">
        <v>26357007</v>
      </c>
      <c r="D217" s="0" t="s">
        <v>4016</v>
      </c>
      <c r="E217" s="0" t="s">
        <v>4017</v>
      </c>
      <c r="F217" s="0" t="s">
        <v>4018</v>
      </c>
      <c r="G217" s="0" t="s">
        <v>3582</v>
      </c>
      <c r="H217" s="0" t="s">
        <v>4019</v>
      </c>
      <c r="I217" s="0" t="s">
        <v>4020</v>
      </c>
      <c r="J217" s="0" t="s">
        <v>3327</v>
      </c>
      <c r="K217" s="0" t="s">
        <v>4021</v>
      </c>
      <c r="L217" s="0" t="s">
        <v>4021</v>
      </c>
      <c r="M217" s="0" t="s">
        <v>4022</v>
      </c>
      <c r="N217" s="0" t="s">
        <v>4023</v>
      </c>
      <c r="O217" s="0" t="s">
        <v>4024</v>
      </c>
      <c r="P217" s="0" t="s">
        <v>179</v>
      </c>
      <c r="Q217" s="0" t="s">
        <v>4025</v>
      </c>
      <c r="R217" s="0" t="b">
        <v>0</v>
      </c>
      <c r="S217" s="0" t="s">
        <v>4677</v>
      </c>
    </row>
    <row customHeight="1" ht="11.25">
      <c r="A218" s="0">
        <v>2655</v>
      </c>
      <c r="B218" s="0" t="s">
        <v>114</v>
      </c>
      <c r="C218" s="0">
        <v>27804990</v>
      </c>
      <c r="D218" s="0" t="s">
        <v>3336</v>
      </c>
      <c r="E218" s="0" t="s">
        <v>3337</v>
      </c>
      <c r="F218" s="0" t="s">
        <v>3338</v>
      </c>
      <c r="G218" s="0" t="s">
        <v>3339</v>
      </c>
      <c r="H218" s="0" t="s">
        <v>3340</v>
      </c>
      <c r="I218" s="0" t="s">
        <v>3341</v>
      </c>
      <c r="J218" s="0" t="s">
        <v>3327</v>
      </c>
      <c r="K218" s="0" t="s">
        <v>3342</v>
      </c>
      <c r="L218" s="0" t="s">
        <v>3343</v>
      </c>
      <c r="M218" s="0" t="s">
        <v>3344</v>
      </c>
      <c r="N218" s="0" t="s">
        <v>3345</v>
      </c>
      <c r="O218" s="0" t="s">
        <v>3346</v>
      </c>
      <c r="P218" s="0" t="s">
        <v>3347</v>
      </c>
      <c r="Q218" s="0" t="s">
        <v>3348</v>
      </c>
      <c r="R218" s="0" t="b">
        <v>0</v>
      </c>
      <c r="S218" s="0" t="s">
        <v>4677</v>
      </c>
    </row>
    <row customHeight="1" ht="11.25">
      <c r="A219" s="0">
        <v>2655</v>
      </c>
      <c r="B219" s="0" t="s">
        <v>114</v>
      </c>
      <c r="C219" s="0">
        <v>28048296</v>
      </c>
      <c r="D219" s="0" t="s">
        <v>4026</v>
      </c>
      <c r="E219" s="0" t="s">
        <v>4027</v>
      </c>
      <c r="F219" s="0" t="s">
        <v>4028</v>
      </c>
      <c r="G219" s="0" t="s">
        <v>3339</v>
      </c>
      <c r="H219" s="0" t="s">
        <v>4029</v>
      </c>
      <c r="I219" s="0" t="s">
        <v>4030</v>
      </c>
      <c r="J219" s="0" t="s">
        <v>3327</v>
      </c>
      <c r="K219" s="0" t="s">
        <v>4031</v>
      </c>
      <c r="L219" s="0" t="s">
        <v>3343</v>
      </c>
      <c r="M219" s="0" t="s">
        <v>4032</v>
      </c>
      <c r="N219" s="0" t="s">
        <v>4033</v>
      </c>
      <c r="O219" s="0" t="s">
        <v>4034</v>
      </c>
      <c r="P219" s="0" t="s">
        <v>3347</v>
      </c>
      <c r="Q219" s="0" t="s">
        <v>3348</v>
      </c>
      <c r="R219" s="0" t="b">
        <v>0</v>
      </c>
      <c r="S219" s="0" t="s">
        <v>4677</v>
      </c>
    </row>
    <row customHeight="1" ht="11.25">
      <c r="A220" s="0">
        <v>2655</v>
      </c>
      <c r="B220" s="0" t="s">
        <v>114</v>
      </c>
      <c r="C220" s="0">
        <v>27804826</v>
      </c>
      <c r="D220" s="0" t="s">
        <v>3349</v>
      </c>
      <c r="E220" s="0" t="s">
        <v>3350</v>
      </c>
      <c r="F220" s="0" t="s">
        <v>3351</v>
      </c>
      <c r="G220" s="0" t="s">
        <v>3352</v>
      </c>
      <c r="H220" s="0" t="s">
        <v>3353</v>
      </c>
      <c r="I220" s="0" t="s">
        <v>3354</v>
      </c>
      <c r="J220" s="0" t="s">
        <v>3327</v>
      </c>
      <c r="K220" s="0" t="s">
        <v>3355</v>
      </c>
      <c r="L220" s="0" t="s">
        <v>3343</v>
      </c>
      <c r="M220" s="0" t="s">
        <v>245</v>
      </c>
      <c r="N220" s="0" t="s">
        <v>3356</v>
      </c>
      <c r="O220" s="0" t="s">
        <v>3357</v>
      </c>
      <c r="P220" s="0" t="s">
        <v>3347</v>
      </c>
      <c r="Q220" s="0" t="s">
        <v>3358</v>
      </c>
      <c r="R220" s="0" t="b">
        <v>0</v>
      </c>
      <c r="S220" s="0" t="s">
        <v>4677</v>
      </c>
    </row>
    <row customHeight="1" ht="11.25">
      <c r="A221" s="0">
        <v>2655</v>
      </c>
      <c r="B221" s="0" t="s">
        <v>114</v>
      </c>
      <c r="C221" s="0">
        <v>27804896</v>
      </c>
      <c r="D221" s="0" t="s">
        <v>4035</v>
      </c>
      <c r="E221" s="0" t="s">
        <v>4036</v>
      </c>
      <c r="F221" s="0" t="s">
        <v>4037</v>
      </c>
      <c r="G221" s="0" t="s">
        <v>3339</v>
      </c>
      <c r="H221" s="0" t="s">
        <v>4038</v>
      </c>
      <c r="I221" s="0" t="s">
        <v>4039</v>
      </c>
      <c r="J221" s="0" t="s">
        <v>3327</v>
      </c>
      <c r="K221" s="0" t="s">
        <v>4040</v>
      </c>
      <c r="L221" s="0" t="s">
        <v>3343</v>
      </c>
      <c r="M221" s="0" t="s">
        <v>4041</v>
      </c>
      <c r="N221" s="0" t="s">
        <v>4042</v>
      </c>
      <c r="O221" s="0" t="s">
        <v>4043</v>
      </c>
      <c r="P221" s="0" t="s">
        <v>3347</v>
      </c>
      <c r="Q221" s="0" t="s">
        <v>3348</v>
      </c>
      <c r="R221" s="0" t="b">
        <v>0</v>
      </c>
      <c r="S221" s="0" t="s">
        <v>4677</v>
      </c>
    </row>
    <row customHeight="1" ht="11.25">
      <c r="A222" s="0">
        <v>2655</v>
      </c>
      <c r="B222" s="0" t="s">
        <v>114</v>
      </c>
      <c r="C222" s="0">
        <v>27820148</v>
      </c>
      <c r="D222" s="0" t="s">
        <v>3902</v>
      </c>
      <c r="E222" s="0" t="s">
        <v>3903</v>
      </c>
      <c r="F222" s="0" t="s">
        <v>3904</v>
      </c>
      <c r="G222" s="0" t="s">
        <v>149</v>
      </c>
      <c r="H222" s="0" t="s">
        <v>3905</v>
      </c>
      <c r="I222" s="0" t="s">
        <v>3906</v>
      </c>
      <c r="J222" s="0" t="s">
        <v>3327</v>
      </c>
      <c r="K222" s="0" t="s">
        <v>3907</v>
      </c>
      <c r="L222" s="0" t="s">
        <v>3907</v>
      </c>
      <c r="M222" s="0" t="s">
        <v>3908</v>
      </c>
      <c r="N222" s="0" t="s">
        <v>3909</v>
      </c>
      <c r="O222" s="0" t="s">
        <v>3910</v>
      </c>
      <c r="P222" s="0" t="s">
        <v>3911</v>
      </c>
      <c r="Q222" s="0" t="s">
        <v>3912</v>
      </c>
      <c r="R222" s="0" t="b">
        <v>0</v>
      </c>
      <c r="S222" s="0" t="s">
        <v>4677</v>
      </c>
    </row>
    <row customHeight="1" ht="11.25">
      <c r="A223" s="0">
        <v>2655</v>
      </c>
      <c r="B223" s="0" t="s">
        <v>114</v>
      </c>
      <c r="C223" s="0">
        <v>26356905</v>
      </c>
      <c r="D223" s="0" t="s">
        <v>3382</v>
      </c>
      <c r="E223" s="0" t="s">
        <v>3383</v>
      </c>
      <c r="F223" s="0" t="s">
        <v>3384</v>
      </c>
      <c r="G223" s="0" t="s">
        <v>3339</v>
      </c>
      <c r="H223" s="0" t="s">
        <v>3385</v>
      </c>
      <c r="I223" s="0" t="s">
        <v>3386</v>
      </c>
      <c r="J223" s="0" t="s">
        <v>3327</v>
      </c>
      <c r="K223" s="0" t="s">
        <v>3387</v>
      </c>
      <c r="L223" s="0" t="s">
        <v>3387</v>
      </c>
      <c r="M223" s="0" t="s">
        <v>3388</v>
      </c>
      <c r="N223" s="0" t="s">
        <v>3389</v>
      </c>
      <c r="O223" s="0" t="s">
        <v>3390</v>
      </c>
      <c r="P223" s="0" t="s">
        <v>3391</v>
      </c>
      <c r="Q223" s="0" t="s">
        <v>3392</v>
      </c>
      <c r="R223" s="0" t="b">
        <v>0</v>
      </c>
      <c r="S223" s="0" t="s">
        <v>4677</v>
      </c>
    </row>
    <row customHeight="1" ht="11.25">
      <c r="A224" s="0">
        <v>2655</v>
      </c>
      <c r="B224" s="0" t="s">
        <v>114</v>
      </c>
      <c r="C224" s="0">
        <v>30808700</v>
      </c>
      <c r="D224" s="0" t="s">
        <v>3483</v>
      </c>
      <c r="E224" s="0" t="s">
        <v>3484</v>
      </c>
      <c r="F224" s="0" t="s">
        <v>3485</v>
      </c>
      <c r="G224" s="0" t="s">
        <v>3417</v>
      </c>
      <c r="H224" s="0" t="s">
        <v>3486</v>
      </c>
      <c r="I224" s="0" t="s">
        <v>3487</v>
      </c>
      <c r="J224" s="0" t="s">
        <v>3478</v>
      </c>
      <c r="K224" s="0" t="s">
        <v>3488</v>
      </c>
      <c r="L224" s="0" t="s">
        <v>3489</v>
      </c>
      <c r="M224" s="0" t="s">
        <v>3490</v>
      </c>
      <c r="N224" s="0" t="s">
        <v>3491</v>
      </c>
      <c r="O224" s="0" t="s">
        <v>3492</v>
      </c>
      <c r="P224" s="0" t="s">
        <v>3434</v>
      </c>
      <c r="Q224" s="0" t="s">
        <v>245</v>
      </c>
      <c r="R224" s="0" t="b">
        <v>1</v>
      </c>
      <c r="S224" s="0" t="s">
        <v>4677</v>
      </c>
    </row>
    <row customHeight="1" ht="11.25">
      <c r="A225" s="0">
        <v>2655</v>
      </c>
      <c r="B225" s="0" t="s">
        <v>114</v>
      </c>
      <c r="C225" s="0">
        <v>31343443</v>
      </c>
      <c r="D225" s="0" t="s">
        <v>3514</v>
      </c>
      <c r="E225" s="0" t="s">
        <v>3515</v>
      </c>
      <c r="F225" s="0" t="s">
        <v>3516</v>
      </c>
      <c r="G225" s="0" t="s">
        <v>3417</v>
      </c>
      <c r="H225" s="0" t="s">
        <v>3517</v>
      </c>
      <c r="I225" s="0" t="s">
        <v>3518</v>
      </c>
      <c r="J225" s="0" t="s">
        <v>3466</v>
      </c>
      <c r="K225" s="0" t="s">
        <v>3519</v>
      </c>
      <c r="L225" s="0" t="s">
        <v>3519</v>
      </c>
      <c r="N225" s="0" t="s">
        <v>3520</v>
      </c>
      <c r="O225" s="0" t="s">
        <v>3521</v>
      </c>
      <c r="P225" s="0" t="s">
        <v>3434</v>
      </c>
      <c r="R225" s="0" t="b">
        <v>0</v>
      </c>
      <c r="S225" s="0" t="s">
        <v>4677</v>
      </c>
    </row>
    <row customHeight="1" ht="11.25">
      <c r="A226" s="0">
        <v>2655</v>
      </c>
      <c r="B226" s="0" t="s">
        <v>114</v>
      </c>
      <c r="C226" s="0">
        <v>31087651</v>
      </c>
      <c r="D226" s="0" t="s">
        <v>3531</v>
      </c>
      <c r="E226" s="0" t="s">
        <v>3532</v>
      </c>
      <c r="F226" s="0" t="s">
        <v>3533</v>
      </c>
      <c r="G226" s="0" t="s">
        <v>3534</v>
      </c>
      <c r="H226" s="0" t="s">
        <v>3535</v>
      </c>
      <c r="I226" s="0" t="s">
        <v>3536</v>
      </c>
      <c r="J226" s="0" t="s">
        <v>3466</v>
      </c>
      <c r="K226" s="0" t="s">
        <v>3537</v>
      </c>
      <c r="L226" s="0" t="s">
        <v>3537</v>
      </c>
      <c r="M226" s="0" t="s">
        <v>3538</v>
      </c>
      <c r="N226" s="0" t="s">
        <v>3539</v>
      </c>
      <c r="O226" s="0" t="s">
        <v>3540</v>
      </c>
      <c r="R226" s="0" t="b">
        <v>0</v>
      </c>
      <c r="S226" s="0" t="s">
        <v>4677</v>
      </c>
    </row>
    <row customHeight="1" ht="11.25">
      <c r="A227" s="0">
        <v>2655</v>
      </c>
      <c r="B227" s="0" t="s">
        <v>114</v>
      </c>
      <c r="C227" s="0">
        <v>31085797</v>
      </c>
      <c r="D227" s="0" t="s">
        <v>4116</v>
      </c>
      <c r="E227" s="0" t="s">
        <v>4117</v>
      </c>
      <c r="F227" s="0" t="s">
        <v>4118</v>
      </c>
      <c r="G227" s="0" t="s">
        <v>3352</v>
      </c>
      <c r="H227" s="0" t="s">
        <v>4119</v>
      </c>
      <c r="I227" s="0" t="s">
        <v>4120</v>
      </c>
      <c r="J227" s="0" t="s">
        <v>3478</v>
      </c>
      <c r="K227" s="0" t="s">
        <v>4121</v>
      </c>
      <c r="L227" s="0" t="s">
        <v>4122</v>
      </c>
      <c r="M227" s="0" t="s">
        <v>4123</v>
      </c>
      <c r="N227" s="0" t="s">
        <v>4124</v>
      </c>
      <c r="O227" s="0" t="s">
        <v>4125</v>
      </c>
      <c r="P227" s="0" t="s">
        <v>3471</v>
      </c>
      <c r="Q227" s="0" t="s">
        <v>245</v>
      </c>
      <c r="R227" s="0" t="b">
        <v>1</v>
      </c>
      <c r="S227" s="0" t="s">
        <v>4677</v>
      </c>
    </row>
    <row customHeight="1" ht="11.25">
      <c r="A228" s="0">
        <v>2655</v>
      </c>
      <c r="B228" s="0" t="s">
        <v>114</v>
      </c>
      <c r="C228" s="0">
        <v>31187282</v>
      </c>
      <c r="D228" s="0" t="s">
        <v>4126</v>
      </c>
      <c r="E228" s="0" t="s">
        <v>4127</v>
      </c>
      <c r="F228" s="0" t="s">
        <v>4128</v>
      </c>
      <c r="G228" s="0" t="s">
        <v>3362</v>
      </c>
      <c r="H228" s="0" t="s">
        <v>4129</v>
      </c>
      <c r="I228" s="0" t="s">
        <v>4130</v>
      </c>
      <c r="J228" s="0" t="s">
        <v>3478</v>
      </c>
      <c r="K228" s="0" t="s">
        <v>4131</v>
      </c>
      <c r="L228" s="0" t="s">
        <v>4131</v>
      </c>
      <c r="M228" s="0" t="s">
        <v>245</v>
      </c>
      <c r="N228" s="0" t="s">
        <v>4132</v>
      </c>
      <c r="O228" s="0" t="s">
        <v>4133</v>
      </c>
      <c r="P228" s="0" t="s">
        <v>3471</v>
      </c>
      <c r="Q228" s="0" t="s">
        <v>245</v>
      </c>
      <c r="R228" s="0" t="b">
        <v>0</v>
      </c>
      <c r="S228" s="0" t="s">
        <v>4677</v>
      </c>
    </row>
    <row customHeight="1" ht="11.25">
      <c r="A229" s="0">
        <v>2655</v>
      </c>
      <c r="B229" s="0" t="s">
        <v>114</v>
      </c>
      <c r="C229" s="0">
        <v>31284269</v>
      </c>
      <c r="D229" s="0" t="s">
        <v>3589</v>
      </c>
      <c r="E229" s="0" t="s">
        <v>3590</v>
      </c>
      <c r="F229" s="0" t="s">
        <v>3591</v>
      </c>
      <c r="G229" s="0" t="s">
        <v>3534</v>
      </c>
      <c r="H229" s="0" t="s">
        <v>3592</v>
      </c>
      <c r="I229" s="0" t="s">
        <v>3593</v>
      </c>
      <c r="J229" s="0" t="s">
        <v>3478</v>
      </c>
      <c r="K229" s="0" t="s">
        <v>3594</v>
      </c>
      <c r="L229" s="0" t="s">
        <v>3595</v>
      </c>
      <c r="M229" s="0" t="s">
        <v>3596</v>
      </c>
      <c r="N229" s="0" t="s">
        <v>3597</v>
      </c>
      <c r="O229" s="0" t="s">
        <v>3598</v>
      </c>
      <c r="P229" s="0" t="s">
        <v>245</v>
      </c>
      <c r="Q229" s="0" t="s">
        <v>245</v>
      </c>
      <c r="R229" s="0" t="b">
        <v>0</v>
      </c>
      <c r="S229" s="0" t="s">
        <v>4677</v>
      </c>
    </row>
    <row customHeight="1" ht="11.25">
      <c r="A230" s="0">
        <v>2655</v>
      </c>
      <c r="B230" s="0" t="s">
        <v>114</v>
      </c>
      <c r="C230" s="0">
        <v>31159389</v>
      </c>
      <c r="D230" s="0" t="s">
        <v>4134</v>
      </c>
      <c r="E230" s="0" t="s">
        <v>4135</v>
      </c>
      <c r="F230" s="0" t="s">
        <v>4136</v>
      </c>
      <c r="G230" s="0" t="s">
        <v>3506</v>
      </c>
      <c r="H230" s="0" t="s">
        <v>4137</v>
      </c>
      <c r="I230" s="0" t="s">
        <v>4138</v>
      </c>
      <c r="J230" s="0" t="s">
        <v>3478</v>
      </c>
      <c r="K230" s="0" t="s">
        <v>4139</v>
      </c>
      <c r="L230" s="0" t="s">
        <v>4140</v>
      </c>
      <c r="M230" s="0" t="s">
        <v>4141</v>
      </c>
      <c r="N230" s="0" t="s">
        <v>4142</v>
      </c>
      <c r="O230" s="0" t="s">
        <v>4143</v>
      </c>
      <c r="P230" s="0" t="s">
        <v>3471</v>
      </c>
      <c r="Q230" s="0" t="s">
        <v>245</v>
      </c>
      <c r="R230" s="0" t="b">
        <v>0</v>
      </c>
      <c r="S230" s="0" t="s">
        <v>4677</v>
      </c>
    </row>
    <row customHeight="1" ht="11.25">
      <c r="A231" s="0">
        <v>2655</v>
      </c>
      <c r="B231" s="0" t="s">
        <v>114</v>
      </c>
      <c r="C231" s="0">
        <v>30843704</v>
      </c>
      <c r="D231" s="0" t="s">
        <v>4152</v>
      </c>
      <c r="E231" s="0" t="s">
        <v>4153</v>
      </c>
      <c r="F231" s="0" t="s">
        <v>4154</v>
      </c>
      <c r="G231" s="0" t="s">
        <v>3339</v>
      </c>
      <c r="H231" s="0" t="s">
        <v>4155</v>
      </c>
      <c r="I231" s="0" t="s">
        <v>4156</v>
      </c>
      <c r="J231" s="0" t="s">
        <v>156</v>
      </c>
      <c r="K231" s="0" t="s">
        <v>4157</v>
      </c>
      <c r="L231" s="0" t="s">
        <v>4158</v>
      </c>
      <c r="M231" s="0" t="s">
        <v>245</v>
      </c>
      <c r="N231" s="0" t="s">
        <v>4159</v>
      </c>
      <c r="O231" s="0" t="s">
        <v>4160</v>
      </c>
      <c r="P231" s="0" t="s">
        <v>179</v>
      </c>
      <c r="Q231" s="0" t="s">
        <v>245</v>
      </c>
      <c r="R231" s="0" t="b">
        <v>0</v>
      </c>
      <c r="S231" s="0" t="s">
        <v>4677</v>
      </c>
    </row>
    <row customHeight="1" ht="11.25">
      <c r="A232" s="0">
        <v>2655</v>
      </c>
      <c r="B232" s="0" t="s">
        <v>114</v>
      </c>
      <c r="C232" s="0">
        <v>28869965</v>
      </c>
      <c r="D232" s="0" t="s">
        <v>3643</v>
      </c>
      <c r="E232" s="0" t="s">
        <v>3644</v>
      </c>
      <c r="F232" s="0" t="s">
        <v>3645</v>
      </c>
      <c r="G232" s="0" t="s">
        <v>3463</v>
      </c>
      <c r="H232" s="0" t="s">
        <v>3646</v>
      </c>
      <c r="I232" s="0" t="s">
        <v>245</v>
      </c>
      <c r="J232" s="0" t="s">
        <v>156</v>
      </c>
      <c r="K232" s="0" t="s">
        <v>3647</v>
      </c>
      <c r="L232" s="0" t="s">
        <v>3647</v>
      </c>
      <c r="M232" s="0" t="s">
        <v>3648</v>
      </c>
      <c r="N232" s="0" t="s">
        <v>3649</v>
      </c>
      <c r="O232" s="0" t="s">
        <v>3650</v>
      </c>
      <c r="P232" s="0" t="s">
        <v>179</v>
      </c>
      <c r="Q232" s="0" t="s">
        <v>3651</v>
      </c>
      <c r="R232" s="0" t="b">
        <v>0</v>
      </c>
      <c r="S232" s="0" t="s">
        <v>4677</v>
      </c>
    </row>
    <row customHeight="1" ht="11.25">
      <c r="A233" s="0">
        <v>2655</v>
      </c>
      <c r="B233" s="0" t="s">
        <v>114</v>
      </c>
      <c r="C233" s="0">
        <v>31245446</v>
      </c>
      <c r="D233" s="0" t="s">
        <v>4181</v>
      </c>
      <c r="E233" s="0" t="s">
        <v>4182</v>
      </c>
      <c r="F233" s="0" t="s">
        <v>4183</v>
      </c>
      <c r="G233" s="0" t="s">
        <v>3664</v>
      </c>
      <c r="H233" s="0" t="s">
        <v>4184</v>
      </c>
      <c r="I233" s="0" t="s">
        <v>4185</v>
      </c>
      <c r="J233" s="0" t="s">
        <v>156</v>
      </c>
      <c r="K233" s="0" t="s">
        <v>245</v>
      </c>
      <c r="L233" s="0" t="s">
        <v>4186</v>
      </c>
      <c r="M233" s="0" t="s">
        <v>245</v>
      </c>
      <c r="N233" s="0" t="s">
        <v>4187</v>
      </c>
      <c r="O233" s="0" t="s">
        <v>4188</v>
      </c>
      <c r="P233" s="0" t="s">
        <v>3471</v>
      </c>
      <c r="Q233" s="0" t="s">
        <v>245</v>
      </c>
      <c r="R233" s="0" t="b">
        <v>0</v>
      </c>
      <c r="S233" s="0" t="s">
        <v>4677</v>
      </c>
    </row>
    <row customHeight="1" ht="11.25">
      <c r="A234" s="0">
        <v>2655</v>
      </c>
      <c r="B234" s="0" t="s">
        <v>114</v>
      </c>
      <c r="C234" s="0">
        <v>30950350</v>
      </c>
      <c r="D234" s="0" t="s">
        <v>4208</v>
      </c>
      <c r="E234" s="0" t="s">
        <v>4209</v>
      </c>
      <c r="F234" s="0" t="s">
        <v>4210</v>
      </c>
      <c r="G234" s="0" t="s">
        <v>3582</v>
      </c>
      <c r="H234" s="0" t="s">
        <v>4211</v>
      </c>
      <c r="I234" s="0" t="s">
        <v>4212</v>
      </c>
      <c r="J234" s="0" t="s">
        <v>156</v>
      </c>
      <c r="K234" s="0" t="s">
        <v>4213</v>
      </c>
      <c r="L234" s="0" t="s">
        <v>4213</v>
      </c>
      <c r="M234" s="0" t="s">
        <v>4214</v>
      </c>
      <c r="N234" s="0" t="s">
        <v>4215</v>
      </c>
      <c r="O234" s="0" t="s">
        <v>4216</v>
      </c>
      <c r="P234" s="0" t="s">
        <v>3471</v>
      </c>
      <c r="Q234" s="0" t="s">
        <v>190</v>
      </c>
      <c r="R234" s="0" t="b">
        <v>0</v>
      </c>
      <c r="S234" s="0" t="s">
        <v>4677</v>
      </c>
    </row>
    <row customHeight="1" ht="11.25">
      <c r="A235" s="0">
        <v>2655</v>
      </c>
      <c r="B235" s="0" t="s">
        <v>114</v>
      </c>
      <c r="C235" s="0">
        <v>31527562</v>
      </c>
      <c r="D235" s="0" t="s">
        <v>4217</v>
      </c>
      <c r="E235" s="0" t="s">
        <v>4218</v>
      </c>
      <c r="F235" s="0" t="s">
        <v>4219</v>
      </c>
      <c r="G235" s="0" t="s">
        <v>4220</v>
      </c>
      <c r="H235" s="0" t="s">
        <v>4221</v>
      </c>
      <c r="I235" s="0" t="s">
        <v>4222</v>
      </c>
      <c r="K235" s="0" t="s">
        <v>4223</v>
      </c>
      <c r="L235" s="0" t="s">
        <v>4224</v>
      </c>
      <c r="M235" s="0" t="s">
        <v>245</v>
      </c>
      <c r="N235" s="0" t="s">
        <v>245</v>
      </c>
      <c r="O235" s="0" t="s">
        <v>4225</v>
      </c>
      <c r="P235" s="0" t="s">
        <v>245</v>
      </c>
      <c r="Q235" s="0" t="s">
        <v>245</v>
      </c>
      <c r="R235" s="0" t="b">
        <v>0</v>
      </c>
      <c r="S235" s="0" t="s">
        <v>4677</v>
      </c>
    </row>
    <row customHeight="1" ht="11.25">
      <c r="A236" s="0">
        <v>2655</v>
      </c>
      <c r="B236" s="0" t="s">
        <v>114</v>
      </c>
      <c r="C236" s="0">
        <v>31874557</v>
      </c>
      <c r="D236" s="0" t="s">
        <v>4226</v>
      </c>
      <c r="E236" s="0" t="s">
        <v>4227</v>
      </c>
      <c r="F236" s="0" t="s">
        <v>4228</v>
      </c>
      <c r="G236" s="0" t="s">
        <v>3582</v>
      </c>
      <c r="H236" s="0" t="s">
        <v>4229</v>
      </c>
      <c r="I236" s="0" t="s">
        <v>4230</v>
      </c>
      <c r="K236" s="0" t="s">
        <v>4231</v>
      </c>
      <c r="L236" s="0" t="s">
        <v>4231</v>
      </c>
      <c r="M236" s="0" t="s">
        <v>4232</v>
      </c>
      <c r="N236" s="0" t="s">
        <v>4233</v>
      </c>
      <c r="O236" s="0" t="s">
        <v>4234</v>
      </c>
      <c r="P236" s="0" t="s">
        <v>179</v>
      </c>
      <c r="Q236" s="0" t="s">
        <v>245</v>
      </c>
      <c r="R236" s="0" t="b">
        <v>1</v>
      </c>
      <c r="S236" s="0" t="s">
        <v>4677</v>
      </c>
    </row>
    <row customHeight="1" ht="11.25">
      <c r="A237" s="0">
        <v>2655</v>
      </c>
      <c r="B237" s="0" t="s">
        <v>114</v>
      </c>
      <c r="C237" s="0">
        <v>31656254</v>
      </c>
      <c r="D237" s="0" t="s">
        <v>3681</v>
      </c>
      <c r="E237" s="0" t="s">
        <v>3682</v>
      </c>
      <c r="F237" s="0" t="s">
        <v>3683</v>
      </c>
      <c r="G237" s="0" t="s">
        <v>3684</v>
      </c>
      <c r="H237" s="0" t="s">
        <v>3685</v>
      </c>
      <c r="I237" s="0" t="s">
        <v>3686</v>
      </c>
      <c r="K237" s="0" t="s">
        <v>3687</v>
      </c>
      <c r="L237" s="0" t="s">
        <v>3688</v>
      </c>
      <c r="M237" s="0" t="s">
        <v>3689</v>
      </c>
      <c r="N237" s="0" t="s">
        <v>3690</v>
      </c>
      <c r="O237" s="0" t="s">
        <v>3691</v>
      </c>
      <c r="P237" s="0" t="s">
        <v>3471</v>
      </c>
      <c r="Q237" s="0" t="s">
        <v>3692</v>
      </c>
      <c r="R237" s="0" t="b">
        <v>0</v>
      </c>
      <c r="S237" s="0" t="s">
        <v>4677</v>
      </c>
    </row>
    <row customHeight="1" ht="11.25">
      <c r="A238" s="0">
        <v>2655</v>
      </c>
      <c r="B238" s="0" t="s">
        <v>114</v>
      </c>
      <c r="C238" s="0">
        <v>31519209</v>
      </c>
      <c r="D238" s="0" t="s">
        <v>4299</v>
      </c>
      <c r="E238" s="0" t="s">
        <v>4300</v>
      </c>
      <c r="F238" s="0" t="s">
        <v>4301</v>
      </c>
      <c r="G238" s="0" t="s">
        <v>149</v>
      </c>
      <c r="H238" s="0" t="s">
        <v>4302</v>
      </c>
      <c r="I238" s="0" t="s">
        <v>4303</v>
      </c>
      <c r="J238" s="0" t="s">
        <v>156</v>
      </c>
      <c r="K238" s="0" t="s">
        <v>4304</v>
      </c>
      <c r="L238" s="0" t="s">
        <v>4305</v>
      </c>
      <c r="M238" s="0" t="s">
        <v>4306</v>
      </c>
      <c r="N238" s="0" t="s">
        <v>4307</v>
      </c>
      <c r="O238" s="0" t="s">
        <v>4308</v>
      </c>
      <c r="P238" s="0" t="s">
        <v>3347</v>
      </c>
      <c r="Q238" s="0" t="s">
        <v>245</v>
      </c>
      <c r="R238" s="0" t="b">
        <v>0</v>
      </c>
      <c r="S238" s="0" t="s">
        <v>4677</v>
      </c>
    </row>
    <row customHeight="1" ht="11.25">
      <c r="A239" s="0">
        <v>2655</v>
      </c>
      <c r="B239" s="0" t="s">
        <v>114</v>
      </c>
      <c r="C239" s="0">
        <v>31424033</v>
      </c>
      <c r="D239" s="0" t="s">
        <v>3693</v>
      </c>
      <c r="E239" s="0" t="s">
        <v>3694</v>
      </c>
      <c r="F239" s="0" t="s">
        <v>3695</v>
      </c>
      <c r="G239" s="0" t="s">
        <v>3696</v>
      </c>
      <c r="H239" s="0" t="s">
        <v>3697</v>
      </c>
      <c r="I239" s="0" t="s">
        <v>245</v>
      </c>
      <c r="J239" s="0" t="s">
        <v>156</v>
      </c>
      <c r="K239" s="0" t="s">
        <v>245</v>
      </c>
      <c r="L239" s="0" t="s">
        <v>245</v>
      </c>
      <c r="M239" s="0" t="s">
        <v>245</v>
      </c>
      <c r="N239" s="0" t="s">
        <v>245</v>
      </c>
      <c r="O239" s="0" t="s">
        <v>245</v>
      </c>
      <c r="P239" s="0" t="s">
        <v>245</v>
      </c>
      <c r="Q239" s="0" t="s">
        <v>245</v>
      </c>
      <c r="R239" s="0" t="b">
        <v>0</v>
      </c>
      <c r="S239" s="0" t="s">
        <v>4677</v>
      </c>
    </row>
    <row customHeight="1" ht="11.25">
      <c r="A240" s="0">
        <v>2655</v>
      </c>
      <c r="B240" s="0" t="s">
        <v>114</v>
      </c>
      <c r="C240" s="0">
        <v>28151808</v>
      </c>
      <c r="D240" s="0" t="s">
        <v>3707</v>
      </c>
      <c r="E240" s="0" t="s">
        <v>3708</v>
      </c>
      <c r="F240" s="0" t="s">
        <v>3709</v>
      </c>
      <c r="G240" s="0" t="s">
        <v>3417</v>
      </c>
      <c r="H240" s="0" t="s">
        <v>3710</v>
      </c>
      <c r="I240" s="0" t="s">
        <v>3711</v>
      </c>
      <c r="J240" s="0" t="s">
        <v>156</v>
      </c>
      <c r="K240" s="0" t="s">
        <v>3712</v>
      </c>
      <c r="L240" s="0" t="s">
        <v>3713</v>
      </c>
      <c r="M240" s="0" t="s">
        <v>3714</v>
      </c>
      <c r="N240" s="0" t="s">
        <v>3715</v>
      </c>
      <c r="O240" s="0" t="s">
        <v>3716</v>
      </c>
      <c r="P240" s="0" t="s">
        <v>179</v>
      </c>
      <c r="Q240" s="0" t="s">
        <v>245</v>
      </c>
      <c r="R240" s="0" t="b">
        <v>1</v>
      </c>
      <c r="S240" s="0" t="s">
        <v>4677</v>
      </c>
    </row>
    <row customHeight="1" ht="11.25">
      <c r="A241" s="0">
        <v>2655</v>
      </c>
      <c r="B241" s="0" t="s">
        <v>114</v>
      </c>
      <c r="C241" s="0">
        <v>30433806</v>
      </c>
      <c r="D241" s="0" t="s">
        <v>4356</v>
      </c>
      <c r="E241" s="0" t="s">
        <v>4357</v>
      </c>
      <c r="F241" s="0" t="s">
        <v>4358</v>
      </c>
      <c r="G241" s="0" t="s">
        <v>3552</v>
      </c>
      <c r="H241" s="0" t="s">
        <v>4359</v>
      </c>
      <c r="I241" s="0" t="s">
        <v>4360</v>
      </c>
      <c r="J241" s="0" t="s">
        <v>156</v>
      </c>
      <c r="K241" s="0" t="s">
        <v>4361</v>
      </c>
      <c r="L241" s="0" t="s">
        <v>4361</v>
      </c>
      <c r="M241" s="0" t="s">
        <v>4362</v>
      </c>
      <c r="N241" s="0" t="s">
        <v>4363</v>
      </c>
      <c r="O241" s="0" t="s">
        <v>4364</v>
      </c>
      <c r="P241" s="0" t="s">
        <v>3471</v>
      </c>
      <c r="Q241" s="0" t="s">
        <v>190</v>
      </c>
      <c r="R241" s="0" t="b">
        <v>0</v>
      </c>
      <c r="S241" s="0" t="s">
        <v>4677</v>
      </c>
    </row>
    <row customHeight="1" ht="11.25">
      <c r="A242" s="0">
        <v>2655</v>
      </c>
      <c r="B242" s="0" t="s">
        <v>114</v>
      </c>
      <c r="C242" s="0">
        <v>31743966</v>
      </c>
      <c r="D242" s="0" t="s">
        <v>4365</v>
      </c>
      <c r="E242" s="0" t="s">
        <v>4366</v>
      </c>
      <c r="F242" s="0" t="s">
        <v>4367</v>
      </c>
      <c r="G242" s="0" t="s">
        <v>3339</v>
      </c>
      <c r="H242" s="0" t="s">
        <v>4368</v>
      </c>
      <c r="I242" s="0" t="s">
        <v>4369</v>
      </c>
      <c r="K242" s="0" t="s">
        <v>4370</v>
      </c>
      <c r="L242" s="0" t="s">
        <v>4370</v>
      </c>
      <c r="M242" s="0" t="s">
        <v>4371</v>
      </c>
      <c r="N242" s="0" t="s">
        <v>4372</v>
      </c>
      <c r="O242" s="0" t="s">
        <v>4373</v>
      </c>
      <c r="P242" s="0" t="s">
        <v>179</v>
      </c>
      <c r="Q242" s="0" t="s">
        <v>4374</v>
      </c>
      <c r="R242" s="0" t="b">
        <v>1</v>
      </c>
      <c r="S242" s="0" t="s">
        <v>4677</v>
      </c>
    </row>
    <row customHeight="1" ht="11.25">
      <c r="A243" s="0">
        <v>2655</v>
      </c>
      <c r="B243" s="0" t="s">
        <v>114</v>
      </c>
      <c r="C243" s="0">
        <v>30874454</v>
      </c>
      <c r="D243" s="0" t="s">
        <v>4375</v>
      </c>
      <c r="E243" s="0" t="s">
        <v>4376</v>
      </c>
      <c r="F243" s="0" t="s">
        <v>4377</v>
      </c>
      <c r="G243" s="0" t="s">
        <v>3696</v>
      </c>
      <c r="H243" s="0" t="s">
        <v>4378</v>
      </c>
      <c r="I243" s="0" t="s">
        <v>4379</v>
      </c>
      <c r="J243" s="0" t="s">
        <v>156</v>
      </c>
      <c r="K243" s="0" t="s">
        <v>4380</v>
      </c>
      <c r="L243" s="0" t="s">
        <v>4381</v>
      </c>
      <c r="M243" s="0" t="s">
        <v>4382</v>
      </c>
      <c r="N243" s="0" t="s">
        <v>4344</v>
      </c>
      <c r="O243" s="0" t="s">
        <v>4383</v>
      </c>
      <c r="P243" s="0" t="s">
        <v>3434</v>
      </c>
      <c r="Q243" s="0" t="s">
        <v>4384</v>
      </c>
      <c r="R243" s="0" t="b">
        <v>0</v>
      </c>
      <c r="S243" s="0" t="s">
        <v>4677</v>
      </c>
    </row>
    <row customHeight="1" ht="11.25">
      <c r="A244" s="0">
        <v>2655</v>
      </c>
      <c r="B244" s="0" t="s">
        <v>114</v>
      </c>
      <c r="C244" s="0">
        <v>26356987</v>
      </c>
      <c r="D244" s="0" t="s">
        <v>3737</v>
      </c>
      <c r="E244" s="0" t="s">
        <v>3738</v>
      </c>
      <c r="F244" s="0" t="s">
        <v>3739</v>
      </c>
      <c r="G244" s="0" t="s">
        <v>3740</v>
      </c>
      <c r="H244" s="0" t="s">
        <v>3741</v>
      </c>
      <c r="I244" s="0" t="s">
        <v>3742</v>
      </c>
      <c r="J244" s="0" t="s">
        <v>156</v>
      </c>
      <c r="K244" s="0" t="s">
        <v>3743</v>
      </c>
      <c r="L244" s="0" t="s">
        <v>3743</v>
      </c>
      <c r="M244" s="0" t="s">
        <v>3744</v>
      </c>
      <c r="N244" s="0" t="s">
        <v>3745</v>
      </c>
      <c r="O244" s="0" t="s">
        <v>3746</v>
      </c>
      <c r="P244" s="0" t="s">
        <v>3434</v>
      </c>
      <c r="Q244" s="0" t="s">
        <v>3747</v>
      </c>
      <c r="R244" s="0" t="b">
        <v>0</v>
      </c>
      <c r="S244" s="0" t="s">
        <v>4677</v>
      </c>
    </row>
    <row customHeight="1" ht="11.25">
      <c r="A245" s="0">
        <v>2655</v>
      </c>
      <c r="B245" s="0" t="s">
        <v>114</v>
      </c>
      <c r="C245" s="0">
        <v>30856223</v>
      </c>
      <c r="D245" s="0" t="s">
        <v>4385</v>
      </c>
      <c r="E245" s="0" t="s">
        <v>4386</v>
      </c>
      <c r="F245" s="0" t="s">
        <v>4387</v>
      </c>
      <c r="G245" s="0" t="s">
        <v>3362</v>
      </c>
      <c r="H245" s="0" t="s">
        <v>4388</v>
      </c>
      <c r="I245" s="0" t="s">
        <v>4389</v>
      </c>
      <c r="J245" s="0" t="s">
        <v>156</v>
      </c>
      <c r="K245" s="0" t="s">
        <v>4390</v>
      </c>
      <c r="L245" s="0" t="s">
        <v>4390</v>
      </c>
      <c r="M245" s="0" t="s">
        <v>4391</v>
      </c>
      <c r="N245" s="0" t="s">
        <v>4392</v>
      </c>
      <c r="O245" s="0" t="s">
        <v>4393</v>
      </c>
      <c r="P245" s="0" t="s">
        <v>179</v>
      </c>
      <c r="Q245" s="0" t="s">
        <v>4394</v>
      </c>
      <c r="R245" s="0" t="b">
        <v>0</v>
      </c>
      <c r="S245" s="0" t="s">
        <v>4677</v>
      </c>
    </row>
    <row customHeight="1" ht="11.25">
      <c r="A246" s="0">
        <v>2655</v>
      </c>
      <c r="B246" s="0" t="s">
        <v>114</v>
      </c>
      <c r="C246" s="0">
        <v>27566835</v>
      </c>
      <c r="D246" s="0" t="s">
        <v>4414</v>
      </c>
      <c r="E246" s="0" t="s">
        <v>4415</v>
      </c>
      <c r="F246" s="0" t="s">
        <v>4416</v>
      </c>
      <c r="G246" s="0" t="s">
        <v>3563</v>
      </c>
      <c r="H246" s="0" t="s">
        <v>4417</v>
      </c>
      <c r="I246" s="0" t="s">
        <v>4418</v>
      </c>
      <c r="J246" s="0" t="s">
        <v>156</v>
      </c>
      <c r="K246" s="0" t="s">
        <v>4419</v>
      </c>
      <c r="L246" s="0" t="s">
        <v>4419</v>
      </c>
      <c r="M246" s="0" t="s">
        <v>4420</v>
      </c>
      <c r="N246" s="0" t="s">
        <v>3577</v>
      </c>
      <c r="O246" s="0" t="s">
        <v>4421</v>
      </c>
      <c r="P246" s="0" t="s">
        <v>3471</v>
      </c>
      <c r="Q246" s="0" t="s">
        <v>190</v>
      </c>
      <c r="R246" s="0" t="b">
        <v>0</v>
      </c>
      <c r="S246" s="0" t="s">
        <v>4677</v>
      </c>
    </row>
    <row customHeight="1" ht="11.25">
      <c r="A247" s="0">
        <v>2655</v>
      </c>
      <c r="B247" s="0" t="s">
        <v>114</v>
      </c>
      <c r="C247" s="0">
        <v>31229342</v>
      </c>
      <c r="D247" s="0" t="s">
        <v>4422</v>
      </c>
      <c r="E247" s="0" t="s">
        <v>4423</v>
      </c>
      <c r="F247" s="0" t="s">
        <v>4424</v>
      </c>
      <c r="G247" s="0" t="s">
        <v>3582</v>
      </c>
      <c r="H247" s="0" t="s">
        <v>4425</v>
      </c>
      <c r="I247" s="0" t="s">
        <v>4426</v>
      </c>
      <c r="J247" s="0" t="s">
        <v>156</v>
      </c>
      <c r="K247" s="0" t="s">
        <v>4427</v>
      </c>
      <c r="L247" s="0" t="s">
        <v>4427</v>
      </c>
      <c r="M247" s="0" t="s">
        <v>4428</v>
      </c>
      <c r="N247" s="0" t="s">
        <v>4429</v>
      </c>
      <c r="O247" s="0" t="s">
        <v>4430</v>
      </c>
      <c r="P247" s="0" t="s">
        <v>179</v>
      </c>
      <c r="Q247" s="0" t="s">
        <v>245</v>
      </c>
      <c r="R247" s="0" t="b">
        <v>0</v>
      </c>
      <c r="S247" s="0" t="s">
        <v>4677</v>
      </c>
    </row>
    <row customHeight="1" ht="11.25">
      <c r="A248" s="0">
        <v>2655</v>
      </c>
      <c r="B248" s="0" t="s">
        <v>114</v>
      </c>
      <c r="C248" s="0">
        <v>31690080</v>
      </c>
      <c r="D248" s="0" t="s">
        <v>4431</v>
      </c>
      <c r="E248" s="0" t="s">
        <v>4432</v>
      </c>
      <c r="F248" s="0" t="s">
        <v>4433</v>
      </c>
      <c r="G248" s="0" t="s">
        <v>3582</v>
      </c>
      <c r="H248" s="0" t="s">
        <v>4434</v>
      </c>
      <c r="I248" s="0" t="s">
        <v>4435</v>
      </c>
      <c r="K248" s="0" t="s">
        <v>4436</v>
      </c>
      <c r="L248" s="0" t="s">
        <v>4436</v>
      </c>
      <c r="M248" s="0" t="s">
        <v>4437</v>
      </c>
      <c r="N248" s="0" t="s">
        <v>4438</v>
      </c>
      <c r="O248" s="0" t="s">
        <v>4439</v>
      </c>
      <c r="P248" s="0" t="s">
        <v>3471</v>
      </c>
      <c r="Q248" s="0" t="s">
        <v>245</v>
      </c>
      <c r="R248" s="0" t="b">
        <v>1</v>
      </c>
      <c r="S248" s="0" t="s">
        <v>4677</v>
      </c>
    </row>
    <row customHeight="1" ht="11.25">
      <c r="A249" s="0">
        <v>2655</v>
      </c>
      <c r="B249" s="0" t="s">
        <v>114</v>
      </c>
      <c r="C249" s="0">
        <v>30856253</v>
      </c>
      <c r="D249" s="0" t="s">
        <v>4457</v>
      </c>
      <c r="E249" s="0" t="s">
        <v>4458</v>
      </c>
      <c r="F249" s="0" t="s">
        <v>4459</v>
      </c>
      <c r="G249" s="0" t="s">
        <v>3417</v>
      </c>
      <c r="H249" s="0" t="s">
        <v>4460</v>
      </c>
      <c r="I249" s="0" t="s">
        <v>4461</v>
      </c>
      <c r="J249" s="0" t="s">
        <v>156</v>
      </c>
      <c r="K249" s="0" t="s">
        <v>4462</v>
      </c>
      <c r="L249" s="0" t="s">
        <v>4462</v>
      </c>
      <c r="M249" s="0" t="s">
        <v>4463</v>
      </c>
      <c r="N249" s="0" t="s">
        <v>4464</v>
      </c>
      <c r="O249" s="0" t="s">
        <v>4465</v>
      </c>
      <c r="P249" s="0" t="s">
        <v>3471</v>
      </c>
      <c r="Q249" s="0" t="s">
        <v>245</v>
      </c>
      <c r="R249" s="0" t="b">
        <v>0</v>
      </c>
      <c r="S249" s="0" t="s">
        <v>4677</v>
      </c>
    </row>
    <row customHeight="1" ht="11.25">
      <c r="A250" s="0">
        <v>2655</v>
      </c>
      <c r="B250" s="0" t="s">
        <v>114</v>
      </c>
      <c r="C250" s="0">
        <v>33000042</v>
      </c>
      <c r="D250" s="0" t="s">
        <v>4466</v>
      </c>
      <c r="E250" s="0" t="s">
        <v>4467</v>
      </c>
      <c r="F250" s="0" t="s">
        <v>4468</v>
      </c>
      <c r="G250" s="0" t="s">
        <v>3664</v>
      </c>
      <c r="H250" s="0" t="s">
        <v>4469</v>
      </c>
      <c r="I250" s="0" t="s">
        <v>4470</v>
      </c>
      <c r="K250" s="0" t="s">
        <v>4471</v>
      </c>
      <c r="L250" s="0" t="s">
        <v>4472</v>
      </c>
      <c r="M250" s="0" t="s">
        <v>4473</v>
      </c>
      <c r="N250" s="0" t="s">
        <v>4474</v>
      </c>
      <c r="O250" s="0" t="s">
        <v>3671</v>
      </c>
      <c r="P250" s="0" t="s">
        <v>4475</v>
      </c>
      <c r="Q250" s="0" t="s">
        <v>245</v>
      </c>
      <c r="R250" s="0" t="b">
        <v>0</v>
      </c>
      <c r="S250" s="0" t="s">
        <v>4677</v>
      </c>
    </row>
    <row customHeight="1" ht="11.25">
      <c r="A251" s="0">
        <v>2655</v>
      </c>
      <c r="B251" s="0" t="s">
        <v>114</v>
      </c>
      <c r="C251" s="0">
        <v>26517842</v>
      </c>
      <c r="D251" s="0" t="s">
        <v>4476</v>
      </c>
      <c r="E251" s="0" t="s">
        <v>4477</v>
      </c>
      <c r="F251" s="0" t="s">
        <v>4478</v>
      </c>
      <c r="G251" s="0" t="s">
        <v>3563</v>
      </c>
      <c r="H251" s="0" t="s">
        <v>4479</v>
      </c>
      <c r="I251" s="0" t="s">
        <v>4480</v>
      </c>
      <c r="J251" s="0" t="s">
        <v>156</v>
      </c>
      <c r="K251" s="0" t="s">
        <v>4481</v>
      </c>
      <c r="L251" s="0" t="s">
        <v>3343</v>
      </c>
      <c r="M251" s="0" t="s">
        <v>4482</v>
      </c>
      <c r="N251" s="0" t="s">
        <v>4483</v>
      </c>
      <c r="O251" s="0" t="s">
        <v>4484</v>
      </c>
      <c r="P251" s="0" t="s">
        <v>179</v>
      </c>
      <c r="Q251" s="0" t="s">
        <v>245</v>
      </c>
      <c r="R251" s="0" t="b">
        <v>0</v>
      </c>
      <c r="S251" s="0" t="s">
        <v>4677</v>
      </c>
    </row>
    <row customHeight="1" ht="11.25">
      <c r="A252" s="0">
        <v>2655</v>
      </c>
      <c r="B252" s="0" t="s">
        <v>114</v>
      </c>
      <c r="C252" s="0">
        <v>31473621</v>
      </c>
      <c r="D252" s="0" t="s">
        <v>4485</v>
      </c>
      <c r="E252" s="0" t="s">
        <v>4486</v>
      </c>
      <c r="F252" s="0" t="s">
        <v>4487</v>
      </c>
      <c r="G252" s="0" t="s">
        <v>3506</v>
      </c>
      <c r="H252" s="0" t="s">
        <v>4488</v>
      </c>
      <c r="I252" s="0" t="s">
        <v>4489</v>
      </c>
      <c r="J252" s="0" t="s">
        <v>156</v>
      </c>
      <c r="K252" s="0" t="s">
        <v>4490</v>
      </c>
      <c r="L252" s="0" t="s">
        <v>4490</v>
      </c>
      <c r="M252" s="0" t="s">
        <v>4491</v>
      </c>
      <c r="N252" s="0" t="s">
        <v>4492</v>
      </c>
      <c r="O252" s="0" t="s">
        <v>4493</v>
      </c>
      <c r="P252" s="0" t="s">
        <v>179</v>
      </c>
      <c r="Q252" s="0" t="s">
        <v>4494</v>
      </c>
      <c r="R252" s="0" t="b">
        <v>0</v>
      </c>
      <c r="S252" s="0" t="s">
        <v>4677</v>
      </c>
    </row>
    <row customHeight="1" ht="11.25">
      <c r="A253" s="0">
        <v>2655</v>
      </c>
      <c r="B253" s="0" t="s">
        <v>114</v>
      </c>
      <c r="C253" s="0">
        <v>31004851</v>
      </c>
      <c r="D253" s="0" t="s">
        <v>4495</v>
      </c>
      <c r="E253" s="0" t="s">
        <v>4496</v>
      </c>
      <c r="F253" s="0" t="s">
        <v>4497</v>
      </c>
      <c r="G253" s="0" t="s">
        <v>3362</v>
      </c>
      <c r="H253" s="0" t="s">
        <v>4498</v>
      </c>
      <c r="I253" s="0" t="s">
        <v>4499</v>
      </c>
      <c r="J253" s="0" t="s">
        <v>156</v>
      </c>
      <c r="K253" s="0" t="s">
        <v>4500</v>
      </c>
      <c r="L253" s="0" t="s">
        <v>4501</v>
      </c>
      <c r="M253" s="0" t="s">
        <v>4502</v>
      </c>
      <c r="N253" s="0" t="s">
        <v>4503</v>
      </c>
      <c r="O253" s="0" t="s">
        <v>4504</v>
      </c>
      <c r="P253" s="0" t="s">
        <v>245</v>
      </c>
      <c r="Q253" s="0" t="s">
        <v>245</v>
      </c>
      <c r="R253" s="0" t="b">
        <v>0</v>
      </c>
      <c r="S253" s="0" t="s">
        <v>4677</v>
      </c>
    </row>
    <row customHeight="1" ht="11.25">
      <c r="A254" s="0">
        <v>2655</v>
      </c>
      <c r="B254" s="0" t="s">
        <v>114</v>
      </c>
      <c r="C254" s="0">
        <v>26356976</v>
      </c>
      <c r="D254" s="0" t="s">
        <v>4505</v>
      </c>
      <c r="E254" s="0" t="s">
        <v>4506</v>
      </c>
      <c r="F254" s="0" t="s">
        <v>4507</v>
      </c>
      <c r="G254" s="0" t="s">
        <v>3730</v>
      </c>
      <c r="H254" s="0" t="s">
        <v>4508</v>
      </c>
      <c r="I254" s="0" t="s">
        <v>4509</v>
      </c>
      <c r="J254" s="0" t="s">
        <v>156</v>
      </c>
      <c r="K254" s="0" t="s">
        <v>4510</v>
      </c>
      <c r="L254" s="0" t="s">
        <v>4510</v>
      </c>
      <c r="M254" s="0" t="s">
        <v>4511</v>
      </c>
      <c r="N254" s="0" t="s">
        <v>4512</v>
      </c>
      <c r="O254" s="0" t="s">
        <v>4513</v>
      </c>
      <c r="P254" s="0" t="s">
        <v>3380</v>
      </c>
      <c r="Q254" s="0" t="s">
        <v>4514</v>
      </c>
      <c r="R254" s="0" t="b">
        <v>0</v>
      </c>
      <c r="S254" s="0" t="s">
        <v>4677</v>
      </c>
    </row>
    <row customHeight="1" ht="11.25">
      <c r="A255" s="0">
        <v>2655</v>
      </c>
      <c r="B255" s="0" t="s">
        <v>114</v>
      </c>
      <c r="C255" s="0">
        <v>28274482</v>
      </c>
      <c r="D255" s="0" t="s">
        <v>4515</v>
      </c>
      <c r="E255" s="0" t="s">
        <v>4516</v>
      </c>
      <c r="F255" s="0" t="s">
        <v>4517</v>
      </c>
      <c r="G255" s="0" t="s">
        <v>3417</v>
      </c>
      <c r="H255" s="0" t="s">
        <v>4518</v>
      </c>
      <c r="I255" s="0" t="s">
        <v>4519</v>
      </c>
      <c r="J255" s="0" t="s">
        <v>156</v>
      </c>
      <c r="K255" s="0" t="s">
        <v>4520</v>
      </c>
      <c r="L255" s="0" t="s">
        <v>4521</v>
      </c>
      <c r="M255" s="0" t="s">
        <v>3714</v>
      </c>
      <c r="N255" s="0" t="s">
        <v>4522</v>
      </c>
      <c r="O255" s="0" t="s">
        <v>3716</v>
      </c>
      <c r="P255" s="0" t="s">
        <v>3471</v>
      </c>
      <c r="Q255" s="0" t="s">
        <v>245</v>
      </c>
      <c r="R255" s="0" t="b">
        <v>0</v>
      </c>
      <c r="S255" s="0" t="s">
        <v>4677</v>
      </c>
    </row>
    <row customHeight="1" ht="11.25">
      <c r="A256" s="0">
        <v>2655</v>
      </c>
      <c r="B256" s="0" t="s">
        <v>114</v>
      </c>
      <c r="C256" s="0">
        <v>31224454</v>
      </c>
      <c r="D256" s="0" t="s">
        <v>4523</v>
      </c>
      <c r="E256" s="0" t="s">
        <v>4524</v>
      </c>
      <c r="F256" s="0" t="s">
        <v>4525</v>
      </c>
      <c r="G256" s="0" t="s">
        <v>3362</v>
      </c>
      <c r="H256" s="0" t="s">
        <v>4526</v>
      </c>
      <c r="I256" s="0" t="s">
        <v>4527</v>
      </c>
      <c r="J256" s="0" t="s">
        <v>156</v>
      </c>
      <c r="K256" s="0" t="s">
        <v>4528</v>
      </c>
      <c r="L256" s="0" t="s">
        <v>4528</v>
      </c>
      <c r="M256" s="0" t="s">
        <v>4529</v>
      </c>
      <c r="N256" s="0" t="s">
        <v>4530</v>
      </c>
      <c r="O256" s="0" t="s">
        <v>4531</v>
      </c>
      <c r="P256" s="0" t="s">
        <v>179</v>
      </c>
      <c r="Q256" s="0" t="s">
        <v>245</v>
      </c>
      <c r="R256" s="0" t="b">
        <v>0</v>
      </c>
      <c r="S256" s="0" t="s">
        <v>4677</v>
      </c>
    </row>
    <row customHeight="1" ht="11.25">
      <c r="A257" s="0">
        <v>2655</v>
      </c>
      <c r="B257" s="0" t="s">
        <v>114</v>
      </c>
      <c r="C257" s="0">
        <v>31534676</v>
      </c>
      <c r="D257" s="0" t="s">
        <v>4549</v>
      </c>
      <c r="E257" s="0" t="s">
        <v>4550</v>
      </c>
      <c r="F257" s="0" t="s">
        <v>4551</v>
      </c>
      <c r="G257" s="0" t="s">
        <v>3506</v>
      </c>
      <c r="H257" s="0" t="s">
        <v>4552</v>
      </c>
      <c r="I257" s="0" t="s">
        <v>4553</v>
      </c>
      <c r="K257" s="0" t="s">
        <v>4554</v>
      </c>
      <c r="L257" s="0" t="s">
        <v>4555</v>
      </c>
      <c r="M257" s="0" t="s">
        <v>4556</v>
      </c>
      <c r="N257" s="0" t="s">
        <v>4557</v>
      </c>
      <c r="O257" s="0" t="s">
        <v>4558</v>
      </c>
      <c r="P257" s="0" t="s">
        <v>3471</v>
      </c>
      <c r="Q257" s="0" t="s">
        <v>245</v>
      </c>
      <c r="R257" s="0" t="b">
        <v>0</v>
      </c>
      <c r="S257" s="0" t="s">
        <v>4677</v>
      </c>
    </row>
    <row customHeight="1" ht="11.25">
      <c r="A258" s="0">
        <v>2655</v>
      </c>
      <c r="B258" s="0" t="s">
        <v>114</v>
      </c>
      <c r="C258" s="0">
        <v>26356899</v>
      </c>
      <c r="D258" s="0" t="s">
        <v>4559</v>
      </c>
      <c r="E258" s="0" t="s">
        <v>4560</v>
      </c>
      <c r="F258" s="0" t="s">
        <v>4561</v>
      </c>
      <c r="G258" s="0" t="s">
        <v>4562</v>
      </c>
      <c r="H258" s="0" t="s">
        <v>4563</v>
      </c>
      <c r="I258" s="0" t="s">
        <v>245</v>
      </c>
      <c r="J258" s="0" t="s">
        <v>156</v>
      </c>
      <c r="K258" s="0" t="s">
        <v>3818</v>
      </c>
      <c r="L258" s="0" t="s">
        <v>3818</v>
      </c>
      <c r="M258" s="0" t="s">
        <v>4564</v>
      </c>
      <c r="N258" s="0" t="s">
        <v>245</v>
      </c>
      <c r="O258" s="0" t="s">
        <v>3820</v>
      </c>
      <c r="P258" s="0" t="s">
        <v>3471</v>
      </c>
      <c r="Q258" s="0" t="s">
        <v>245</v>
      </c>
      <c r="R258" s="0" t="b">
        <v>0</v>
      </c>
      <c r="S258" s="0" t="s">
        <v>4677</v>
      </c>
    </row>
    <row customHeight="1" ht="11.25">
      <c r="A259" s="0">
        <v>2655</v>
      </c>
      <c r="B259" s="0" t="s">
        <v>114</v>
      </c>
      <c r="C259" s="0">
        <v>31224507</v>
      </c>
      <c r="D259" s="0" t="s">
        <v>4565</v>
      </c>
      <c r="E259" s="0" t="s">
        <v>4566</v>
      </c>
      <c r="F259" s="0" t="s">
        <v>4567</v>
      </c>
      <c r="G259" s="0" t="s">
        <v>4568</v>
      </c>
      <c r="H259" s="0" t="s">
        <v>4569</v>
      </c>
      <c r="I259" s="0" t="s">
        <v>4570</v>
      </c>
      <c r="J259" s="0" t="s">
        <v>156</v>
      </c>
      <c r="K259" s="0" t="s">
        <v>4571</v>
      </c>
      <c r="L259" s="0" t="s">
        <v>4571</v>
      </c>
      <c r="M259" s="0" t="s">
        <v>4572</v>
      </c>
      <c r="N259" s="0" t="s">
        <v>4573</v>
      </c>
      <c r="O259" s="0" t="s">
        <v>4531</v>
      </c>
      <c r="P259" s="0" t="s">
        <v>179</v>
      </c>
      <c r="Q259" s="0" t="s">
        <v>245</v>
      </c>
      <c r="R259" s="0" t="b">
        <v>0</v>
      </c>
      <c r="S259" s="0" t="s">
        <v>4677</v>
      </c>
    </row>
    <row customHeight="1" ht="11.25">
      <c r="A260" s="0">
        <v>2655</v>
      </c>
      <c r="B260" s="0" t="s">
        <v>114</v>
      </c>
      <c r="C260" s="0">
        <v>27968109</v>
      </c>
      <c r="D260" s="0" t="s">
        <v>4574</v>
      </c>
      <c r="E260" s="0" t="s">
        <v>4575</v>
      </c>
      <c r="F260" s="0" t="s">
        <v>4576</v>
      </c>
      <c r="G260" s="0" t="s">
        <v>3339</v>
      </c>
      <c r="H260" s="0" t="s">
        <v>4577</v>
      </c>
      <c r="I260" s="0" t="s">
        <v>4578</v>
      </c>
      <c r="J260" s="0" t="s">
        <v>156</v>
      </c>
      <c r="K260" s="0" t="s">
        <v>4579</v>
      </c>
      <c r="L260" s="0" t="s">
        <v>4579</v>
      </c>
      <c r="M260" s="0" t="s">
        <v>4580</v>
      </c>
      <c r="N260" s="0" t="s">
        <v>4581</v>
      </c>
      <c r="O260" s="0" t="s">
        <v>4582</v>
      </c>
      <c r="P260" s="0" t="s">
        <v>179</v>
      </c>
      <c r="Q260" s="0" t="s">
        <v>4583</v>
      </c>
      <c r="R260" s="0" t="b">
        <v>0</v>
      </c>
      <c r="S260" s="0" t="s">
        <v>4677</v>
      </c>
    </row>
    <row customHeight="1" ht="11.25">
      <c r="A261" s="0">
        <v>2655</v>
      </c>
      <c r="B261" s="0" t="s">
        <v>114</v>
      </c>
      <c r="C261" s="0">
        <v>28270293</v>
      </c>
      <c r="D261" s="0" t="s">
        <v>3794</v>
      </c>
      <c r="E261" s="0" t="s">
        <v>3795</v>
      </c>
      <c r="F261" s="0" t="s">
        <v>3796</v>
      </c>
      <c r="G261" s="0" t="s">
        <v>3563</v>
      </c>
      <c r="H261" s="0" t="s">
        <v>3797</v>
      </c>
      <c r="I261" s="0" t="s">
        <v>3798</v>
      </c>
      <c r="J261" s="0" t="s">
        <v>156</v>
      </c>
      <c r="K261" s="0" t="s">
        <v>3799</v>
      </c>
      <c r="L261" s="0" t="s">
        <v>3799</v>
      </c>
      <c r="M261" s="0" t="s">
        <v>3800</v>
      </c>
      <c r="N261" s="0" t="s">
        <v>3801</v>
      </c>
      <c r="O261" s="0" t="s">
        <v>3802</v>
      </c>
      <c r="P261" s="0" t="s">
        <v>179</v>
      </c>
      <c r="Q261" s="0" t="s">
        <v>245</v>
      </c>
      <c r="R261" s="0" t="b">
        <v>0</v>
      </c>
      <c r="S261" s="0" t="s">
        <v>4677</v>
      </c>
    </row>
    <row customHeight="1" ht="11.25">
      <c r="A262" s="0">
        <v>2655</v>
      </c>
      <c r="B262" s="0" t="s">
        <v>114</v>
      </c>
      <c r="C262" s="0">
        <v>28873362</v>
      </c>
      <c r="D262" s="0" t="s">
        <v>3803</v>
      </c>
      <c r="E262" s="0" t="s">
        <v>3804</v>
      </c>
      <c r="F262" s="0" t="s">
        <v>3805</v>
      </c>
      <c r="G262" s="0" t="s">
        <v>3339</v>
      </c>
      <c r="H262" s="0" t="s">
        <v>3806</v>
      </c>
      <c r="I262" s="0" t="s">
        <v>3807</v>
      </c>
      <c r="J262" s="0" t="s">
        <v>156</v>
      </c>
      <c r="K262" s="0" t="s">
        <v>3808</v>
      </c>
      <c r="L262" s="0" t="s">
        <v>3808</v>
      </c>
      <c r="M262" s="0" t="s">
        <v>3809</v>
      </c>
      <c r="N262" s="0" t="s">
        <v>3810</v>
      </c>
      <c r="O262" s="0" t="s">
        <v>3811</v>
      </c>
      <c r="P262" s="0" t="s">
        <v>3471</v>
      </c>
      <c r="Q262" s="0" t="s">
        <v>3812</v>
      </c>
      <c r="R262" s="0" t="b">
        <v>0</v>
      </c>
      <c r="S262" s="0" t="s">
        <v>4677</v>
      </c>
    </row>
    <row customHeight="1" ht="11.25">
      <c r="A263" s="0">
        <v>2655</v>
      </c>
      <c r="B263" s="0" t="s">
        <v>114</v>
      </c>
      <c r="C263" s="0">
        <v>30992391</v>
      </c>
      <c r="D263" s="0" t="s">
        <v>3821</v>
      </c>
      <c r="E263" s="0" t="s">
        <v>3822</v>
      </c>
      <c r="F263" s="0" t="s">
        <v>3823</v>
      </c>
      <c r="G263" s="0" t="s">
        <v>3463</v>
      </c>
      <c r="H263" s="0" t="s">
        <v>3824</v>
      </c>
      <c r="I263" s="0" t="s">
        <v>3825</v>
      </c>
      <c r="J263" s="0" t="s">
        <v>156</v>
      </c>
      <c r="K263" s="0" t="s">
        <v>3826</v>
      </c>
      <c r="L263" s="0" t="s">
        <v>3827</v>
      </c>
      <c r="M263" s="0" t="s">
        <v>3828</v>
      </c>
      <c r="N263" s="0" t="s">
        <v>3829</v>
      </c>
      <c r="O263" s="0" t="s">
        <v>3830</v>
      </c>
      <c r="P263" s="0" t="s">
        <v>3471</v>
      </c>
      <c r="Q263" s="0" t="s">
        <v>3831</v>
      </c>
      <c r="R263" s="0" t="b">
        <v>0</v>
      </c>
      <c r="S263" s="0" t="s">
        <v>4677</v>
      </c>
    </row>
    <row customHeight="1" ht="11.25">
      <c r="A264" s="0">
        <v>2655</v>
      </c>
      <c r="B264" s="0" t="s">
        <v>114</v>
      </c>
      <c r="C264" s="0">
        <v>26356974</v>
      </c>
      <c r="D264" s="0" t="s">
        <v>4611</v>
      </c>
      <c r="E264" s="0" t="s">
        <v>4612</v>
      </c>
      <c r="F264" s="0" t="s">
        <v>4613</v>
      </c>
      <c r="G264" s="0" t="s">
        <v>4614</v>
      </c>
      <c r="H264" s="0" t="s">
        <v>4615</v>
      </c>
      <c r="I264" s="0" t="s">
        <v>4616</v>
      </c>
      <c r="J264" s="0" t="s">
        <v>156</v>
      </c>
      <c r="K264" s="0" t="s">
        <v>4617</v>
      </c>
      <c r="L264" s="0" t="s">
        <v>4617</v>
      </c>
      <c r="M264" s="0" t="s">
        <v>4618</v>
      </c>
      <c r="N264" s="0" t="s">
        <v>4619</v>
      </c>
      <c r="O264" s="0" t="s">
        <v>4620</v>
      </c>
      <c r="P264" s="0" t="s">
        <v>3471</v>
      </c>
      <c r="Q264" s="0" t="s">
        <v>4621</v>
      </c>
      <c r="R264" s="0" t="b">
        <v>0</v>
      </c>
      <c r="S264" s="0" t="s">
        <v>4677</v>
      </c>
    </row>
    <row customHeight="1" ht="11.25">
      <c r="A265" s="0">
        <v>2655</v>
      </c>
      <c r="B265" s="0" t="s">
        <v>114</v>
      </c>
      <c r="C265" s="0">
        <v>31038861</v>
      </c>
      <c r="D265" s="0" t="s">
        <v>4631</v>
      </c>
      <c r="E265" s="0" t="s">
        <v>4632</v>
      </c>
      <c r="F265" s="0" t="s">
        <v>4633</v>
      </c>
      <c r="G265" s="0" t="s">
        <v>3362</v>
      </c>
      <c r="H265" s="0" t="s">
        <v>4634</v>
      </c>
      <c r="I265" s="0" t="s">
        <v>4635</v>
      </c>
      <c r="J265" s="0" t="s">
        <v>156</v>
      </c>
      <c r="K265" s="0" t="s">
        <v>4636</v>
      </c>
      <c r="L265" s="0" t="s">
        <v>4637</v>
      </c>
      <c r="M265" s="0" t="s">
        <v>4638</v>
      </c>
      <c r="N265" s="0" t="s">
        <v>4639</v>
      </c>
      <c r="O265" s="0" t="s">
        <v>4640</v>
      </c>
      <c r="P265" s="0" t="s">
        <v>179</v>
      </c>
      <c r="Q265" s="0" t="s">
        <v>245</v>
      </c>
      <c r="R265" s="0" t="b">
        <v>0</v>
      </c>
      <c r="S265" s="0" t="s">
        <v>4677</v>
      </c>
    </row>
    <row customHeight="1" ht="11.25">
      <c r="A266" s="0">
        <v>2655</v>
      </c>
      <c r="B266" s="0" t="s">
        <v>114</v>
      </c>
      <c r="C266" s="0">
        <v>26853991</v>
      </c>
      <c r="D266" s="0" t="s">
        <v>3832</v>
      </c>
      <c r="E266" s="0" t="s">
        <v>3833</v>
      </c>
      <c r="F266" s="0" t="s">
        <v>3834</v>
      </c>
      <c r="G266" s="0" t="s">
        <v>3835</v>
      </c>
      <c r="H266" s="0" t="s">
        <v>3836</v>
      </c>
      <c r="I266" s="0" t="s">
        <v>3837</v>
      </c>
      <c r="J266" s="0" t="s">
        <v>3327</v>
      </c>
      <c r="K266" s="0" t="s">
        <v>245</v>
      </c>
      <c r="L266" s="0" t="s">
        <v>3838</v>
      </c>
      <c r="M266" s="0" t="s">
        <v>3839</v>
      </c>
      <c r="N266" s="0" t="s">
        <v>3840</v>
      </c>
      <c r="O266" s="0" t="s">
        <v>3841</v>
      </c>
      <c r="P266" s="0" t="s">
        <v>3380</v>
      </c>
      <c r="Q266" s="0" t="s">
        <v>245</v>
      </c>
      <c r="R266" s="0" t="b">
        <v>0</v>
      </c>
      <c r="S266" s="0" t="s">
        <v>4677</v>
      </c>
    </row>
    <row customHeight="1" ht="11.25">
      <c r="A267" s="0">
        <v>2655</v>
      </c>
      <c r="B267" s="0" t="s">
        <v>114</v>
      </c>
      <c r="C267" s="0">
        <v>26519663</v>
      </c>
      <c r="D267" s="0" t="s">
        <v>4641</v>
      </c>
      <c r="E267" s="0" t="s">
        <v>4642</v>
      </c>
      <c r="F267" s="0" t="s">
        <v>4643</v>
      </c>
      <c r="G267" s="0" t="s">
        <v>3525</v>
      </c>
      <c r="H267" s="0" t="s">
        <v>4644</v>
      </c>
      <c r="I267" s="0" t="s">
        <v>4645</v>
      </c>
      <c r="J267" s="0" t="s">
        <v>3409</v>
      </c>
      <c r="K267" s="0" t="s">
        <v>4646</v>
      </c>
      <c r="L267" s="0" t="s">
        <v>4646</v>
      </c>
      <c r="M267" s="0" t="s">
        <v>4647</v>
      </c>
      <c r="N267" s="0" t="s">
        <v>4648</v>
      </c>
      <c r="O267" s="0" t="s">
        <v>4649</v>
      </c>
      <c r="P267" s="0" t="s">
        <v>3380</v>
      </c>
      <c r="Q267" s="0" t="s">
        <v>4650</v>
      </c>
      <c r="R267" s="0" t="b">
        <v>0</v>
      </c>
      <c r="S267" s="0" t="s">
        <v>4677</v>
      </c>
    </row>
    <row customHeight="1" ht="11.25">
      <c r="A268" s="0">
        <v>2655</v>
      </c>
      <c r="B268" s="0" t="s">
        <v>114</v>
      </c>
      <c r="C268" s="0">
        <v>28977129</v>
      </c>
      <c r="D268" s="0" t="s">
        <v>4658</v>
      </c>
      <c r="E268" s="0" t="s">
        <v>4659</v>
      </c>
      <c r="F268" s="0" t="s">
        <v>3843</v>
      </c>
      <c r="G268" s="0" t="s">
        <v>4660</v>
      </c>
      <c r="H268" s="0" t="s">
        <v>3845</v>
      </c>
      <c r="I268" s="0" t="s">
        <v>3860</v>
      </c>
      <c r="J268" s="0" t="s">
        <v>3847</v>
      </c>
      <c r="K268" s="0" t="s">
        <v>4661</v>
      </c>
      <c r="L268" s="0" t="s">
        <v>4662</v>
      </c>
      <c r="M268" s="0" t="s">
        <v>4663</v>
      </c>
      <c r="N268" s="0" t="s">
        <v>245</v>
      </c>
      <c r="O268" s="0" t="s">
        <v>4664</v>
      </c>
      <c r="P268" s="0" t="s">
        <v>3471</v>
      </c>
      <c r="Q268" s="0" t="s">
        <v>245</v>
      </c>
      <c r="R268" s="0" t="b">
        <v>0</v>
      </c>
      <c r="S268" s="0" t="s">
        <v>4677</v>
      </c>
    </row>
    <row customHeight="1" ht="11.25">
      <c r="A269" s="0">
        <v>2655</v>
      </c>
      <c r="B269" s="0" t="s">
        <v>114</v>
      </c>
      <c r="C269" s="0">
        <v>30914574</v>
      </c>
      <c r="D269" s="0" t="s">
        <v>4665</v>
      </c>
      <c r="E269" s="0" t="s">
        <v>4666</v>
      </c>
      <c r="F269" s="0" t="s">
        <v>4667</v>
      </c>
      <c r="G269" s="0" t="s">
        <v>4668</v>
      </c>
      <c r="H269" s="0" t="s">
        <v>4669</v>
      </c>
      <c r="I269" s="0" t="s">
        <v>4670</v>
      </c>
      <c r="J269" s="0" t="s">
        <v>4671</v>
      </c>
      <c r="K269" s="0" t="s">
        <v>245</v>
      </c>
      <c r="L269" s="0" t="s">
        <v>4672</v>
      </c>
      <c r="M269" s="0" t="s">
        <v>4673</v>
      </c>
      <c r="N269" s="0" t="s">
        <v>4674</v>
      </c>
      <c r="O269" s="0" t="s">
        <v>4675</v>
      </c>
      <c r="P269" s="0" t="s">
        <v>4676</v>
      </c>
      <c r="Q269" s="0" t="s">
        <v>245</v>
      </c>
      <c r="R269" s="0" t="b">
        <v>0</v>
      </c>
      <c r="S269" s="0" t="s">
        <v>4677</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F0CEA6-FD6A-1138-C9D5-CBA1423C5AD4}" mc:Ignorable="x14ac xr xr2 xr3">
  <sheetPr>
    <tabColor theme="3" tint="0.6"/>
    <pageSetUpPr fitToPage="1"/>
  </sheetPr>
  <dimension ref="A1:BE217"/>
  <sheetViews>
    <sheetView topLeftCell="AD40" showGridLines="0" workbookViewId="0" tabSelected="1">
      <selection activeCell="AE49" sqref="AE49"/>
    </sheetView>
  </sheetViews>
  <sheetFormatPr defaultColWidth="9.140625" customHeight="1" defaultRowHeight="19.5"/>
  <cols>
    <col min="1" max="1" style="1443" width="3.57421875" hidden="1" customWidth="1"/>
    <col min="2" max="2" style="927" width="8.57421875" hidden="1" customWidth="1"/>
    <col min="3" max="4" style="1443" width="3.57421875" hidden="1" customWidth="1"/>
    <col min="5" max="5" style="925" width="8.421875" hidden="1" customWidth="1"/>
    <col min="6" max="6" style="965" width="3.57421875" hidden="1" customWidth="1"/>
    <col min="7" max="7" style="1443" width="8.140625" hidden="1" customWidth="1"/>
    <col min="8" max="13" style="1443" width="3.57421875" hidden="1" customWidth="1"/>
    <col min="14" max="14" style="1443" width="6.421875" hidden="1" customWidth="1"/>
    <col min="15" max="18" style="1443" width="3.57421875" hidden="1" customWidth="1"/>
    <col min="19" max="19" style="1265" width="25.28125" hidden="1" customWidth="1"/>
    <col min="20" max="20" style="1266" width="12.57421875" hidden="1" customWidth="1"/>
    <col min="21" max="22" style="1443" width="3.57421875" hidden="1" customWidth="1"/>
    <col min="23" max="23" style="1443" width="7.8515625" hidden="1" customWidth="1"/>
    <col min="24" max="24" style="1443" width="7.7109375" hidden="1" customWidth="1"/>
    <col min="25" max="25" style="1443" width="6.28125" hidden="1" customWidth="1"/>
    <col min="26" max="26" style="1443" width="7.00390625" hidden="1" customWidth="1"/>
    <col min="27" max="27" style="820" width="3.00390625" customWidth="1"/>
    <col min="28" max="28" style="965" width="12.1328125" customWidth="1"/>
    <col min="29" max="29" style="965" width="18.1328125" customWidth="1"/>
    <col min="30" max="30" style="965" width="57.00390625" customWidth="1"/>
    <col min="31" max="31" style="965" width="48.1328125" customWidth="1"/>
    <col min="32" max="32" style="428" width="3.00390625" customWidth="1"/>
    <col min="33" max="33" style="1535" width="59.421875" hidden="1" customWidth="1"/>
    <col min="34" max="36" style="1535" width="16.7109375" hidden="1" customWidth="1"/>
    <col min="37" max="37" style="1535" width="8.421875" hidden="1" customWidth="1"/>
    <col min="38" max="38" style="1535" width="10.28125" hidden="1" customWidth="1"/>
    <col min="39" max="40" style="1535" width="9.140625" hidden="1"/>
    <col min="41" max="57" style="1267" width="9.140625" hidden="1"/>
  </cols>
  <sheetData>
    <row s="1443" customFormat="1" customHeight="1" ht="12" hidden="1">
      <c r="B1" s="788"/>
      <c r="E1" s="788"/>
      <c r="F1" s="214"/>
      <c r="N1" s="819" t="s">
        <v>83</v>
      </c>
      <c r="S1" s="1255" t="s">
        <v>84</v>
      </c>
      <c r="T1" s="1255" t="s">
        <v>85</v>
      </c>
      <c r="W1" s="819" t="s">
        <v>86</v>
      </c>
      <c r="X1" s="808" t="s">
        <v>87</v>
      </c>
      <c r="Y1" s="808" t="s">
        <v>88</v>
      </c>
      <c r="Z1" s="819" t="s">
        <v>89</v>
      </c>
      <c r="AA1" s="819" t="s">
        <v>90</v>
      </c>
      <c r="AD1" s="808" t="s">
        <v>91</v>
      </c>
      <c r="AE1" s="808" t="s">
        <v>92</v>
      </c>
      <c r="AF1" s="819" t="s">
        <v>93</v>
      </c>
      <c r="AO1" s="1256" t="s">
        <v>94</v>
      </c>
      <c r="AP1" s="1256" t="s">
        <v>95</v>
      </c>
      <c r="AQ1" s="1256" t="s">
        <v>96</v>
      </c>
      <c r="AR1" s="1256" t="s">
        <v>97</v>
      </c>
      <c r="AS1" s="1256" t="s">
        <v>98</v>
      </c>
      <c r="AT1" s="1256" t="s">
        <v>99</v>
      </c>
      <c r="AU1" s="1256" t="s">
        <v>100</v>
      </c>
      <c r="AV1" s="1256" t="s">
        <v>101</v>
      </c>
      <c r="AW1" s="1256" t="s">
        <v>102</v>
      </c>
      <c r="AX1" s="1256" t="s">
        <v>103</v>
      </c>
      <c r="AY1" s="1256" t="s">
        <v>104</v>
      </c>
      <c r="AZ1" s="1256" t="s">
        <v>105</v>
      </c>
      <c r="BA1" s="1256" t="s">
        <v>106</v>
      </c>
      <c r="BB1" s="1256" t="s">
        <v>107</v>
      </c>
      <c r="BC1" s="1256" t="s">
        <v>108</v>
      </c>
      <c r="BD1" s="1256" t="s">
        <v>109</v>
      </c>
      <c r="BE1" s="1256" t="s">
        <v>110</v>
      </c>
    </row>
    <row s="927" customFormat="1" customHeight="1" ht="12" hidden="1">
      <c r="B2" s="911" t="s">
        <v>15</v>
      </c>
      <c r="F2" s="930"/>
      <c r="S2" s="1257"/>
      <c r="T2" s="1257"/>
      <c r="Z2" s="179"/>
      <c r="AO2" s="1258"/>
      <c r="AP2" s="1258"/>
      <c r="AQ2" s="1258"/>
      <c r="AR2" s="1258"/>
      <c r="AS2" s="1258"/>
      <c r="AT2" s="1258"/>
      <c r="AU2" s="1258"/>
      <c r="AV2" s="1258"/>
      <c r="AW2" s="1258"/>
      <c r="AX2" s="1258"/>
      <c r="AY2" s="1258"/>
      <c r="AZ2" s="1258"/>
      <c r="BA2" s="1258"/>
      <c r="BB2" s="1258"/>
      <c r="BC2" s="1258"/>
      <c r="BD2" s="1258"/>
      <c r="BE2" s="1258"/>
    </row>
    <row s="1443" customFormat="1" customHeight="1" ht="12" hidden="1">
      <c r="B3" s="788"/>
      <c r="E3" s="788"/>
      <c r="F3" s="214"/>
      <c r="S3" s="1255"/>
      <c r="T3" s="1255"/>
      <c r="AO3" s="1256"/>
      <c r="AP3" s="1256"/>
      <c r="AQ3" s="1256"/>
      <c r="AR3" s="1256"/>
      <c r="AS3" s="1256"/>
      <c r="AT3" s="1256"/>
      <c r="AU3" s="1256"/>
      <c r="AV3" s="1256"/>
      <c r="AW3" s="1256"/>
      <c r="AX3" s="1256"/>
      <c r="AY3" s="1256"/>
      <c r="AZ3" s="1256"/>
      <c r="BA3" s="1256"/>
      <c r="BB3" s="1256"/>
      <c r="BC3" s="1256"/>
      <c r="BD3" s="1256"/>
      <c r="BE3" s="1256"/>
    </row>
    <row s="1443" customFormat="1" customHeight="1" ht="12" hidden="1">
      <c r="B4" s="788"/>
      <c r="E4" s="788"/>
      <c r="F4" s="214"/>
      <c r="S4" s="1255"/>
      <c r="T4" s="1255"/>
      <c r="AO4" s="1256"/>
      <c r="AP4" s="1256"/>
      <c r="AQ4" s="1256"/>
      <c r="AR4" s="1256"/>
      <c r="AS4" s="1256"/>
      <c r="AT4" s="1256"/>
      <c r="AU4" s="1256"/>
      <c r="AV4" s="1256"/>
      <c r="AW4" s="1256"/>
      <c r="AX4" s="1256"/>
      <c r="AY4" s="1256"/>
      <c r="AZ4" s="1256"/>
      <c r="BA4" s="1256"/>
      <c r="BB4" s="1256"/>
      <c r="BC4" s="1256"/>
      <c r="BD4" s="1256"/>
      <c r="BE4" s="1256"/>
    </row>
    <row s="925" customFormat="1" customHeight="1" ht="12" hidden="1">
      <c r="A5" s="788"/>
      <c r="B5" s="788"/>
      <c r="C5" s="788"/>
      <c r="D5" s="788"/>
      <c r="E5" s="797" t="s">
        <v>16</v>
      </c>
      <c r="F5" s="931"/>
      <c r="S5" s="1257"/>
      <c r="T5" s="1257"/>
      <c r="Z5" s="912"/>
      <c r="AA5" s="797">
        <v>3</v>
      </c>
      <c r="AB5" s="797">
        <v>12.13</v>
      </c>
      <c r="AC5" s="797">
        <v>18.13</v>
      </c>
      <c r="AD5" s="797">
        <v>57</v>
      </c>
      <c r="AE5" s="797">
        <v>48.13</v>
      </c>
      <c r="AF5" s="797">
        <v>3</v>
      </c>
      <c r="AO5" s="1258"/>
      <c r="AP5" s="1258"/>
      <c r="AQ5" s="1258"/>
      <c r="AR5" s="1258"/>
      <c r="AS5" s="1258"/>
      <c r="AT5" s="1258"/>
      <c r="AU5" s="1258"/>
      <c r="AV5" s="1258"/>
      <c r="AW5" s="1258"/>
      <c r="AX5" s="1258"/>
      <c r="AY5" s="1258"/>
      <c r="AZ5" s="1258"/>
      <c r="BA5" s="1258"/>
      <c r="BB5" s="1258"/>
      <c r="BC5" s="1258"/>
      <c r="BD5" s="1258"/>
      <c r="BE5" s="1258"/>
    </row>
    <row s="1443" customFormat="1" customHeight="1" ht="12" hidden="1">
      <c r="B6" s="788"/>
      <c r="E6" s="797"/>
      <c r="F6" s="214"/>
      <c r="S6" s="1255"/>
      <c r="T6" s="1255"/>
      <c r="AO6" s="1256"/>
      <c r="AP6" s="1256"/>
      <c r="AQ6" s="1256"/>
      <c r="AR6" s="1256"/>
      <c r="AS6" s="1256"/>
      <c r="AT6" s="1256"/>
      <c r="AU6" s="1256"/>
      <c r="AV6" s="1256"/>
      <c r="AW6" s="1256"/>
      <c r="AX6" s="1256"/>
      <c r="AY6" s="1256"/>
      <c r="AZ6" s="1256"/>
      <c r="BA6" s="1256"/>
      <c r="BB6" s="1256"/>
      <c r="BC6" s="1256"/>
      <c r="BD6" s="1256"/>
      <c r="BE6" s="1256"/>
    </row>
    <row s="965" customFormat="1" customHeight="1" ht="12" hidden="1">
      <c r="A7" s="179"/>
      <c r="B7" s="788"/>
      <c r="C7" s="179"/>
      <c r="D7" s="179"/>
      <c r="E7" s="797"/>
      <c r="S7" s="1255"/>
      <c r="T7" s="1255"/>
      <c r="AO7" s="1256"/>
      <c r="AP7" s="1256"/>
      <c r="AQ7" s="1256"/>
      <c r="AR7" s="1256"/>
      <c r="AS7" s="1256"/>
      <c r="AT7" s="1256"/>
      <c r="AU7" s="1256"/>
      <c r="AV7" s="1256"/>
      <c r="AW7" s="1256"/>
      <c r="AX7" s="1256"/>
      <c r="AY7" s="1256"/>
      <c r="AZ7" s="1256"/>
      <c r="BA7" s="1256"/>
      <c r="BB7" s="1256"/>
      <c r="BC7" s="1256"/>
      <c r="BD7" s="1256"/>
      <c r="BE7" s="1256"/>
    </row>
    <row s="965" customFormat="1" customHeight="1" ht="12" hidden="1">
      <c r="A8" s="179"/>
      <c r="B8" s="788"/>
      <c r="C8" s="179"/>
      <c r="D8" s="179"/>
      <c r="E8" s="797"/>
      <c r="S8" s="1255"/>
      <c r="T8" s="1255"/>
      <c r="AO8" s="1256"/>
      <c r="AP8" s="1256"/>
      <c r="AQ8" s="1256"/>
      <c r="AR8" s="1256"/>
      <c r="AS8" s="1256"/>
      <c r="AT8" s="1256"/>
      <c r="AU8" s="1256"/>
      <c r="AV8" s="1256"/>
      <c r="AW8" s="1256"/>
      <c r="AX8" s="1256"/>
      <c r="AY8" s="1256"/>
      <c r="AZ8" s="1256"/>
      <c r="BA8" s="1256"/>
      <c r="BB8" s="1256"/>
      <c r="BC8" s="1256"/>
      <c r="BD8" s="1256"/>
      <c r="BE8" s="1256"/>
    </row>
    <row s="1443" customFormat="1" customHeight="1" ht="12" hidden="1">
      <c r="B9" s="788"/>
      <c r="E9" s="797"/>
      <c r="F9" s="214"/>
      <c r="S9" s="1255"/>
      <c r="T9" s="1255"/>
      <c r="AO9" s="1256"/>
      <c r="AP9" s="1256"/>
      <c r="AQ9" s="1256"/>
      <c r="AR9" s="1256"/>
      <c r="AS9" s="1256"/>
      <c r="AT9" s="1256"/>
      <c r="AU9" s="1256"/>
      <c r="AV9" s="1256"/>
      <c r="AW9" s="1256"/>
      <c r="AX9" s="1256"/>
      <c r="AY9" s="1256"/>
      <c r="AZ9" s="1256"/>
      <c r="BA9" s="1256"/>
      <c r="BB9" s="1256"/>
      <c r="BC9" s="1256"/>
      <c r="BD9" s="1256"/>
      <c r="BE9" s="1256"/>
    </row>
    <row s="1443" customFormat="1" customHeight="1" ht="12" hidden="1">
      <c r="B10" s="788"/>
      <c r="E10" s="797"/>
      <c r="F10" s="214"/>
      <c r="S10" s="1255"/>
      <c r="T10" s="1255"/>
      <c r="AO10" s="1256"/>
      <c r="AP10" s="1256"/>
      <c r="AQ10" s="1256"/>
      <c r="AR10" s="1256"/>
      <c r="AS10" s="1256"/>
      <c r="AT10" s="1256"/>
      <c r="AU10" s="1256"/>
      <c r="AV10" s="1256"/>
      <c r="AW10" s="1256"/>
      <c r="AX10" s="1256"/>
      <c r="AY10" s="1256"/>
      <c r="AZ10" s="1256"/>
      <c r="BA10" s="1256"/>
      <c r="BB10" s="1256"/>
      <c r="BC10" s="1256"/>
      <c r="BD10" s="1256"/>
      <c r="BE10" s="1256"/>
    </row>
    <row s="1443" customFormat="1" customHeight="1" ht="12" hidden="1">
      <c r="B11" s="788"/>
      <c r="E11" s="797"/>
      <c r="F11" s="214"/>
      <c r="S11" s="1255"/>
      <c r="T11" s="1255"/>
      <c r="AO11" s="1256"/>
      <c r="AP11" s="1256"/>
      <c r="AQ11" s="1256"/>
      <c r="AR11" s="1256"/>
      <c r="AS11" s="1256"/>
      <c r="AT11" s="1256"/>
      <c r="AU11" s="1256"/>
      <c r="AV11" s="1256"/>
      <c r="AW11" s="1256"/>
      <c r="AX11" s="1256"/>
      <c r="AY11" s="1256"/>
      <c r="AZ11" s="1256"/>
      <c r="BA11" s="1256"/>
      <c r="BB11" s="1256"/>
      <c r="BC11" s="1256"/>
      <c r="BD11" s="1256"/>
      <c r="BE11" s="1256"/>
    </row>
    <row s="1443" customFormat="1" customHeight="1" ht="12" hidden="1">
      <c r="B12" s="788"/>
      <c r="E12" s="797"/>
      <c r="F12" s="214"/>
      <c r="S12" s="1255"/>
      <c r="T12" s="1255"/>
      <c r="AO12" s="1256"/>
      <c r="AP12" s="1256"/>
      <c r="AQ12" s="1256"/>
      <c r="AR12" s="1256"/>
      <c r="AS12" s="1256"/>
      <c r="AT12" s="1256"/>
      <c r="AU12" s="1256"/>
      <c r="AV12" s="1256"/>
      <c r="AW12" s="1256"/>
      <c r="AX12" s="1256"/>
      <c r="AY12" s="1256"/>
      <c r="AZ12" s="1256"/>
      <c r="BA12" s="1256"/>
      <c r="BB12" s="1256"/>
      <c r="BC12" s="1256"/>
      <c r="BD12" s="1256"/>
      <c r="BE12" s="1256"/>
    </row>
    <row s="1443" customFormat="1" customHeight="1" ht="12" hidden="1">
      <c r="B13" s="788"/>
      <c r="E13" s="797"/>
      <c r="F13" s="214"/>
      <c r="S13" s="1255"/>
      <c r="T13" s="1255"/>
      <c r="AO13" s="1256"/>
      <c r="AP13" s="1256"/>
      <c r="AQ13" s="1256"/>
      <c r="AR13" s="1256"/>
      <c r="AS13" s="1256"/>
      <c r="AT13" s="1256"/>
      <c r="AU13" s="1256"/>
      <c r="AV13" s="1256"/>
      <c r="AW13" s="1256"/>
      <c r="AX13" s="1256"/>
      <c r="AY13" s="1256"/>
      <c r="AZ13" s="1256"/>
      <c r="BA13" s="1256"/>
      <c r="BB13" s="1256"/>
      <c r="BC13" s="1256"/>
      <c r="BD13" s="1256"/>
      <c r="BE13" s="1256"/>
    </row>
    <row s="1443" customFormat="1" customHeight="1" ht="12" hidden="1">
      <c r="B14" s="788"/>
      <c r="E14" s="797"/>
      <c r="F14" s="214"/>
      <c r="S14" s="1255"/>
      <c r="T14" s="1255"/>
      <c r="AO14" s="1256"/>
      <c r="AP14" s="1256"/>
      <c r="AQ14" s="1256"/>
      <c r="AR14" s="1256"/>
      <c r="AS14" s="1256"/>
      <c r="AT14" s="1256"/>
      <c r="AU14" s="1256"/>
      <c r="AV14" s="1256"/>
      <c r="AW14" s="1256"/>
      <c r="AX14" s="1256"/>
      <c r="AY14" s="1256"/>
      <c r="AZ14" s="1256"/>
      <c r="BA14" s="1256"/>
      <c r="BB14" s="1256"/>
      <c r="BC14" s="1256"/>
      <c r="BD14" s="1256"/>
      <c r="BE14" s="1256"/>
    </row>
    <row s="1443" customFormat="1" customHeight="1" ht="12" hidden="1">
      <c r="B15" s="788"/>
      <c r="E15" s="797"/>
      <c r="F15" s="214"/>
      <c r="S15" s="1255"/>
      <c r="T15" s="1255"/>
      <c r="AO15" s="1256"/>
      <c r="AP15" s="1256"/>
      <c r="AQ15" s="1256"/>
      <c r="AR15" s="1256"/>
      <c r="AS15" s="1256"/>
      <c r="AT15" s="1256"/>
      <c r="AU15" s="1256"/>
      <c r="AV15" s="1256"/>
      <c r="AW15" s="1256"/>
      <c r="AX15" s="1256"/>
      <c r="AY15" s="1256"/>
      <c r="AZ15" s="1256"/>
      <c r="BA15" s="1256"/>
      <c r="BB15" s="1256"/>
      <c r="BC15" s="1256"/>
      <c r="BD15" s="1256"/>
      <c r="BE15" s="1256"/>
    </row>
    <row s="1443" customFormat="1" customHeight="1" ht="12" hidden="1">
      <c r="B16" s="788"/>
      <c r="E16" s="797"/>
      <c r="F16" s="214"/>
      <c r="S16" s="1255"/>
      <c r="T16" s="1255"/>
      <c r="AO16" s="1256"/>
      <c r="AP16" s="1256"/>
      <c r="AQ16" s="1256"/>
      <c r="AR16" s="1256"/>
      <c r="AS16" s="1256"/>
      <c r="AT16" s="1256"/>
      <c r="AU16" s="1256"/>
      <c r="AV16" s="1256"/>
      <c r="AW16" s="1256"/>
      <c r="AX16" s="1256"/>
      <c r="AY16" s="1256"/>
      <c r="AZ16" s="1256"/>
      <c r="BA16" s="1256"/>
      <c r="BB16" s="1256"/>
      <c r="BC16" s="1256"/>
      <c r="BD16" s="1256"/>
      <c r="BE16" s="1256"/>
    </row>
    <row s="1443" customFormat="1" customHeight="1" ht="12" hidden="1">
      <c r="B17" s="788"/>
      <c r="E17" s="797"/>
      <c r="F17" s="214"/>
      <c r="S17" s="1255"/>
      <c r="T17" s="1255"/>
      <c r="AO17" s="1256"/>
      <c r="AP17" s="1256"/>
      <c r="AQ17" s="1256"/>
      <c r="AR17" s="1256"/>
      <c r="AS17" s="1256"/>
      <c r="AT17" s="1256"/>
      <c r="AU17" s="1256"/>
      <c r="AV17" s="1256"/>
      <c r="AW17" s="1256"/>
      <c r="AX17" s="1256"/>
      <c r="AY17" s="1256"/>
      <c r="AZ17" s="1256"/>
      <c r="BA17" s="1256"/>
      <c r="BB17" s="1256"/>
      <c r="BC17" s="1256"/>
      <c r="BD17" s="1256"/>
      <c r="BE17" s="1256"/>
    </row>
    <row s="1443" customFormat="1" customHeight="1" ht="12" hidden="1">
      <c r="B18" s="788"/>
      <c r="E18" s="797"/>
      <c r="F18" s="214"/>
      <c r="S18" s="1255"/>
      <c r="T18" s="1255"/>
      <c r="AO18" s="1256"/>
      <c r="AP18" s="1256"/>
      <c r="AQ18" s="1256"/>
      <c r="AR18" s="1256"/>
      <c r="AS18" s="1256"/>
      <c r="AT18" s="1256"/>
      <c r="AU18" s="1256"/>
      <c r="AV18" s="1256"/>
      <c r="AW18" s="1256"/>
      <c r="AX18" s="1256"/>
      <c r="AY18" s="1256"/>
      <c r="AZ18" s="1256"/>
      <c r="BA18" s="1256"/>
      <c r="BB18" s="1256"/>
      <c r="BC18" s="1256"/>
      <c r="BD18" s="1256"/>
      <c r="BE18" s="1256"/>
    </row>
    <row s="1443" customFormat="1" customHeight="1" ht="12" hidden="1">
      <c r="B19" s="788"/>
      <c r="E19" s="797"/>
      <c r="F19" s="214"/>
      <c r="S19" s="1255"/>
      <c r="T19" s="1255"/>
      <c r="AO19" s="1256"/>
      <c r="AP19" s="1256"/>
      <c r="AQ19" s="1256"/>
      <c r="AR19" s="1256"/>
      <c r="AS19" s="1256"/>
      <c r="AT19" s="1256"/>
      <c r="AU19" s="1256"/>
      <c r="AV19" s="1256"/>
      <c r="AW19" s="1256"/>
      <c r="AX19" s="1256"/>
      <c r="AY19" s="1256"/>
      <c r="AZ19" s="1256"/>
      <c r="BA19" s="1256"/>
      <c r="BB19" s="1256"/>
      <c r="BC19" s="1256"/>
      <c r="BD19" s="1256"/>
      <c r="BE19" s="1256"/>
    </row>
    <row s="1443" customFormat="1" customHeight="1" ht="12" hidden="1">
      <c r="B20" s="788"/>
      <c r="E20" s="797"/>
      <c r="F20" s="214"/>
      <c r="S20" s="1255"/>
      <c r="T20" s="1255"/>
      <c r="AO20" s="1256"/>
      <c r="AP20" s="1256"/>
      <c r="AQ20" s="1256"/>
      <c r="AR20" s="1256"/>
      <c r="AS20" s="1256"/>
      <c r="AT20" s="1256"/>
      <c r="AU20" s="1256"/>
      <c r="AV20" s="1256"/>
      <c r="AW20" s="1256"/>
      <c r="AX20" s="1256"/>
      <c r="AY20" s="1256"/>
      <c r="AZ20" s="1256"/>
      <c r="BA20" s="1256"/>
      <c r="BB20" s="1256"/>
      <c r="BC20" s="1256"/>
      <c r="BD20" s="1256"/>
      <c r="BE20" s="1256"/>
    </row>
    <row s="965" customFormat="1" customHeight="1" ht="11.115">
      <c r="A21" s="179"/>
      <c r="B21" s="788"/>
      <c r="C21" s="179"/>
      <c r="D21" s="179"/>
      <c r="E21" s="797">
        <v>11.4</v>
      </c>
      <c r="G21" s="179"/>
      <c r="H21" s="179"/>
      <c r="I21" s="179"/>
      <c r="J21" s="179"/>
      <c r="K21" s="179"/>
      <c r="L21" s="179"/>
      <c r="M21" s="179"/>
      <c r="N21" s="179"/>
      <c r="O21" s="179"/>
      <c r="P21" s="179"/>
      <c r="Q21" s="179"/>
      <c r="R21" s="179"/>
      <c r="S21" s="1255"/>
      <c r="T21" s="1255"/>
      <c r="U21" s="179"/>
      <c r="V21" s="179"/>
      <c r="W21" s="179"/>
      <c r="X21" s="179"/>
      <c r="Y21" s="179"/>
      <c r="Z21" s="179"/>
      <c r="AA21" s="820"/>
      <c r="AO21" s="1256"/>
      <c r="AP21" s="1256"/>
      <c r="AQ21" s="1256"/>
      <c r="AR21" s="1256"/>
      <c r="AS21" s="1256"/>
      <c r="AT21" s="1256"/>
      <c r="AU21" s="1256"/>
      <c r="AV21" s="1256"/>
      <c r="AW21" s="1256"/>
      <c r="AX21" s="1256"/>
      <c r="AY21" s="1256"/>
      <c r="AZ21" s="1256"/>
      <c r="BA21" s="1256"/>
      <c r="BB21" s="1256"/>
      <c r="BC21" s="1256"/>
      <c r="BD21" s="1256"/>
      <c r="BE21" s="1256"/>
    </row>
    <row customHeight="1" ht="19.89">
      <c r="E22" s="797">
        <v>20.4</v>
      </c>
      <c r="S22" s="1259" t="s">
        <v>111</v>
      </c>
      <c r="T22" s="1260" t="s">
        <v>112</v>
      </c>
      <c r="AB22" s="1430" t="s">
        <v>113</v>
      </c>
      <c r="AC22" s="1431"/>
      <c r="AD22" s="1432"/>
      <c r="AE22" s="471" t="s">
        <v>114</v>
      </c>
      <c r="AF22" s="427" t="str">
        <f>_xlfn.IFERROR(INDEX(TEHSHEET!B1:B86,MATCH(region_name,REGION,0)),"")</f>
        <v>RU42</v>
      </c>
      <c r="AO22" s="1261"/>
      <c r="AP22" s="1261" t="s">
        <v>115</v>
      </c>
      <c r="AQ22" s="1261"/>
      <c r="AR22" s="1261"/>
      <c r="AS22" s="1261"/>
      <c r="AT22" s="1261"/>
      <c r="AU22" s="1261"/>
      <c r="AV22" s="1261"/>
      <c r="AW22" s="1261"/>
      <c r="AX22" s="1261"/>
      <c r="AY22" s="1261"/>
      <c r="AZ22" s="1261"/>
      <c r="BA22" s="1261"/>
      <c r="BB22" s="1261"/>
      <c r="BC22" s="1261"/>
      <c r="BD22" s="1261"/>
      <c r="BE22" s="1261"/>
    </row>
    <row customHeight="1" ht="18.330000000000002">
      <c r="E23" s="797">
        <v>18.8</v>
      </c>
      <c r="S23" s="1259" t="s">
        <v>111</v>
      </c>
      <c r="T23" s="1260" t="s">
        <v>112</v>
      </c>
      <c r="AB23" s="181"/>
      <c r="AC23" s="182"/>
      <c r="AD23" s="749" t="s">
        <v>116</v>
      </c>
      <c r="AE23" s="494" t="s">
        <v>117</v>
      </c>
      <c r="AF23" s="427"/>
      <c r="AH23" s="15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2"/>
      <c r="AO23" s="1261"/>
      <c r="AP23" s="1261"/>
      <c r="AQ23" s="1261" t="s">
        <v>118</v>
      </c>
      <c r="AR23" s="1261"/>
      <c r="AS23" s="1261"/>
      <c r="AT23" s="1261"/>
      <c r="AU23" s="1261"/>
      <c r="AV23" s="1261"/>
      <c r="AW23" s="1261"/>
      <c r="AX23" s="1261"/>
      <c r="AY23" s="1261"/>
      <c r="AZ23" s="1261"/>
      <c r="BA23" s="1261"/>
      <c r="BB23" s="1261"/>
      <c r="BC23" s="1261"/>
      <c r="BD23" s="1261"/>
      <c r="BE23" s="1261"/>
    </row>
    <row customHeight="1" ht="19.89">
      <c r="E24" s="797">
        <v>20.4</v>
      </c>
      <c r="S24" s="1259" t="s">
        <v>119</v>
      </c>
      <c r="T24" s="1260" t="s">
        <v>120</v>
      </c>
      <c r="AB24" s="1430" t="s">
        <v>121</v>
      </c>
      <c r="AC24" s="1431"/>
      <c r="AD24" s="1432"/>
      <c r="AE24" s="1338">
        <v>2026</v>
      </c>
      <c r="AF24" s="429"/>
      <c r="AL24" s="1442"/>
      <c r="AO24" s="1261"/>
      <c r="AP24" s="1261"/>
      <c r="AQ24" s="1261"/>
      <c r="AR24" s="1261"/>
      <c r="AS24" s="1261" t="s">
        <v>122</v>
      </c>
      <c r="AT24" s="1261"/>
      <c r="AU24" s="1261"/>
      <c r="AV24" s="1261"/>
      <c r="AW24" s="1261"/>
      <c r="AX24" s="1261"/>
      <c r="AY24" s="1261"/>
      <c r="AZ24" s="1261"/>
      <c r="BA24" s="1261"/>
      <c r="BB24" s="1261"/>
      <c r="BC24" s="1261"/>
      <c r="BD24" s="1261"/>
      <c r="BE24" s="1261"/>
    </row>
    <row customHeight="1" ht="19.89">
      <c r="B25" s="911">
        <f>method_reg&lt;&gt;"Метод экономически обоснованных расходов"</f>
        <v>1</v>
      </c>
      <c r="E25" s="797">
        <v>20.4</v>
      </c>
      <c r="S25" s="1259" t="s">
        <v>119</v>
      </c>
      <c r="T25" s="1260" t="s">
        <v>120</v>
      </c>
      <c r="AB25" s="1430" t="s">
        <v>123</v>
      </c>
      <c r="AC25" s="1431"/>
      <c r="AD25" s="1432"/>
      <c r="AE25" s="1338">
        <v>2016</v>
      </c>
      <c r="AF25" s="430">
        <f>first_year+PERIOD_LENGTH-1</f>
        <v>2025</v>
      </c>
      <c r="AG25" s="251" cm="1" t="str">
        <f t="array" ref="AG25:AG25">IF(CorrectionOnlyForRegPeriod="да",god,last_year)</f>
        <v>2026</v>
      </c>
      <c r="AL25" s="1442"/>
      <c r="AO25" s="1261"/>
      <c r="AP25" s="1261"/>
      <c r="AQ25" s="1261"/>
      <c r="AR25" s="1261"/>
      <c r="AS25" s="1261" t="s">
        <v>124</v>
      </c>
      <c r="AT25" s="1261"/>
      <c r="AU25" s="1261"/>
      <c r="AV25" s="1261"/>
      <c r="AW25" s="1261"/>
      <c r="AX25" s="1261"/>
      <c r="AY25" s="1261"/>
      <c r="AZ25" s="1261"/>
      <c r="BA25" s="1261"/>
      <c r="BB25" s="1261"/>
      <c r="BC25" s="1261"/>
      <c r="BD25" s="1261"/>
      <c r="BE25" s="1261"/>
    </row>
    <row customHeight="1" ht="19.89">
      <c r="B26" s="911">
        <f>method_reg&lt;&gt;"Метод экономически обоснованных расходов"</f>
        <v>1</v>
      </c>
      <c r="E26" s="797">
        <v>20.4</v>
      </c>
      <c r="S26" s="1259" t="s">
        <v>125</v>
      </c>
      <c r="T26" s="1260" t="s">
        <v>126</v>
      </c>
      <c r="AB26" s="1430" t="s">
        <v>127</v>
      </c>
      <c r="AC26" s="1431"/>
      <c r="AD26" s="1432"/>
      <c r="AE26" s="1338">
        <v>10</v>
      </c>
      <c r="AF26" s="429"/>
      <c r="AL26" s="1442"/>
      <c r="AO26" s="1261"/>
      <c r="AP26" s="1261"/>
      <c r="AQ26" s="1261"/>
      <c r="AR26" s="1261"/>
      <c r="AS26" s="1261" t="s">
        <v>128</v>
      </c>
      <c r="AT26" s="1261"/>
      <c r="AU26" s="1261"/>
      <c r="AV26" s="1261"/>
      <c r="AW26" s="1261"/>
      <c r="AX26" s="1261"/>
      <c r="AY26" s="1261"/>
      <c r="AZ26" s="1261"/>
      <c r="BA26" s="1261"/>
      <c r="BB26" s="1261"/>
      <c r="BC26" s="1261"/>
      <c r="BD26" s="1261"/>
      <c r="BE26" s="1261"/>
    </row>
    <row customHeight="1" ht="16.5" hidden="1">
      <c r="E27" s="797">
        <v>0</v>
      </c>
      <c r="AB27" s="1430" t="s">
        <v>129</v>
      </c>
      <c r="AC27" s="1431"/>
      <c r="AD27" s="1432"/>
      <c r="AE27" s="438" t="str">
        <f>IF(OR(PERIOD_LENGTH-god+first_year&lt;=0,PERIOD_LENGTH-god+first_year&gt;10),"",PERIOD_LENGTH-god+first_year)</f>
        <v/>
      </c>
      <c r="AF27" s="429"/>
    </row>
    <row customHeight="1" ht="7.3125">
      <c r="E28" s="797">
        <v>7.5</v>
      </c>
    </row>
    <row customHeight="1" ht="7.3125">
      <c r="E29" s="797">
        <v>7.5</v>
      </c>
    </row>
    <row customHeight="1" ht="19.89">
      <c r="E30" s="797">
        <v>20.4</v>
      </c>
      <c r="AB30" s="1433" t="s">
        <v>130</v>
      </c>
      <c r="AC30" s="1433"/>
      <c r="AD30" s="1433"/>
      <c r="AE30" s="1433"/>
      <c r="AF30" s="431"/>
      <c r="AG30" s="191"/>
      <c r="AH30" s="191"/>
      <c r="AI30" s="191"/>
      <c r="AJ30" s="191"/>
      <c r="AK30" s="191"/>
      <c r="AL30" s="191"/>
    </row>
    <row customHeight="1" ht="19.89">
      <c r="E31" s="797">
        <v>20.4</v>
      </c>
      <c r="AB31" s="1434" t="s">
        <v>131</v>
      </c>
      <c r="AC31" s="1434"/>
      <c r="AD31" s="1434"/>
      <c r="AE31" s="1434"/>
      <c r="AF31" s="431"/>
      <c r="AG31" s="191"/>
      <c r="AH31" s="191"/>
      <c r="AI31" s="191"/>
      <c r="AJ31" s="191"/>
      <c r="AK31" s="191"/>
      <c r="AL31" s="191"/>
    </row>
    <row customHeight="1" ht="19.89">
      <c r="E32" s="797">
        <v>20.4</v>
      </c>
      <c r="AB32" s="1433" t="s">
        <v>132</v>
      </c>
      <c r="AC32" s="1433"/>
      <c r="AD32" s="1433"/>
      <c r="AE32" s="1433"/>
      <c r="AF32" s="431"/>
      <c r="AG32" s="191"/>
      <c r="AH32" s="191"/>
      <c r="AI32" s="191"/>
      <c r="AJ32" s="191"/>
      <c r="AK32" s="191"/>
      <c r="AL32" s="191"/>
    </row>
    <row customHeight="1" ht="19.89">
      <c r="E33" s="797">
        <v>20.4</v>
      </c>
      <c r="Z33" s="1443">
        <v>28873685</v>
      </c>
      <c r="AB33" s="1435" t="s">
        <v>133</v>
      </c>
      <c r="AC33" s="1436"/>
      <c r="AD33" s="1436"/>
      <c r="AE33" s="1436"/>
      <c r="AF33" s="432"/>
      <c r="AG33" s="191"/>
      <c r="AH33" s="191"/>
      <c r="AI33" s="191"/>
      <c r="AJ33" s="191"/>
      <c r="AK33" s="191"/>
      <c r="AL33" s="251" t="str">
        <f>_xlfn.IFERROR(region_name&amp;" / "&amp;god&amp;" / "&amp;org&amp;" (ИНН:"&amp;inn&amp;", КПП:"&amp;kpp&amp;IF(method_reg="Метод экономически обоснованных расходов",")",") / ДПР: "&amp;first_year&amp;"-"&amp;last_year),"")</f>
        <v>Кемеровская область / 2026 / ООО "ВЕЛЕС" (ИНН:4212036655, КПП:421201001) / ДПР: 2016-2025</v>
      </c>
    </row>
    <row customHeight="1" ht="30.712500000000002">
      <c r="E34" s="797">
        <v>31.5</v>
      </c>
      <c r="AB34" s="1437"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7"/>
      <c r="AD34" s="1437"/>
      <c r="AE34" s="1437"/>
      <c r="AF34" s="432"/>
      <c r="AG34" s="191"/>
      <c r="AH34" s="191"/>
      <c r="AI34" s="191"/>
      <c r="AJ34" s="191"/>
      <c r="AK34" s="191"/>
      <c r="AL34" s="191"/>
    </row>
    <row customHeight="1" ht="19.89">
      <c r="E35" s="797">
        <v>20.4</v>
      </c>
      <c r="AB35" s="1438"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2016-2025 гг.</v>
      </c>
      <c r="AC35" s="1438"/>
      <c r="AD35" s="1438"/>
      <c r="AE35" s="1438"/>
      <c r="AF35" s="433"/>
      <c r="AG35" s="191"/>
      <c r="AH35" s="191"/>
      <c r="AI35" s="191"/>
      <c r="AJ35" s="191"/>
      <c r="AK35" s="191"/>
      <c r="AL35" s="191"/>
    </row>
    <row customHeight="1" ht="11.0175">
      <c r="E36" s="797">
        <v>11.3</v>
      </c>
      <c r="AB36" s="1439"/>
      <c r="AC36" s="1440"/>
      <c r="AD36" s="1440"/>
      <c r="AE36" s="1441"/>
      <c r="AF36" s="434"/>
      <c r="AG36" s="192"/>
      <c r="AH36" s="183"/>
      <c r="AI36" s="1428"/>
      <c r="AJ36" s="1428"/>
      <c r="AK36" s="183"/>
      <c r="AL36" s="192"/>
    </row>
    <row customHeight="1" ht="19.89">
      <c r="E37" s="797">
        <v>20.4</v>
      </c>
      <c r="AB37" s="1429" t="s">
        <v>134</v>
      </c>
      <c r="AC37" s="1429"/>
      <c r="AD37" s="1429"/>
      <c r="AE37" s="1429"/>
      <c r="AF37" s="435"/>
      <c r="AG37" s="180"/>
      <c r="AH37" s="180"/>
      <c r="AI37" s="180"/>
      <c r="AJ37" s="180"/>
      <c r="AK37" s="180"/>
      <c r="AL37" s="190"/>
    </row>
    <row customHeight="1" ht="23.985000000000003">
      <c r="E38" s="797">
        <v>24.6</v>
      </c>
      <c r="S38" s="1259" t="s">
        <v>111</v>
      </c>
      <c r="T38" s="1260" t="s">
        <v>112</v>
      </c>
      <c r="AB38" s="1414" t="s">
        <v>135</v>
      </c>
      <c r="AC38" s="1414"/>
      <c r="AD38" s="1414"/>
      <c r="AE38" s="1115" t="s">
        <v>136</v>
      </c>
      <c r="AF38" s="436"/>
      <c r="AG38" s="190"/>
      <c r="AH38" s="190"/>
      <c r="AI38" s="190"/>
      <c r="AO38" s="1261"/>
      <c r="AP38" s="1261"/>
      <c r="AQ38" s="1261"/>
      <c r="AR38" s="1261"/>
      <c r="AS38" s="1261"/>
      <c r="AT38" s="1261" t="s">
        <v>137</v>
      </c>
      <c r="AU38" s="1261"/>
      <c r="AV38" s="1261"/>
      <c r="AW38" s="1261"/>
      <c r="AX38" s="1261"/>
      <c r="AY38" s="1261"/>
      <c r="AZ38" s="1261"/>
      <c r="BA38" s="1261"/>
      <c r="BB38" s="1261"/>
      <c r="BC38" s="1261"/>
      <c r="BD38" s="1261"/>
      <c r="BE38" s="1261"/>
    </row>
    <row customHeight="1" ht="23.985000000000003">
      <c r="E39" s="797">
        <v>24.6</v>
      </c>
      <c r="S39" s="1259" t="s">
        <v>111</v>
      </c>
      <c r="T39" s="1260" t="s">
        <v>112</v>
      </c>
      <c r="AB39" s="1414" t="s">
        <v>138</v>
      </c>
      <c r="AC39" s="1414"/>
      <c r="AD39" s="1414"/>
      <c r="AE39" s="1115" t="s">
        <v>133</v>
      </c>
      <c r="AF39" s="436"/>
      <c r="AO39" s="1261"/>
      <c r="AP39" s="1261"/>
      <c r="AQ39" s="1261"/>
      <c r="AR39" s="1261"/>
      <c r="AS39" s="1261"/>
      <c r="AT39" s="1261" t="s">
        <v>139</v>
      </c>
      <c r="AU39" s="1261"/>
      <c r="AV39" s="1261"/>
      <c r="AW39" s="1261"/>
      <c r="AX39" s="1261"/>
      <c r="AY39" s="1261"/>
      <c r="AZ39" s="1261"/>
      <c r="BA39" s="1261"/>
      <c r="BB39" s="1261"/>
      <c r="BC39" s="1261"/>
      <c r="BD39" s="1261"/>
      <c r="BE39" s="1261"/>
    </row>
    <row customHeight="1" ht="19.89">
      <c r="E40" s="797">
        <v>20.4</v>
      </c>
      <c r="S40" s="1259" t="s">
        <v>111</v>
      </c>
      <c r="T40" s="1260" t="s">
        <v>112</v>
      </c>
      <c r="AB40" s="1414" t="s">
        <v>140</v>
      </c>
      <c r="AC40" s="1414"/>
      <c r="AD40" s="1414"/>
      <c r="AE40" s="1377"/>
      <c r="AF40" s="426"/>
      <c r="AO40" s="1261"/>
      <c r="AP40" s="1261"/>
      <c r="AQ40" s="1261"/>
      <c r="AR40" s="1261"/>
      <c r="AS40" s="1261"/>
      <c r="AT40" s="1261" t="s">
        <v>141</v>
      </c>
      <c r="AU40" s="1261"/>
      <c r="AV40" s="1261"/>
      <c r="AW40" s="1261"/>
      <c r="AX40" s="1261"/>
      <c r="AY40" s="1261"/>
      <c r="AZ40" s="1261"/>
      <c r="BA40" s="1261"/>
      <c r="BB40" s="1261"/>
      <c r="BC40" s="1261"/>
      <c r="BD40" s="1261"/>
      <c r="BE40" s="1261"/>
    </row>
    <row customHeight="1" ht="19.89">
      <c r="E41" s="797">
        <v>20.4</v>
      </c>
      <c r="S41" s="1259" t="s">
        <v>111</v>
      </c>
      <c r="T41" s="1260" t="s">
        <v>112</v>
      </c>
      <c r="AB41" s="1414" t="s">
        <v>142</v>
      </c>
      <c r="AC41" s="1414"/>
      <c r="AD41" s="1414"/>
      <c r="AE41" s="1116" t="s">
        <v>143</v>
      </c>
      <c r="AF41" s="426"/>
      <c r="AO41" s="1261"/>
      <c r="AP41" s="1261"/>
      <c r="AQ41" s="1261"/>
      <c r="AR41" s="1261"/>
      <c r="AS41" s="1261"/>
      <c r="AT41" s="1261" t="s">
        <v>144</v>
      </c>
      <c r="AU41" s="1261"/>
      <c r="AV41" s="1261"/>
      <c r="AW41" s="1261"/>
      <c r="AX41" s="1261"/>
      <c r="AY41" s="1261"/>
      <c r="AZ41" s="1261"/>
      <c r="BA41" s="1261"/>
      <c r="BB41" s="1261"/>
      <c r="BC41" s="1261"/>
      <c r="BD41" s="1261"/>
      <c r="BE41" s="1261"/>
    </row>
    <row customHeight="1" ht="19.89">
      <c r="E42" s="797">
        <v>20.4</v>
      </c>
      <c r="S42" s="1259" t="s">
        <v>111</v>
      </c>
      <c r="T42" s="1260" t="s">
        <v>112</v>
      </c>
      <c r="AB42" s="1414" t="s">
        <v>145</v>
      </c>
      <c r="AC42" s="1414"/>
      <c r="AD42" s="1414"/>
      <c r="AE42" s="1116" t="s">
        <v>146</v>
      </c>
      <c r="AF42" s="426"/>
      <c r="AO42" s="1261"/>
      <c r="AP42" s="1261"/>
      <c r="AQ42" s="1261"/>
      <c r="AR42" s="1261"/>
      <c r="AS42" s="1261"/>
      <c r="AT42" s="1261" t="s">
        <v>147</v>
      </c>
      <c r="AU42" s="1261"/>
      <c r="AV42" s="1261"/>
      <c r="AW42" s="1261"/>
      <c r="AX42" s="1261"/>
      <c r="AY42" s="1261"/>
      <c r="AZ42" s="1261"/>
      <c r="BA42" s="1261"/>
      <c r="BB42" s="1261"/>
      <c r="BC42" s="1261"/>
      <c r="BD42" s="1261"/>
      <c r="BE42" s="1261"/>
    </row>
    <row customHeight="1" ht="19.89">
      <c r="E43" s="797">
        <v>20.4</v>
      </c>
      <c r="S43" s="1259" t="s">
        <v>111</v>
      </c>
      <c r="T43" s="1260" t="s">
        <v>112</v>
      </c>
      <c r="AB43" s="1414" t="s">
        <v>148</v>
      </c>
      <c r="AC43" s="1414"/>
      <c r="AD43" s="1414"/>
      <c r="AE43" s="1116" t="s">
        <v>149</v>
      </c>
      <c r="AF43" s="426"/>
      <c r="AO43" s="1261"/>
      <c r="AP43" s="1261"/>
      <c r="AQ43" s="1261"/>
      <c r="AR43" s="1261"/>
      <c r="AS43" s="1261"/>
      <c r="AT43" s="1261" t="s">
        <v>150</v>
      </c>
      <c r="AU43" s="1261"/>
      <c r="AV43" s="1261"/>
      <c r="AW43" s="1261"/>
      <c r="AX43" s="1261"/>
      <c r="AY43" s="1261"/>
      <c r="AZ43" s="1261"/>
      <c r="BA43" s="1261"/>
      <c r="BB43" s="1261"/>
      <c r="BC43" s="1261"/>
      <c r="BD43" s="1261"/>
      <c r="BE43" s="1261"/>
    </row>
    <row customHeight="1" ht="19.89">
      <c r="E44" s="797">
        <v>20.4</v>
      </c>
      <c r="S44" s="1259" t="s">
        <v>111</v>
      </c>
      <c r="T44" s="1260" t="s">
        <v>112</v>
      </c>
      <c r="AB44" s="1414" t="s">
        <v>151</v>
      </c>
      <c r="AC44" s="1414"/>
      <c r="AD44" s="1414"/>
      <c r="AE44" s="459" t="s">
        <v>152</v>
      </c>
      <c r="AF44" s="426"/>
      <c r="AG44" s="155" t="s">
        <v>153</v>
      </c>
      <c r="AO44" s="1261"/>
      <c r="AP44" s="1261"/>
      <c r="AQ44" s="1261"/>
      <c r="AR44" s="1261"/>
      <c r="AS44" s="1261"/>
      <c r="AT44" s="1261" t="s">
        <v>154</v>
      </c>
      <c r="AU44" s="1261"/>
      <c r="AV44" s="1261"/>
      <c r="AW44" s="1261"/>
      <c r="AX44" s="1261"/>
      <c r="AY44" s="1261"/>
      <c r="AZ44" s="1261"/>
      <c r="BA44" s="1261"/>
      <c r="BB44" s="1261"/>
      <c r="BC44" s="1261"/>
      <c r="BD44" s="1261"/>
      <c r="BE44" s="1261"/>
    </row>
    <row customHeight="1" ht="19.89">
      <c r="E45" s="797">
        <v>20.4</v>
      </c>
      <c r="S45" s="1259" t="s">
        <v>111</v>
      </c>
      <c r="T45" s="1260" t="s">
        <v>112</v>
      </c>
      <c r="AB45" s="1414" t="s">
        <v>155</v>
      </c>
      <c r="AC45" s="1414"/>
      <c r="AD45" s="1414"/>
      <c r="AE45" s="439" t="s">
        <v>156</v>
      </c>
      <c r="AF45" s="426"/>
      <c r="AG45" s="155" t="s">
        <v>157</v>
      </c>
      <c r="AO45" s="1261"/>
      <c r="AP45" s="1261"/>
      <c r="AQ45" s="1261"/>
      <c r="AR45" s="1261"/>
      <c r="AS45" s="1261"/>
      <c r="AT45" s="1261" t="s">
        <v>158</v>
      </c>
      <c r="AU45" s="1261"/>
      <c r="AV45" s="1261"/>
      <c r="AW45" s="1261"/>
      <c r="AX45" s="1261"/>
      <c r="AY45" s="1261"/>
      <c r="AZ45" s="1261"/>
      <c r="BA45" s="1261"/>
      <c r="BB45" s="1261"/>
      <c r="BC45" s="1261"/>
      <c r="BD45" s="1261"/>
      <c r="BE45" s="1261"/>
    </row>
    <row customHeight="1" ht="19.89">
      <c r="E46" s="797">
        <v>20.4</v>
      </c>
      <c r="S46" s="1259" t="s">
        <v>111</v>
      </c>
      <c r="T46" s="1260" t="s">
        <v>112</v>
      </c>
      <c r="AB46" s="1414" t="s">
        <v>159</v>
      </c>
      <c r="AC46" s="1414"/>
      <c r="AD46" s="1414"/>
      <c r="AE46" s="439" t="s">
        <v>160</v>
      </c>
      <c r="AF46" s="432"/>
      <c r="AG46" s="155" t="s">
        <v>161</v>
      </c>
      <c r="AO46" s="1261"/>
      <c r="AP46" s="1261"/>
      <c r="AQ46" s="1261"/>
      <c r="AR46" s="1261"/>
      <c r="AS46" s="1261"/>
      <c r="AT46" s="1261" t="s">
        <v>162</v>
      </c>
      <c r="AU46" s="1261"/>
      <c r="AV46" s="1261"/>
      <c r="AW46" s="1261"/>
      <c r="AX46" s="1261"/>
      <c r="AY46" s="1261"/>
      <c r="AZ46" s="1261"/>
      <c r="BA46" s="1261"/>
      <c r="BB46" s="1261"/>
      <c r="BC46" s="1261"/>
      <c r="BD46" s="1261"/>
      <c r="BE46" s="1261"/>
    </row>
    <row customHeight="1" ht="19.89">
      <c r="E47" s="797">
        <v>20.4</v>
      </c>
      <c r="S47" s="1259" t="s">
        <v>111</v>
      </c>
      <c r="T47" s="1260" t="s">
        <v>112</v>
      </c>
      <c r="AB47" s="1414" t="s">
        <v>163</v>
      </c>
      <c r="AC47" s="1414"/>
      <c r="AD47" s="1414"/>
      <c r="AE47" s="439" t="s">
        <v>160</v>
      </c>
      <c r="AF47" s="432"/>
      <c r="AG47" s="155" t="s">
        <v>164</v>
      </c>
      <c r="AO47" s="1261"/>
      <c r="AP47" s="1261"/>
      <c r="AQ47" s="1261"/>
      <c r="AR47" s="1261"/>
      <c r="AS47" s="1261"/>
      <c r="AT47" s="1261" t="s">
        <v>165</v>
      </c>
      <c r="AU47" s="1261"/>
      <c r="AV47" s="1261"/>
      <c r="AW47" s="1261"/>
      <c r="AX47" s="1261"/>
      <c r="AY47" s="1261"/>
      <c r="AZ47" s="1261"/>
      <c r="BA47" s="1261"/>
      <c r="BB47" s="1261"/>
      <c r="BC47" s="1261"/>
      <c r="BD47" s="1261"/>
      <c r="BE47" s="1261"/>
    </row>
    <row customHeight="1" ht="19.89">
      <c r="E48" s="797">
        <v>20.4</v>
      </c>
      <c r="S48" s="1259" t="s">
        <v>111</v>
      </c>
      <c r="T48" s="1260" t="s">
        <v>112</v>
      </c>
      <c r="AB48" s="1414" t="s">
        <v>166</v>
      </c>
      <c r="AC48" s="1414"/>
      <c r="AD48" s="1414"/>
      <c r="AE48" s="424" t="s">
        <v>167</v>
      </c>
      <c r="AF48" s="432"/>
      <c r="AG48" s="155" t="s">
        <v>168</v>
      </c>
      <c r="AO48" s="1261"/>
      <c r="AP48" s="1261"/>
      <c r="AQ48" s="1261"/>
      <c r="AR48" s="1261"/>
      <c r="AS48" s="1261"/>
      <c r="AT48" s="1261" t="s">
        <v>169</v>
      </c>
      <c r="AU48" s="1261"/>
      <c r="AV48" s="1261"/>
      <c r="AW48" s="1261"/>
      <c r="AX48" s="1261"/>
      <c r="AY48" s="1261"/>
      <c r="AZ48" s="1261"/>
      <c r="BA48" s="1261"/>
      <c r="BB48" s="1261"/>
      <c r="BC48" s="1261"/>
      <c r="BD48" s="1261"/>
      <c r="BE48" s="1261"/>
    </row>
    <row customHeight="1" ht="19.89">
      <c r="E49" s="797">
        <v>20.4</v>
      </c>
      <c r="S49" s="1259" t="s">
        <v>111</v>
      </c>
      <c r="T49" s="1260" t="s">
        <v>112</v>
      </c>
      <c r="AB49" s="1414" t="s">
        <v>170</v>
      </c>
      <c r="AC49" s="1414"/>
      <c r="AD49" s="1414"/>
      <c r="AE49" s="440" t="s">
        <v>171</v>
      </c>
      <c r="AF49" s="432"/>
      <c r="AG49" s="155" t="s">
        <v>172</v>
      </c>
      <c r="AO49" s="1261"/>
      <c r="AP49" s="1261"/>
      <c r="AQ49" s="1261"/>
      <c r="AR49" s="1261"/>
      <c r="AS49" s="1261"/>
      <c r="AT49" s="1261" t="s">
        <v>173</v>
      </c>
      <c r="AU49" s="1261"/>
      <c r="AV49" s="1261"/>
      <c r="AW49" s="1261"/>
      <c r="AX49" s="1261"/>
      <c r="AY49" s="1261"/>
      <c r="AZ49" s="1261"/>
      <c r="BA49" s="1261"/>
      <c r="BB49" s="1261"/>
      <c r="BC49" s="1261"/>
      <c r="BD49" s="1261"/>
      <c r="BE49" s="1261"/>
    </row>
    <row customHeight="1" ht="19.89">
      <c r="E50" s="797">
        <v>20.4</v>
      </c>
      <c r="S50" s="1259" t="s">
        <v>111</v>
      </c>
      <c r="T50" s="1260" t="s">
        <v>112</v>
      </c>
      <c r="AB50" s="1414" t="s">
        <v>174</v>
      </c>
      <c r="AC50" s="1414"/>
      <c r="AD50" s="1414"/>
      <c r="AE50" s="439" t="s">
        <v>175</v>
      </c>
      <c r="AF50" s="432"/>
      <c r="AG50" s="155" t="s">
        <v>176</v>
      </c>
      <c r="AO50" s="1261"/>
      <c r="AP50" s="1261"/>
      <c r="AQ50" s="1261"/>
      <c r="AR50" s="1261"/>
      <c r="AS50" s="1261"/>
      <c r="AT50" s="1261" t="s">
        <v>177</v>
      </c>
      <c r="AU50" s="1261"/>
      <c r="AV50" s="1261"/>
      <c r="AW50" s="1261"/>
      <c r="AX50" s="1261"/>
      <c r="AY50" s="1261"/>
      <c r="AZ50" s="1261"/>
      <c r="BA50" s="1261"/>
      <c r="BB50" s="1261"/>
      <c r="BC50" s="1261"/>
      <c r="BD50" s="1261"/>
      <c r="BE50" s="1261"/>
    </row>
    <row customHeight="1" ht="19.89">
      <c r="E51" s="797">
        <v>20.4</v>
      </c>
      <c r="S51" s="1259" t="s">
        <v>111</v>
      </c>
      <c r="T51" s="1260" t="s">
        <v>112</v>
      </c>
      <c r="AB51" s="1414" t="s">
        <v>178</v>
      </c>
      <c r="AC51" s="1414"/>
      <c r="AD51" s="1414"/>
      <c r="AE51" s="439" t="s">
        <v>179</v>
      </c>
      <c r="AF51" s="432"/>
      <c r="AG51" s="155" t="s">
        <v>180</v>
      </c>
      <c r="AO51" s="1261"/>
      <c r="AP51" s="1261"/>
      <c r="AQ51" s="1261"/>
      <c r="AR51" s="1261"/>
      <c r="AS51" s="1261"/>
      <c r="AT51" s="1261" t="s">
        <v>181</v>
      </c>
      <c r="AU51" s="1261"/>
      <c r="AV51" s="1261"/>
      <c r="AW51" s="1261"/>
      <c r="AX51" s="1261"/>
      <c r="AY51" s="1261"/>
      <c r="AZ51" s="1261"/>
      <c r="BA51" s="1261"/>
      <c r="BB51" s="1261"/>
      <c r="BC51" s="1261"/>
      <c r="BD51" s="1261"/>
      <c r="BE51" s="1261"/>
    </row>
    <row customHeight="1" ht="19.89">
      <c r="E52" s="797">
        <v>20.4</v>
      </c>
      <c r="S52" s="1259" t="s">
        <v>111</v>
      </c>
      <c r="T52" s="1260" t="s">
        <v>112</v>
      </c>
      <c r="AB52" s="1414" t="s">
        <v>182</v>
      </c>
      <c r="AC52" s="1414"/>
      <c r="AD52" s="1414"/>
      <c r="AE52" s="441" t="s">
        <v>183</v>
      </c>
      <c r="AF52" s="432"/>
      <c r="AG52" s="155" t="s">
        <v>184</v>
      </c>
      <c r="AO52" s="1261"/>
      <c r="AP52" s="1261"/>
      <c r="AQ52" s="1261"/>
      <c r="AR52" s="1261"/>
      <c r="AS52" s="1261"/>
      <c r="AT52" s="1261" t="s">
        <v>185</v>
      </c>
      <c r="AU52" s="1261"/>
      <c r="AV52" s="1261"/>
      <c r="AW52" s="1261"/>
      <c r="AX52" s="1261"/>
      <c r="AY52" s="1261"/>
      <c r="AZ52" s="1261"/>
      <c r="BA52" s="1261"/>
      <c r="BB52" s="1261"/>
      <c r="BC52" s="1261"/>
      <c r="BD52" s="1261"/>
      <c r="BE52" s="1261"/>
    </row>
    <row customHeight="1" ht="19.89">
      <c r="E53" s="797">
        <v>20.4</v>
      </c>
      <c r="S53" s="1259" t="s">
        <v>186</v>
      </c>
      <c r="T53" s="1260" t="s">
        <v>187</v>
      </c>
      <c r="AB53" s="1414" t="s">
        <v>188</v>
      </c>
      <c r="AC53" s="1414"/>
      <c r="AD53" s="185" t="s">
        <v>189</v>
      </c>
      <c r="AE53" s="442" t="s">
        <v>190</v>
      </c>
      <c r="AF53" s="432"/>
      <c r="AG53" s="155" t="s">
        <v>191</v>
      </c>
      <c r="AO53" s="1261"/>
      <c r="AP53" s="1261"/>
      <c r="AQ53" s="1261"/>
      <c r="AR53" s="1261"/>
      <c r="AS53" s="1261"/>
      <c r="AT53" s="1261" t="s">
        <v>192</v>
      </c>
      <c r="AU53" s="1261"/>
      <c r="AV53" s="1261"/>
      <c r="AW53" s="1261"/>
      <c r="AX53" s="1261"/>
      <c r="AY53" s="1261"/>
      <c r="AZ53" s="1261"/>
      <c r="BA53" s="1261"/>
      <c r="BB53" s="1261"/>
      <c r="BC53" s="1261"/>
      <c r="BD53" s="1261"/>
      <c r="BE53" s="1261"/>
    </row>
    <row customHeight="1" ht="19.89" hidden="1">
      <c r="A54" s="1443"/>
      <c r="B54" s="911">
        <f>STATE_SHARE_EXISTENCE&lt;&gt;"нет"</f>
        <v>0</v>
      </c>
      <c r="C54" s="1443"/>
      <c r="D54" s="1443"/>
      <c r="E54" s="797">
        <v>20.4</v>
      </c>
      <c r="F54" s="965"/>
      <c r="G54" s="1443"/>
      <c r="H54" s="1443"/>
      <c r="I54" s="1443"/>
      <c r="J54" s="1443"/>
      <c r="K54" s="1443"/>
      <c r="L54" s="1443"/>
      <c r="M54" s="1443"/>
      <c r="N54" s="1443"/>
      <c r="O54" s="1443"/>
      <c r="P54" s="1443"/>
      <c r="Q54" s="1443"/>
      <c r="R54" s="1443"/>
      <c r="S54" s="1259" t="s">
        <v>111</v>
      </c>
      <c r="T54" s="1260" t="s">
        <v>112</v>
      </c>
      <c r="U54" s="1443"/>
      <c r="V54" s="1443"/>
      <c r="W54" s="1443"/>
      <c r="X54" s="1443"/>
      <c r="Y54" s="1443"/>
      <c r="Z54" s="1443"/>
      <c r="AA54" s="820"/>
      <c r="AB54" s="1414"/>
      <c r="AC54" s="1414"/>
      <c r="AD54" s="185" t="s">
        <v>193</v>
      </c>
      <c r="AE54" s="1601"/>
      <c r="AF54" s="432"/>
      <c r="AG54" s="155" t="s">
        <v>194</v>
      </c>
      <c r="AH54" s="1535"/>
      <c r="AI54" s="1535"/>
      <c r="AJ54" s="1535"/>
      <c r="AK54" s="1535"/>
      <c r="AL54" s="1535"/>
      <c r="AM54" s="1535"/>
      <c r="AN54" s="1535"/>
      <c r="AO54" s="1261"/>
      <c r="AP54" s="1261"/>
      <c r="AQ54" s="1261"/>
      <c r="AR54" s="1261"/>
      <c r="AS54" s="1261"/>
      <c r="AT54" s="1261" t="s">
        <v>195</v>
      </c>
      <c r="AU54" s="1261"/>
      <c r="AV54" s="1261"/>
      <c r="AW54" s="1261"/>
      <c r="AX54" s="1261"/>
      <c r="AY54" s="1261"/>
      <c r="AZ54" s="1261"/>
      <c r="BA54" s="1261"/>
      <c r="BB54" s="1261"/>
      <c r="BC54" s="1261"/>
      <c r="BD54" s="1261"/>
      <c r="BE54" s="1261"/>
    </row>
    <row customHeight="1" ht="19.89" hidden="1">
      <c r="A55" s="1443"/>
      <c r="B55" s="911">
        <f>STATE_SHARE_EXISTENCE&lt;&gt;"нет"</f>
        <v>0</v>
      </c>
      <c r="C55" s="1443"/>
      <c r="D55" s="1443"/>
      <c r="E55" s="797">
        <v>20.4</v>
      </c>
      <c r="F55" s="965"/>
      <c r="G55" s="1443"/>
      <c r="H55" s="1443"/>
      <c r="I55" s="1443"/>
      <c r="J55" s="1443"/>
      <c r="K55" s="1443"/>
      <c r="L55" s="1443"/>
      <c r="M55" s="1443"/>
      <c r="N55" s="1443"/>
      <c r="O55" s="1443"/>
      <c r="P55" s="1443"/>
      <c r="Q55" s="1443"/>
      <c r="R55" s="1443"/>
      <c r="S55" s="1259" t="s">
        <v>111</v>
      </c>
      <c r="T55" s="1260" t="s">
        <v>112</v>
      </c>
      <c r="U55" s="1443"/>
      <c r="V55" s="1443"/>
      <c r="W55" s="1443"/>
      <c r="X55" s="1443"/>
      <c r="Y55" s="1443"/>
      <c r="Z55" s="1443"/>
      <c r="AA55" s="820"/>
      <c r="AB55" s="1414"/>
      <c r="AC55" s="1414"/>
      <c r="AD55" s="185" t="s">
        <v>196</v>
      </c>
      <c r="AE55" s="1601"/>
      <c r="AF55" s="432"/>
      <c r="AG55" s="155" t="s">
        <v>197</v>
      </c>
      <c r="AH55" s="1535"/>
      <c r="AI55" s="1535"/>
      <c r="AJ55" s="1535"/>
      <c r="AK55" s="1535"/>
      <c r="AL55" s="1535"/>
      <c r="AM55" s="1535"/>
      <c r="AN55" s="1535"/>
      <c r="AO55" s="1261"/>
      <c r="AP55" s="1261"/>
      <c r="AQ55" s="1261"/>
      <c r="AR55" s="1261"/>
      <c r="AS55" s="1261"/>
      <c r="AT55" s="1261" t="s">
        <v>198</v>
      </c>
      <c r="AU55" s="1261"/>
      <c r="AV55" s="1261"/>
      <c r="AW55" s="1261"/>
      <c r="AX55" s="1261"/>
      <c r="AY55" s="1261"/>
      <c r="AZ55" s="1261"/>
      <c r="BA55" s="1261"/>
      <c r="BB55" s="1261"/>
      <c r="BC55" s="1261"/>
      <c r="BD55" s="1261"/>
      <c r="BE55" s="1261"/>
    </row>
    <row customHeight="1" ht="23.985000000000003">
      <c r="E56" s="797">
        <v>24.6</v>
      </c>
      <c r="S56" s="1259" t="s">
        <v>186</v>
      </c>
      <c r="T56" s="1260" t="s">
        <v>187</v>
      </c>
      <c r="AB56" s="1414" t="s">
        <v>199</v>
      </c>
      <c r="AC56" s="1414"/>
      <c r="AD56" s="1414"/>
      <c r="AE56" s="442" t="s">
        <v>200</v>
      </c>
      <c r="AF56" s="437"/>
      <c r="AG56" s="155" t="s">
        <v>201</v>
      </c>
      <c r="AO56" s="1261"/>
      <c r="AP56" s="1261"/>
      <c r="AQ56" s="1261"/>
      <c r="AR56" s="1261"/>
      <c r="AS56" s="1261"/>
      <c r="AT56" s="1261" t="s">
        <v>202</v>
      </c>
      <c r="AU56" s="1261"/>
      <c r="AV56" s="1261"/>
      <c r="AW56" s="1261"/>
      <c r="AX56" s="1261"/>
      <c r="AY56" s="1261"/>
      <c r="AZ56" s="1261"/>
      <c r="BA56" s="1261"/>
      <c r="BB56" s="1261"/>
      <c r="BC56" s="1261"/>
      <c r="BD56" s="1261"/>
      <c r="BE56" s="1261"/>
    </row>
    <row customHeight="1" ht="23.985000000000003">
      <c r="E57" s="797">
        <v>24.6</v>
      </c>
      <c r="S57" s="1259" t="s">
        <v>111</v>
      </c>
      <c r="T57" s="1260" t="s">
        <v>112</v>
      </c>
      <c r="AB57" s="1414" t="s">
        <v>203</v>
      </c>
      <c r="AC57" s="1414"/>
      <c r="AD57" s="1414"/>
      <c r="AE57" s="442" t="s">
        <v>204</v>
      </c>
      <c r="AF57" s="437"/>
      <c r="AO57" s="1261"/>
      <c r="AP57" s="1261"/>
      <c r="AQ57" s="1261"/>
      <c r="AR57" s="1261"/>
      <c r="AS57" s="1261"/>
      <c r="AT57" s="1261" t="s">
        <v>205</v>
      </c>
      <c r="AU57" s="1261"/>
      <c r="AV57" s="1261"/>
      <c r="AW57" s="1261"/>
      <c r="AX57" s="1261"/>
      <c r="AY57" s="1261"/>
      <c r="AZ57" s="1261"/>
      <c r="BA57" s="1261"/>
      <c r="BB57" s="1261"/>
      <c r="BC57" s="1261"/>
      <c r="BD57" s="1261"/>
      <c r="BE57" s="1261"/>
    </row>
    <row customHeight="1" ht="19.89">
      <c r="E58" s="797">
        <v>20.4</v>
      </c>
      <c r="S58" s="1259" t="s">
        <v>186</v>
      </c>
      <c r="T58" s="1260" t="s">
        <v>187</v>
      </c>
      <c r="AB58" s="1414" t="s">
        <v>206</v>
      </c>
      <c r="AC58" s="1414"/>
      <c r="AD58" s="1414"/>
      <c r="AE58" s="442" t="s">
        <v>190</v>
      </c>
      <c r="AF58" s="432"/>
      <c r="AG58" s="155" t="s">
        <v>207</v>
      </c>
      <c r="AO58" s="1261"/>
      <c r="AP58" s="1261"/>
      <c r="AQ58" s="1261"/>
      <c r="AR58" s="1261"/>
      <c r="AS58" s="1261"/>
      <c r="AT58" s="1261" t="s">
        <v>205</v>
      </c>
      <c r="AU58" s="1261"/>
      <c r="AV58" s="1261"/>
      <c r="AW58" s="1261"/>
      <c r="AX58" s="1261"/>
      <c r="AY58" s="1261"/>
      <c r="AZ58" s="1261"/>
      <c r="BA58" s="1261"/>
      <c r="BB58" s="1261"/>
      <c r="BC58" s="1261"/>
      <c r="BD58" s="1261"/>
      <c r="BE58" s="1261"/>
    </row>
    <row customHeight="1" ht="23.985000000000003">
      <c r="E59" s="797">
        <v>24.6</v>
      </c>
      <c r="S59" s="1259" t="s">
        <v>186</v>
      </c>
      <c r="T59" s="1260" t="s">
        <v>187</v>
      </c>
      <c r="AB59" s="1414" t="s">
        <v>208</v>
      </c>
      <c r="AC59" s="1414"/>
      <c r="AD59" s="1414"/>
      <c r="AE59" s="442" t="s">
        <v>200</v>
      </c>
      <c r="AF59" s="437"/>
      <c r="AG59" s="155" t="s">
        <v>209</v>
      </c>
      <c r="AO59" s="1261"/>
      <c r="AP59" s="1261"/>
      <c r="AQ59" s="1261"/>
      <c r="AR59" s="1261"/>
      <c r="AS59" s="1261"/>
      <c r="AT59" s="1261" t="s">
        <v>210</v>
      </c>
      <c r="AU59" s="1261"/>
      <c r="AV59" s="1261"/>
      <c r="AW59" s="1261"/>
      <c r="AX59" s="1261"/>
      <c r="AY59" s="1261"/>
      <c r="AZ59" s="1261"/>
      <c r="BA59" s="1261"/>
      <c r="BB59" s="1261"/>
      <c r="BC59" s="1261"/>
      <c r="BD59" s="1261"/>
      <c r="BE59" s="1261"/>
    </row>
    <row customHeight="1" ht="19.89">
      <c r="E60" s="797">
        <v>20.4</v>
      </c>
      <c r="F60" s="214" t="s">
        <v>211</v>
      </c>
      <c r="S60" s="1259" t="s">
        <v>186</v>
      </c>
      <c r="T60" s="1260" t="s">
        <v>187</v>
      </c>
      <c r="AB60" s="1414" t="s">
        <v>212</v>
      </c>
      <c r="AC60" s="1414"/>
      <c r="AD60" s="1414"/>
      <c r="AE60" s="442" t="s">
        <v>190</v>
      </c>
      <c r="AF60" s="432"/>
      <c r="AG60" s="155" t="s">
        <v>213</v>
      </c>
      <c r="AO60" s="1261"/>
      <c r="AP60" s="1261"/>
      <c r="AQ60" s="1261"/>
      <c r="AR60" s="1261"/>
      <c r="AS60" s="1261"/>
      <c r="AT60" s="1261" t="s">
        <v>214</v>
      </c>
      <c r="AU60" s="1261"/>
      <c r="AV60" s="1261"/>
      <c r="AW60" s="1261"/>
      <c r="AX60" s="1261"/>
      <c r="AY60" s="1261"/>
      <c r="AZ60" s="1261"/>
      <c r="BA60" s="1261"/>
      <c r="BB60" s="1261"/>
      <c r="BC60" s="1261"/>
      <c r="BD60" s="1261"/>
      <c r="BE60" s="1261"/>
    </row>
    <row customHeight="1" ht="19.89">
      <c r="E61" s="797">
        <v>20.4</v>
      </c>
      <c r="S61" s="1259" t="s">
        <v>215</v>
      </c>
      <c r="T61" s="1260" t="s">
        <v>216</v>
      </c>
      <c r="AB61" s="1414" t="s">
        <v>217</v>
      </c>
      <c r="AC61" s="1414"/>
      <c r="AD61" s="1414"/>
      <c r="AE61" s="458"/>
      <c r="AF61" s="432"/>
      <c r="AO61" s="1261"/>
      <c r="AP61" s="1261"/>
      <c r="AQ61" s="1261"/>
      <c r="AR61" s="1261"/>
      <c r="AS61" s="1261"/>
      <c r="AT61" s="1261" t="s">
        <v>214</v>
      </c>
      <c r="AU61" s="1261"/>
      <c r="AV61" s="1261"/>
      <c r="AW61" s="1261"/>
      <c r="AX61" s="1261"/>
      <c r="AY61" s="1261"/>
      <c r="AZ61" s="1261"/>
      <c r="BA61" s="1261"/>
      <c r="BB61" s="1261"/>
      <c r="BC61" s="1261"/>
      <c r="BD61" s="1261"/>
      <c r="BE61" s="1261"/>
    </row>
    <row customHeight="1" ht="20.25" hidden="1">
      <c r="E62" s="797">
        <v>0</v>
      </c>
      <c r="S62" s="1259"/>
      <c r="T62" s="1260"/>
      <c r="W62" s="956"/>
      <c r="X62" s="956"/>
      <c r="Y62" s="956"/>
      <c r="Z62" s="956"/>
      <c r="AA62" s="913" t="s">
        <v>218</v>
      </c>
      <c r="AB62" s="1449" t="s">
        <v>217</v>
      </c>
      <c r="AC62" s="1449"/>
      <c r="AD62" s="1449"/>
      <c r="AE62" s="826"/>
      <c r="AF62" s="827"/>
      <c r="AO62" s="1261"/>
      <c r="AP62" s="1261"/>
      <c r="AQ62" s="1261"/>
      <c r="AR62" s="1261"/>
      <c r="AS62" s="1261"/>
      <c r="AT62" s="1261"/>
      <c r="AU62" s="1261"/>
      <c r="AV62" s="1261"/>
      <c r="AW62" s="1261"/>
      <c r="AX62" s="1261"/>
      <c r="AY62" s="1261"/>
      <c r="AZ62" s="1261"/>
      <c r="BA62" s="1261"/>
      <c r="BB62" s="1261"/>
      <c r="BC62" s="1261"/>
      <c r="BD62" s="1261"/>
      <c r="BE62" s="1261"/>
    </row>
    <row customHeight="1" ht="15" hidden="1">
      <c r="E63" s="797">
        <v>0</v>
      </c>
      <c r="F63" s="214" t="s">
        <v>219</v>
      </c>
      <c r="S63" s="1259"/>
      <c r="T63" s="1260"/>
      <c r="W63" s="956"/>
      <c r="X63" s="956"/>
      <c r="Y63" s="958"/>
      <c r="Z63" s="956"/>
      <c r="AA63" s="914"/>
      <c r="AB63" s="828"/>
      <c r="AC63" s="829"/>
      <c r="AD63" s="829"/>
      <c r="AE63" s="830"/>
      <c r="AF63" s="827"/>
      <c r="AO63" s="1261"/>
      <c r="AP63" s="1261"/>
      <c r="AQ63" s="1261"/>
      <c r="AR63" s="1261"/>
      <c r="AS63" s="1261"/>
      <c r="AT63" s="1261"/>
      <c r="AU63" s="1261"/>
      <c r="AV63" s="1261"/>
      <c r="AW63" s="1261"/>
      <c r="AX63" s="1261"/>
      <c r="AY63" s="1261"/>
      <c r="AZ63" s="1261"/>
      <c r="BA63" s="1261"/>
      <c r="BB63" s="1261"/>
      <c r="BC63" s="1261"/>
      <c r="BD63" s="1261"/>
      <c r="BE63" s="1261"/>
    </row>
    <row customHeight="1" ht="19.89">
      <c r="E64" s="797">
        <v>20.4</v>
      </c>
      <c r="F64" s="214" t="s">
        <v>220</v>
      </c>
      <c r="S64" s="1259" t="s">
        <v>186</v>
      </c>
      <c r="T64" s="1260" t="s">
        <v>187</v>
      </c>
      <c r="AB64" s="1414" t="s">
        <v>221</v>
      </c>
      <c r="AC64" s="1414"/>
      <c r="AD64" s="1414"/>
      <c r="AE64" s="442" t="s">
        <v>190</v>
      </c>
      <c r="AF64" s="432"/>
      <c r="AG64" s="155" t="s">
        <v>222</v>
      </c>
      <c r="AO64" s="1261"/>
      <c r="AP64" s="1261"/>
      <c r="AQ64" s="1261"/>
      <c r="AR64" s="1261"/>
      <c r="AS64" s="1261"/>
      <c r="AT64" s="1261" t="s">
        <v>223</v>
      </c>
      <c r="AU64" s="1261"/>
      <c r="AV64" s="1261"/>
      <c r="AW64" s="1261"/>
      <c r="AX64" s="1261"/>
      <c r="AY64" s="1261"/>
      <c r="AZ64" s="1261"/>
      <c r="BA64" s="1261"/>
      <c r="BB64" s="1261"/>
      <c r="BC64" s="1261"/>
      <c r="BD64" s="1261"/>
      <c r="BE64" s="1261"/>
    </row>
    <row customHeight="1" ht="19.5" hidden="1">
      <c r="E65" s="797">
        <v>0</v>
      </c>
      <c r="S65" s="1259"/>
      <c r="T65" s="1260"/>
      <c r="AB65" s="1414"/>
      <c r="AC65" s="1414"/>
      <c r="AD65" s="1414"/>
      <c r="AE65" s="475"/>
      <c r="AF65" s="432"/>
      <c r="AO65" s="1261"/>
      <c r="AP65" s="1261"/>
      <c r="AQ65" s="1261"/>
      <c r="AR65" s="1261"/>
      <c r="AS65" s="1261"/>
      <c r="AT65" s="1261"/>
      <c r="AU65" s="1261"/>
      <c r="AV65" s="1261"/>
      <c r="AW65" s="1261"/>
      <c r="AX65" s="1261"/>
      <c r="AY65" s="1261"/>
      <c r="AZ65" s="1261"/>
      <c r="BA65" s="1261"/>
      <c r="BB65" s="1261"/>
      <c r="BC65" s="1261"/>
      <c r="BD65" s="1261"/>
      <c r="BE65" s="1261"/>
    </row>
    <row customHeight="1" ht="19.5" hidden="1">
      <c r="E66" s="797">
        <v>0</v>
      </c>
      <c r="S66" s="1259"/>
      <c r="T66" s="1260"/>
      <c r="AB66" s="1413"/>
      <c r="AC66" s="1414"/>
      <c r="AD66" s="1414"/>
      <c r="AE66" s="472"/>
      <c r="AF66" s="432"/>
      <c r="AO66" s="1261"/>
      <c r="AP66" s="1261"/>
      <c r="AQ66" s="1261"/>
      <c r="AR66" s="1261"/>
      <c r="AS66" s="1261"/>
      <c r="AT66" s="1261"/>
      <c r="AU66" s="1261"/>
      <c r="AV66" s="1261"/>
      <c r="AW66" s="1261"/>
      <c r="AX66" s="1261"/>
      <c r="AY66" s="1261"/>
      <c r="AZ66" s="1261"/>
      <c r="BA66" s="1261"/>
      <c r="BB66" s="1261"/>
      <c r="BC66" s="1261"/>
      <c r="BD66" s="1261"/>
      <c r="BE66" s="1261"/>
    </row>
    <row customHeight="1" ht="19.5" hidden="1">
      <c r="E67" s="797">
        <v>0</v>
      </c>
      <c r="S67" s="1259"/>
      <c r="T67" s="1260"/>
      <c r="AB67" s="1413"/>
      <c r="AC67" s="1414"/>
      <c r="AD67" s="1414"/>
      <c r="AE67" s="472"/>
      <c r="AF67" s="432"/>
      <c r="AO67" s="1261"/>
      <c r="AP67" s="1261"/>
      <c r="AQ67" s="1261"/>
      <c r="AR67" s="1261"/>
      <c r="AS67" s="1261"/>
      <c r="AT67" s="1261"/>
      <c r="AU67" s="1261"/>
      <c r="AV67" s="1261"/>
      <c r="AW67" s="1261"/>
      <c r="AX67" s="1261"/>
      <c r="AY67" s="1261"/>
      <c r="AZ67" s="1261"/>
      <c r="BA67" s="1261"/>
      <c r="BB67" s="1261"/>
      <c r="BC67" s="1261"/>
      <c r="BD67" s="1261"/>
      <c r="BE67" s="1261"/>
    </row>
    <row customHeight="1" ht="19.5" hidden="1">
      <c r="E68" s="797">
        <v>0</v>
      </c>
      <c r="S68" s="1259"/>
      <c r="T68" s="1260"/>
      <c r="AB68" s="1413"/>
      <c r="AC68" s="1414"/>
      <c r="AD68" s="1414"/>
      <c r="AE68" s="472"/>
      <c r="AF68" s="432"/>
      <c r="AO68" s="1261"/>
      <c r="AP68" s="1261"/>
      <c r="AQ68" s="1261"/>
      <c r="AR68" s="1261"/>
      <c r="AS68" s="1261"/>
      <c r="AT68" s="1261"/>
      <c r="AU68" s="1261"/>
      <c r="AV68" s="1261"/>
      <c r="AW68" s="1261"/>
      <c r="AX68" s="1261"/>
      <c r="AY68" s="1261"/>
      <c r="AZ68" s="1261"/>
      <c r="BA68" s="1261"/>
      <c r="BB68" s="1261"/>
      <c r="BC68" s="1261"/>
      <c r="BD68" s="1261"/>
      <c r="BE68" s="1261"/>
    </row>
    <row customHeight="1" ht="19.5" hidden="1">
      <c r="E69" s="797">
        <v>0</v>
      </c>
      <c r="S69" s="1259"/>
      <c r="T69" s="1260"/>
      <c r="AB69" s="1413"/>
      <c r="AC69" s="1414"/>
      <c r="AD69" s="1414"/>
      <c r="AE69" s="473"/>
      <c r="AF69" s="432"/>
      <c r="AO69" s="1261"/>
      <c r="AP69" s="1261"/>
      <c r="AQ69" s="1261"/>
      <c r="AR69" s="1261"/>
      <c r="AS69" s="1261"/>
      <c r="AT69" s="1261"/>
      <c r="AU69" s="1261"/>
      <c r="AV69" s="1261"/>
      <c r="AW69" s="1261"/>
      <c r="AX69" s="1261"/>
      <c r="AY69" s="1261"/>
      <c r="AZ69" s="1261"/>
      <c r="BA69" s="1261"/>
      <c r="BB69" s="1261"/>
      <c r="BC69" s="1261"/>
      <c r="BD69" s="1261"/>
      <c r="BE69" s="1261"/>
    </row>
    <row customHeight="1" ht="19.5" hidden="1">
      <c r="E70" s="797">
        <v>0</v>
      </c>
      <c r="S70" s="1259"/>
      <c r="T70" s="1260"/>
      <c r="AB70" s="1413"/>
      <c r="AC70" s="1414"/>
      <c r="AD70" s="1414"/>
      <c r="AE70" s="474"/>
      <c r="AF70" s="432"/>
      <c r="AG70" s="193"/>
      <c r="AO70" s="1261"/>
      <c r="AP70" s="1261"/>
      <c r="AQ70" s="1261"/>
      <c r="AR70" s="1261"/>
      <c r="AS70" s="1261"/>
      <c r="AT70" s="1261"/>
      <c r="AU70" s="1261"/>
      <c r="AV70" s="1261"/>
      <c r="AW70" s="1261"/>
      <c r="AX70" s="1261"/>
      <c r="AY70" s="1261"/>
      <c r="AZ70" s="1261"/>
      <c r="BA70" s="1261"/>
      <c r="BB70" s="1261"/>
      <c r="BC70" s="1261"/>
      <c r="BD70" s="1261"/>
      <c r="BE70" s="1261"/>
    </row>
    <row customHeight="1" ht="15" hidden="1">
      <c r="E71" s="797">
        <v>0</v>
      </c>
      <c r="S71" s="1259"/>
      <c r="T71" s="1260"/>
      <c r="AB71" s="476"/>
      <c r="AC71" s="477"/>
      <c r="AD71" s="477"/>
      <c r="AE71" s="478"/>
      <c r="AF71" s="432"/>
      <c r="AG71" s="193"/>
      <c r="AO71" s="1261"/>
      <c r="AP71" s="1261"/>
      <c r="AQ71" s="1261"/>
      <c r="AR71" s="1261"/>
      <c r="AS71" s="1261"/>
      <c r="AT71" s="1261"/>
      <c r="AU71" s="1261"/>
      <c r="AV71" s="1261"/>
      <c r="AW71" s="1261"/>
      <c r="AX71" s="1261"/>
      <c r="AY71" s="1261"/>
      <c r="AZ71" s="1261"/>
      <c r="BA71" s="1261"/>
      <c r="BB71" s="1261"/>
      <c r="BC71" s="1261"/>
      <c r="BD71" s="1261"/>
      <c r="BE71" s="1261"/>
    </row>
    <row customHeight="1" ht="19.5" hidden="1">
      <c r="E72" s="797">
        <v>0</v>
      </c>
      <c r="S72" s="1259"/>
      <c r="T72" s="1260"/>
      <c r="AB72" s="1414"/>
      <c r="AC72" s="1414"/>
      <c r="AD72" s="1414"/>
      <c r="AE72" s="475"/>
      <c r="AF72" s="432"/>
      <c r="AO72" s="1261"/>
      <c r="AP72" s="1261"/>
      <c r="AQ72" s="1261"/>
      <c r="AR72" s="1261"/>
      <c r="AS72" s="1261"/>
      <c r="AT72" s="1261"/>
      <c r="AU72" s="1261"/>
      <c r="AV72" s="1261"/>
      <c r="AW72" s="1261"/>
      <c r="AX72" s="1261"/>
      <c r="AY72" s="1261"/>
      <c r="AZ72" s="1261"/>
      <c r="BA72" s="1261"/>
      <c r="BB72" s="1261"/>
      <c r="BC72" s="1261"/>
      <c r="BD72" s="1261"/>
      <c r="BE72" s="1261"/>
    </row>
    <row customHeight="1" ht="19.89" hidden="1">
      <c r="A73" s="1443"/>
      <c r="B73" s="911">
        <f>HAS_DOC3="да"</f>
        <v>0</v>
      </c>
      <c r="C73" s="1443"/>
      <c r="D73" s="1443"/>
      <c r="E73" s="797">
        <v>20.4</v>
      </c>
      <c r="F73" s="965"/>
      <c r="G73" s="1443"/>
      <c r="H73" s="1443"/>
      <c r="I73" s="1443"/>
      <c r="J73" s="1443"/>
      <c r="K73" s="1443"/>
      <c r="L73" s="1443"/>
      <c r="M73" s="1443"/>
      <c r="N73" s="1443"/>
      <c r="O73" s="1443"/>
      <c r="P73" s="1443"/>
      <c r="Q73" s="1443"/>
      <c r="R73" s="1443"/>
      <c r="S73" s="1259" t="s">
        <v>111</v>
      </c>
      <c r="T73" s="1260" t="s">
        <v>112</v>
      </c>
      <c r="U73" s="1443"/>
      <c r="V73" s="1443"/>
      <c r="W73" s="1443"/>
      <c r="X73" s="1443"/>
      <c r="Y73" s="1443"/>
      <c r="Z73" s="1443"/>
      <c r="AA73" s="820"/>
      <c r="AB73" s="1413" t="s">
        <v>224</v>
      </c>
      <c r="AC73" s="1414" t="s">
        <v>225</v>
      </c>
      <c r="AD73" s="1414"/>
      <c r="AE73" s="1606"/>
      <c r="AF73" s="432"/>
      <c r="AG73" s="1535"/>
      <c r="AH73" s="1535"/>
      <c r="AI73" s="1535"/>
      <c r="AJ73" s="1535"/>
      <c r="AK73" s="1535"/>
      <c r="AL73" s="1535"/>
      <c r="AM73" s="1535"/>
      <c r="AN73" s="1535"/>
      <c r="AO73" s="1261"/>
      <c r="AP73" s="1261"/>
      <c r="AQ73" s="1261"/>
      <c r="AR73" s="1261"/>
      <c r="AS73" s="1261"/>
      <c r="AT73" s="1261" t="s">
        <v>223</v>
      </c>
      <c r="AU73" s="1261" t="s">
        <v>226</v>
      </c>
      <c r="AV73" s="1261"/>
      <c r="AW73" s="1261"/>
      <c r="AX73" s="1261"/>
      <c r="AY73" s="1261"/>
      <c r="AZ73" s="1261"/>
      <c r="BA73" s="1261"/>
      <c r="BB73" s="1261"/>
      <c r="BC73" s="1261"/>
      <c r="BD73" s="1261"/>
      <c r="BE73" s="1261"/>
    </row>
    <row customHeight="1" ht="19.89" hidden="1">
      <c r="A74" s="1443"/>
      <c r="B74" s="911">
        <f>HAS_DOC3="да"</f>
        <v>0</v>
      </c>
      <c r="C74" s="1443"/>
      <c r="D74" s="1443"/>
      <c r="E74" s="797">
        <v>20.4</v>
      </c>
      <c r="F74" s="965"/>
      <c r="G74" s="1443"/>
      <c r="H74" s="1443"/>
      <c r="I74" s="1443"/>
      <c r="J74" s="1443"/>
      <c r="K74" s="1443"/>
      <c r="L74" s="1443"/>
      <c r="M74" s="1443"/>
      <c r="N74" s="1443"/>
      <c r="O74" s="1443"/>
      <c r="P74" s="1443"/>
      <c r="Q74" s="1443"/>
      <c r="R74" s="1443"/>
      <c r="S74" s="1259" t="s">
        <v>111</v>
      </c>
      <c r="T74" s="1260" t="s">
        <v>112</v>
      </c>
      <c r="U74" s="1443"/>
      <c r="V74" s="1443"/>
      <c r="W74" s="1443"/>
      <c r="X74" s="1443"/>
      <c r="Y74" s="1443"/>
      <c r="Z74" s="1443"/>
      <c r="AA74" s="820"/>
      <c r="AB74" s="1413"/>
      <c r="AC74" s="1414" t="s">
        <v>227</v>
      </c>
      <c r="AD74" s="1414"/>
      <c r="AE74" s="1607"/>
      <c r="AF74" s="432"/>
      <c r="AG74" s="1535"/>
      <c r="AH74" s="1535"/>
      <c r="AI74" s="1535"/>
      <c r="AJ74" s="1535"/>
      <c r="AK74" s="1535"/>
      <c r="AL74" s="1535"/>
      <c r="AM74" s="1535"/>
      <c r="AN74" s="1535"/>
      <c r="AO74" s="1261"/>
      <c r="AP74" s="1261"/>
      <c r="AQ74" s="1261"/>
      <c r="AR74" s="1261"/>
      <c r="AS74" s="1261"/>
      <c r="AT74" s="1261" t="s">
        <v>223</v>
      </c>
      <c r="AU74" s="1261" t="s">
        <v>228</v>
      </c>
      <c r="AV74" s="1261"/>
      <c r="AW74" s="1261"/>
      <c r="AX74" s="1261"/>
      <c r="AY74" s="1261"/>
      <c r="AZ74" s="1261"/>
      <c r="BA74" s="1261"/>
      <c r="BB74" s="1261"/>
      <c r="BC74" s="1261"/>
      <c r="BD74" s="1261"/>
      <c r="BE74" s="1261"/>
    </row>
    <row customHeight="1" ht="19.89" hidden="1">
      <c r="A75" s="1443"/>
      <c r="B75" s="911">
        <f>HAS_DOC3="да"</f>
        <v>0</v>
      </c>
      <c r="C75" s="1443"/>
      <c r="D75" s="1443"/>
      <c r="E75" s="797">
        <v>20.4</v>
      </c>
      <c r="F75" s="965"/>
      <c r="G75" s="1443"/>
      <c r="H75" s="1443"/>
      <c r="I75" s="1443"/>
      <c r="J75" s="1443"/>
      <c r="K75" s="1443"/>
      <c r="L75" s="1443"/>
      <c r="M75" s="1443"/>
      <c r="N75" s="1443"/>
      <c r="O75" s="1443"/>
      <c r="P75" s="1443"/>
      <c r="Q75" s="1443"/>
      <c r="R75" s="1443"/>
      <c r="S75" s="1259" t="s">
        <v>111</v>
      </c>
      <c r="T75" s="1260" t="s">
        <v>112</v>
      </c>
      <c r="U75" s="1443"/>
      <c r="V75" s="1443"/>
      <c r="W75" s="1443"/>
      <c r="X75" s="1443"/>
      <c r="Y75" s="1443"/>
      <c r="Z75" s="1443"/>
      <c r="AA75" s="820"/>
      <c r="AB75" s="1413"/>
      <c r="AC75" s="1414" t="s">
        <v>229</v>
      </c>
      <c r="AD75" s="1414"/>
      <c r="AE75" s="1606"/>
      <c r="AF75" s="432"/>
      <c r="AG75" s="1535"/>
      <c r="AH75" s="1535"/>
      <c r="AI75" s="1535"/>
      <c r="AJ75" s="1535"/>
      <c r="AK75" s="1535"/>
      <c r="AL75" s="1535"/>
      <c r="AM75" s="1535"/>
      <c r="AN75" s="1535"/>
      <c r="AO75" s="1261"/>
      <c r="AP75" s="1261"/>
      <c r="AQ75" s="1261"/>
      <c r="AR75" s="1261"/>
      <c r="AS75" s="1261"/>
      <c r="AT75" s="1261" t="s">
        <v>223</v>
      </c>
      <c r="AU75" s="1261" t="s">
        <v>230</v>
      </c>
      <c r="AV75" s="1261"/>
      <c r="AW75" s="1261"/>
      <c r="AX75" s="1261"/>
      <c r="AY75" s="1261"/>
      <c r="AZ75" s="1261"/>
      <c r="BA75" s="1261"/>
      <c r="BB75" s="1261"/>
      <c r="BC75" s="1261"/>
      <c r="BD75" s="1261"/>
      <c r="BE75" s="1261"/>
    </row>
    <row customHeight="1" ht="19.89" hidden="1">
      <c r="A76" s="1443"/>
      <c r="B76" s="911">
        <f>HAS_DOC3="да"</f>
        <v>0</v>
      </c>
      <c r="C76" s="1443"/>
      <c r="D76" s="1443"/>
      <c r="E76" s="797">
        <v>20.4</v>
      </c>
      <c r="F76" s="965"/>
      <c r="G76" s="1443"/>
      <c r="H76" s="1443"/>
      <c r="I76" s="1443"/>
      <c r="J76" s="1443"/>
      <c r="K76" s="1443"/>
      <c r="L76" s="1443"/>
      <c r="M76" s="1443"/>
      <c r="N76" s="1443"/>
      <c r="O76" s="1443"/>
      <c r="P76" s="1443"/>
      <c r="Q76" s="1443"/>
      <c r="R76" s="1443"/>
      <c r="S76" s="1259" t="s">
        <v>111</v>
      </c>
      <c r="T76" s="1260" t="s">
        <v>112</v>
      </c>
      <c r="U76" s="1443"/>
      <c r="V76" s="1443"/>
      <c r="W76" s="1443"/>
      <c r="X76" s="1443"/>
      <c r="Y76" s="1443"/>
      <c r="Z76" s="1443"/>
      <c r="AA76" s="820"/>
      <c r="AB76" s="1413"/>
      <c r="AC76" s="1414" t="s">
        <v>231</v>
      </c>
      <c r="AD76" s="1414"/>
      <c r="AE76" s="1608"/>
      <c r="AF76" s="432"/>
      <c r="AG76" s="1535"/>
      <c r="AH76" s="1535"/>
      <c r="AI76" s="1535"/>
      <c r="AJ76" s="1535"/>
      <c r="AK76" s="1535"/>
      <c r="AL76" s="1535"/>
      <c r="AM76" s="1535"/>
      <c r="AN76" s="1535"/>
      <c r="AO76" s="1261"/>
      <c r="AP76" s="1261"/>
      <c r="AQ76" s="1261"/>
      <c r="AR76" s="1261"/>
      <c r="AS76" s="1261"/>
      <c r="AT76" s="1261" t="s">
        <v>223</v>
      </c>
      <c r="AU76" s="1261" t="s">
        <v>232</v>
      </c>
      <c r="AV76" s="1261"/>
      <c r="AW76" s="1261"/>
      <c r="AX76" s="1261"/>
      <c r="AY76" s="1261"/>
      <c r="AZ76" s="1261"/>
      <c r="BA76" s="1261"/>
      <c r="BB76" s="1261"/>
      <c r="BC76" s="1261"/>
      <c r="BD76" s="1261"/>
      <c r="BE76" s="1261"/>
    </row>
    <row customHeight="1" ht="19.89" hidden="1">
      <c r="A77" s="1443"/>
      <c r="B77" s="911">
        <f>HAS_DOC3="да"</f>
        <v>0</v>
      </c>
      <c r="C77" s="1443"/>
      <c r="D77" s="1443"/>
      <c r="E77" s="797">
        <v>20.4</v>
      </c>
      <c r="F77" s="965"/>
      <c r="G77" s="1443"/>
      <c r="H77" s="1443"/>
      <c r="I77" s="1443"/>
      <c r="J77" s="1443"/>
      <c r="K77" s="1443"/>
      <c r="L77" s="1443"/>
      <c r="M77" s="1443"/>
      <c r="N77" s="1443"/>
      <c r="O77" s="1443"/>
      <c r="P77" s="1443"/>
      <c r="Q77" s="1443"/>
      <c r="R77" s="1443"/>
      <c r="S77" s="1259" t="s">
        <v>215</v>
      </c>
      <c r="T77" s="1260" t="s">
        <v>216</v>
      </c>
      <c r="U77" s="1443"/>
      <c r="V77" s="1443"/>
      <c r="W77" s="1443"/>
      <c r="X77" s="1443"/>
      <c r="Y77" s="1443"/>
      <c r="Z77" s="1443"/>
      <c r="AA77" s="820"/>
      <c r="AB77" s="1413"/>
      <c r="AC77" s="1414" t="s">
        <v>215</v>
      </c>
      <c r="AD77" s="1414"/>
      <c r="AE77" s="1609"/>
      <c r="AF77" s="432"/>
      <c r="AG77" s="193"/>
      <c r="AH77" s="1535"/>
      <c r="AI77" s="1535"/>
      <c r="AJ77" s="1535"/>
      <c r="AK77" s="1535"/>
      <c r="AL77" s="1535"/>
      <c r="AM77" s="1535"/>
      <c r="AN77" s="1535"/>
      <c r="AO77" s="1261"/>
      <c r="AP77" s="1261"/>
      <c r="AQ77" s="1261"/>
      <c r="AR77" s="1261"/>
      <c r="AS77" s="1261"/>
      <c r="AT77" s="1261" t="s">
        <v>223</v>
      </c>
      <c r="AU77" s="1261" t="s">
        <v>233</v>
      </c>
      <c r="AV77" s="1261"/>
      <c r="AW77" s="1261"/>
      <c r="AX77" s="1261"/>
      <c r="AY77" s="1261"/>
      <c r="AZ77" s="1261"/>
      <c r="BA77" s="1261"/>
      <c r="BB77" s="1261"/>
      <c r="BC77" s="1261"/>
      <c r="BD77" s="1261"/>
      <c r="BE77" s="1261"/>
    </row>
    <row customHeight="1" ht="19.89" hidden="1">
      <c r="A78" s="1443"/>
      <c r="B78" s="911">
        <f>HAS_DOC3="да"</f>
        <v>0</v>
      </c>
      <c r="C78" s="1443"/>
      <c r="D78" s="1443"/>
      <c r="E78" s="797">
        <v>20.4</v>
      </c>
      <c r="F78" s="965"/>
      <c r="G78" s="1443"/>
      <c r="H78" s="1443"/>
      <c r="I78" s="1443"/>
      <c r="J78" s="1443"/>
      <c r="K78" s="1443"/>
      <c r="L78" s="1443"/>
      <c r="M78" s="1443"/>
      <c r="N78" s="1443"/>
      <c r="O78" s="1443"/>
      <c r="P78" s="1443"/>
      <c r="Q78" s="1443"/>
      <c r="R78" s="1443"/>
      <c r="S78" s="1259" t="s">
        <v>111</v>
      </c>
      <c r="T78" s="1260" t="s">
        <v>112</v>
      </c>
      <c r="U78" s="1443"/>
      <c r="V78" s="1443"/>
      <c r="W78" s="819">
        <f>ROW(Y78)&gt;ROW(Y$78)</f>
        <v>0</v>
      </c>
      <c r="X78" s="1443"/>
      <c r="Y78" s="179" t="s">
        <v>234</v>
      </c>
      <c r="Z78" s="1443"/>
      <c r="AA78" s="1415" t="s">
        <v>218</v>
      </c>
      <c r="AB78" s="1413" t="s">
        <v>224</v>
      </c>
      <c r="AC78" s="1414" t="s">
        <v>225</v>
      </c>
      <c r="AD78" s="1414"/>
      <c r="AE78" s="1613"/>
      <c r="AF78" s="432"/>
      <c r="AG78" s="193"/>
      <c r="AH78" s="1535"/>
      <c r="AI78" s="1535"/>
      <c r="AJ78" s="1535"/>
      <c r="AK78" s="1535"/>
      <c r="AL78" s="1535"/>
      <c r="AM78" s="1535"/>
      <c r="AN78" s="1535"/>
      <c r="AO78" s="1268" cm="1" t="str">
        <f t="array" ref="AO78:AO78">AE78</f>
        <v>0</v>
      </c>
      <c r="AP78" s="1261"/>
      <c r="AQ78" s="1261"/>
      <c r="AR78" s="1261"/>
      <c r="AS78" s="1261"/>
      <c r="AT78" s="1261" t="s">
        <v>223</v>
      </c>
      <c r="AU78" s="1261" t="s">
        <v>226</v>
      </c>
      <c r="AV78" s="1261"/>
      <c r="AW78" s="1261"/>
      <c r="AX78" s="1261"/>
      <c r="AY78" s="1261"/>
      <c r="AZ78" s="1261"/>
      <c r="BA78" s="1261"/>
      <c r="BB78" s="1261"/>
      <c r="BC78" s="1261"/>
      <c r="BD78" s="1261"/>
      <c r="BE78" s="1261"/>
    </row>
    <row customHeight="1" ht="19.89" hidden="1">
      <c r="A79" s="1443"/>
      <c r="B79" s="911">
        <f>HAS_DOC3="да"</f>
        <v>0</v>
      </c>
      <c r="C79" s="1443"/>
      <c r="D79" s="1443"/>
      <c r="E79" s="797">
        <v>20.4</v>
      </c>
      <c r="F79" s="965"/>
      <c r="G79" s="1443"/>
      <c r="H79" s="1443"/>
      <c r="I79" s="1443"/>
      <c r="J79" s="1443"/>
      <c r="K79" s="1443"/>
      <c r="L79" s="1443"/>
      <c r="M79" s="1443"/>
      <c r="N79" s="1443"/>
      <c r="O79" s="1443"/>
      <c r="P79" s="1443"/>
      <c r="Q79" s="1443"/>
      <c r="R79" s="1443"/>
      <c r="S79" s="1259" t="s">
        <v>111</v>
      </c>
      <c r="T79" s="1260" t="s">
        <v>112</v>
      </c>
      <c r="U79" s="1443"/>
      <c r="V79" s="1443"/>
      <c r="W79" s="819" cm="1" t="str">
        <f t="array" ref="W79:W79">W78</f>
        <v>false</v>
      </c>
      <c r="X79" s="1443"/>
      <c r="Y79" s="1443"/>
      <c r="Z79" s="1443"/>
      <c r="AA79" s="1415"/>
      <c r="AB79" s="1413"/>
      <c r="AC79" s="1414" t="s">
        <v>227</v>
      </c>
      <c r="AD79" s="1414"/>
      <c r="AE79" s="1615"/>
      <c r="AF79" s="432"/>
      <c r="AG79" s="193"/>
      <c r="AH79" s="1535"/>
      <c r="AI79" s="1535"/>
      <c r="AJ79" s="1535"/>
      <c r="AK79" s="1535"/>
      <c r="AL79" s="1535"/>
      <c r="AM79" s="1535"/>
      <c r="AN79" s="1535"/>
      <c r="AO79" s="1261" cm="1" t="str">
        <f t="array" ref="AO79:AO79">AO78</f>
        <v>0</v>
      </c>
      <c r="AP79" s="1261"/>
      <c r="AQ79" s="1261"/>
      <c r="AR79" s="1261"/>
      <c r="AS79" s="1261"/>
      <c r="AT79" s="1261" t="s">
        <v>223</v>
      </c>
      <c r="AU79" s="1261" t="s">
        <v>228</v>
      </c>
      <c r="AV79" s="1261"/>
      <c r="AW79" s="1261"/>
      <c r="AX79" s="1261"/>
      <c r="AY79" s="1261"/>
      <c r="AZ79" s="1261"/>
      <c r="BA79" s="1261"/>
      <c r="BB79" s="1261"/>
      <c r="BC79" s="1261"/>
      <c r="BD79" s="1261"/>
      <c r="BE79" s="1261"/>
    </row>
    <row customHeight="1" ht="19.89" hidden="1">
      <c r="A80" s="1443"/>
      <c r="B80" s="911">
        <f>HAS_DOC3="да"</f>
        <v>0</v>
      </c>
      <c r="C80" s="1443"/>
      <c r="D80" s="1443"/>
      <c r="E80" s="797">
        <v>20.4</v>
      </c>
      <c r="F80" s="965"/>
      <c r="G80" s="1443"/>
      <c r="H80" s="1443"/>
      <c r="I80" s="1443"/>
      <c r="J80" s="1443"/>
      <c r="K80" s="1443"/>
      <c r="L80" s="1443"/>
      <c r="M80" s="1443"/>
      <c r="N80" s="1443"/>
      <c r="O80" s="1443"/>
      <c r="P80" s="1443"/>
      <c r="Q80" s="1443"/>
      <c r="R80" s="1443"/>
      <c r="S80" s="1259" t="s">
        <v>111</v>
      </c>
      <c r="T80" s="1260" t="s">
        <v>112</v>
      </c>
      <c r="U80" s="1443"/>
      <c r="V80" s="1443"/>
      <c r="W80" s="819" cm="1" t="str">
        <f t="array" ref="W80:W80">W79</f>
        <v>false</v>
      </c>
      <c r="X80" s="1443"/>
      <c r="Y80" s="1443"/>
      <c r="Z80" s="1443"/>
      <c r="AA80" s="1415"/>
      <c r="AB80" s="1413"/>
      <c r="AC80" s="1414" t="s">
        <v>229</v>
      </c>
      <c r="AD80" s="1414"/>
      <c r="AE80" s="1613"/>
      <c r="AF80" s="432"/>
      <c r="AG80" s="193"/>
      <c r="AH80" s="1535"/>
      <c r="AI80" s="1535"/>
      <c r="AJ80" s="1535"/>
      <c r="AK80" s="1535"/>
      <c r="AL80" s="1535"/>
      <c r="AM80" s="1535"/>
      <c r="AN80" s="1535"/>
      <c r="AO80" s="1261" cm="1" t="str">
        <f t="array" ref="AO80:AO80">AO79</f>
        <v>0</v>
      </c>
      <c r="AP80" s="1261"/>
      <c r="AQ80" s="1261"/>
      <c r="AR80" s="1261"/>
      <c r="AS80" s="1261"/>
      <c r="AT80" s="1261" t="s">
        <v>223</v>
      </c>
      <c r="AU80" s="1261" t="s">
        <v>230</v>
      </c>
      <c r="AV80" s="1261"/>
      <c r="AW80" s="1261"/>
      <c r="AX80" s="1261"/>
      <c r="AY80" s="1261"/>
      <c r="AZ80" s="1261"/>
      <c r="BA80" s="1261"/>
      <c r="BB80" s="1261"/>
      <c r="BC80" s="1261"/>
      <c r="BD80" s="1261"/>
      <c r="BE80" s="1261"/>
    </row>
    <row customHeight="1" ht="19.89" hidden="1">
      <c r="A81" s="1443"/>
      <c r="B81" s="911">
        <f>HAS_DOC3="да"</f>
        <v>0</v>
      </c>
      <c r="C81" s="1443"/>
      <c r="D81" s="1443"/>
      <c r="E81" s="797">
        <v>20.4</v>
      </c>
      <c r="F81" s="965"/>
      <c r="G81" s="1443"/>
      <c r="H81" s="1443"/>
      <c r="I81" s="1443"/>
      <c r="J81" s="1443"/>
      <c r="K81" s="1443"/>
      <c r="L81" s="1443"/>
      <c r="M81" s="1443"/>
      <c r="N81" s="1443"/>
      <c r="O81" s="1443"/>
      <c r="P81" s="1443"/>
      <c r="Q81" s="1443"/>
      <c r="R81" s="1443"/>
      <c r="S81" s="1259" t="s">
        <v>111</v>
      </c>
      <c r="T81" s="1260" t="s">
        <v>112</v>
      </c>
      <c r="U81" s="1443"/>
      <c r="V81" s="1443"/>
      <c r="W81" s="819" cm="1" t="str">
        <f t="array" ref="W81:W81">W80</f>
        <v>false</v>
      </c>
      <c r="X81" s="1443"/>
      <c r="Y81" s="1443"/>
      <c r="Z81" s="1443"/>
      <c r="AA81" s="1415"/>
      <c r="AB81" s="1413"/>
      <c r="AC81" s="1414" t="s">
        <v>231</v>
      </c>
      <c r="AD81" s="1414"/>
      <c r="AE81" s="1616"/>
      <c r="AF81" s="432"/>
      <c r="AG81" s="193"/>
      <c r="AH81" s="1535"/>
      <c r="AI81" s="1535"/>
      <c r="AJ81" s="1535"/>
      <c r="AK81" s="1535"/>
      <c r="AL81" s="1535"/>
      <c r="AM81" s="1535"/>
      <c r="AN81" s="1535"/>
      <c r="AO81" s="1261" cm="1" t="str">
        <f t="array" ref="AO81:AO81">AO80</f>
        <v>0</v>
      </c>
      <c r="AP81" s="1261"/>
      <c r="AQ81" s="1261"/>
      <c r="AR81" s="1261"/>
      <c r="AS81" s="1261"/>
      <c r="AT81" s="1261" t="s">
        <v>223</v>
      </c>
      <c r="AU81" s="1261" t="s">
        <v>232</v>
      </c>
      <c r="AV81" s="1261"/>
      <c r="AW81" s="1261"/>
      <c r="AX81" s="1261"/>
      <c r="AY81" s="1261"/>
      <c r="AZ81" s="1261"/>
      <c r="BA81" s="1261"/>
      <c r="BB81" s="1261"/>
      <c r="BC81" s="1261"/>
      <c r="BD81" s="1261"/>
      <c r="BE81" s="1261"/>
    </row>
    <row customHeight="1" ht="19.89" hidden="1">
      <c r="A82" s="1443"/>
      <c r="B82" s="911">
        <f>HAS_DOC3="да"</f>
        <v>0</v>
      </c>
      <c r="C82" s="1443"/>
      <c r="D82" s="1443"/>
      <c r="E82" s="797">
        <v>20.4</v>
      </c>
      <c r="F82" s="965"/>
      <c r="G82" s="1443"/>
      <c r="H82" s="1443"/>
      <c r="I82" s="1443"/>
      <c r="J82" s="1443"/>
      <c r="K82" s="1443"/>
      <c r="L82" s="1443"/>
      <c r="M82" s="1443"/>
      <c r="N82" s="1443"/>
      <c r="O82" s="1443"/>
      <c r="P82" s="1443"/>
      <c r="Q82" s="1443"/>
      <c r="R82" s="1443"/>
      <c r="S82" s="1259" t="s">
        <v>215</v>
      </c>
      <c r="T82" s="1260" t="s">
        <v>216</v>
      </c>
      <c r="U82" s="1443"/>
      <c r="V82" s="1443"/>
      <c r="W82" s="819" cm="1" t="str">
        <f t="array" ref="W82:W82">W81</f>
        <v>false</v>
      </c>
      <c r="X82" s="1443"/>
      <c r="Y82" s="1443"/>
      <c r="Z82" s="1443"/>
      <c r="AA82" s="1415"/>
      <c r="AB82" s="1413"/>
      <c r="AC82" s="1414" t="s">
        <v>215</v>
      </c>
      <c r="AD82" s="1414"/>
      <c r="AE82" s="1617"/>
      <c r="AF82" s="432"/>
      <c r="AG82" s="193"/>
      <c r="AH82" s="1535"/>
      <c r="AI82" s="1535"/>
      <c r="AJ82" s="1535"/>
      <c r="AK82" s="1535"/>
      <c r="AL82" s="1535"/>
      <c r="AM82" s="1535"/>
      <c r="AN82" s="1535"/>
      <c r="AO82" s="1261" cm="1" t="str">
        <f t="array" ref="AO82:AO82">AO81</f>
        <v>0</v>
      </c>
      <c r="AP82" s="1261"/>
      <c r="AQ82" s="1261"/>
      <c r="AR82" s="1261"/>
      <c r="AS82" s="1261"/>
      <c r="AT82" s="1261" t="s">
        <v>223</v>
      </c>
      <c r="AU82" s="1261" t="s">
        <v>233</v>
      </c>
      <c r="AV82" s="1261"/>
      <c r="AW82" s="1261"/>
      <c r="AX82" s="1261"/>
      <c r="AY82" s="1261"/>
      <c r="AZ82" s="1261"/>
      <c r="BA82" s="1261"/>
      <c r="BB82" s="1261"/>
      <c r="BC82" s="1261"/>
      <c r="BD82" s="1261"/>
      <c r="BE82" s="1261"/>
    </row>
    <row customHeight="1" ht="14.625" hidden="1">
      <c r="A83" s="1443"/>
      <c r="B83" s="911">
        <f>HAS_DOC3="да"</f>
        <v>0</v>
      </c>
      <c r="C83" s="1443"/>
      <c r="D83" s="1443"/>
      <c r="E83" s="797">
        <v>15</v>
      </c>
      <c r="F83" s="214" t="s">
        <v>220</v>
      </c>
      <c r="G83" s="1443"/>
      <c r="H83" s="1443"/>
      <c r="I83" s="1443"/>
      <c r="J83" s="1443"/>
      <c r="K83" s="1443"/>
      <c r="L83" s="1443"/>
      <c r="M83" s="1443"/>
      <c r="N83" s="1443"/>
      <c r="O83" s="1443"/>
      <c r="P83" s="1443"/>
      <c r="Q83" s="1443"/>
      <c r="R83" s="1443"/>
      <c r="S83" s="1265"/>
      <c r="T83" s="1266"/>
      <c r="U83" s="1443"/>
      <c r="V83" s="1443"/>
      <c r="W83" s="1443"/>
      <c r="X83" s="1443"/>
      <c r="Y83" s="374" t="s">
        <v>235</v>
      </c>
      <c r="Z83" s="1443"/>
      <c r="AA83" s="820"/>
      <c r="AB83" s="342"/>
      <c r="AC83" s="341"/>
      <c r="AD83" s="341"/>
      <c r="AE83" s="340" t="s">
        <v>236</v>
      </c>
      <c r="AF83" s="432"/>
      <c r="AG83" s="193"/>
      <c r="AH83" s="1535"/>
      <c r="AI83" s="1535"/>
      <c r="AJ83" s="1535"/>
      <c r="AK83" s="1535"/>
      <c r="AL83" s="1535"/>
      <c r="AM83" s="1535"/>
      <c r="AN83" s="1535"/>
      <c r="AO83" s="1267"/>
      <c r="AP83" s="1267"/>
      <c r="AQ83" s="1267"/>
      <c r="AR83" s="1267"/>
      <c r="AS83" s="1267"/>
      <c r="AT83" s="1267"/>
      <c r="AU83" s="1267"/>
      <c r="AV83" s="1267"/>
      <c r="AW83" s="1267"/>
      <c r="AX83" s="1267"/>
      <c r="AY83" s="1267"/>
      <c r="AZ83" s="1267"/>
      <c r="BA83" s="1267"/>
      <c r="BB83" s="1267"/>
      <c r="BC83" s="1267"/>
      <c r="BD83" s="1267"/>
      <c r="BE83" s="1267"/>
    </row>
    <row customHeight="1" ht="19.89">
      <c r="E84" s="797">
        <v>20.4</v>
      </c>
      <c r="F84" s="214" t="s">
        <v>237</v>
      </c>
      <c r="S84" s="1259" t="s">
        <v>186</v>
      </c>
      <c r="T84" s="1260" t="s">
        <v>187</v>
      </c>
      <c r="AB84" s="1414" t="s">
        <v>238</v>
      </c>
      <c r="AC84" s="1414"/>
      <c r="AD84" s="1414"/>
      <c r="AE84" s="442" t="s">
        <v>200</v>
      </c>
      <c r="AF84" s="432"/>
      <c r="AG84" s="155" t="s">
        <v>239</v>
      </c>
      <c r="AO84" s="1261"/>
      <c r="AP84" s="1261"/>
      <c r="AQ84" s="1261"/>
      <c r="AR84" s="1261"/>
      <c r="AS84" s="1261"/>
      <c r="AT84" s="1261"/>
      <c r="AU84" s="1261"/>
      <c r="AV84" s="1261" t="s">
        <v>240</v>
      </c>
      <c r="AW84" s="1261"/>
      <c r="AX84" s="1261"/>
      <c r="AY84" s="1261"/>
      <c r="AZ84" s="1261"/>
      <c r="BA84" s="1261"/>
      <c r="BB84" s="1261"/>
      <c r="BC84" s="1261"/>
      <c r="BD84" s="1261"/>
      <c r="BE84" s="1261"/>
    </row>
    <row customHeight="1" ht="19.89">
      <c r="A85" s="1443"/>
      <c r="B85" s="911">
        <f>HAS_DOC4="да"</f>
        <v>1</v>
      </c>
      <c r="C85" s="1443"/>
      <c r="D85" s="1443"/>
      <c r="E85" s="797">
        <v>20.4</v>
      </c>
      <c r="F85" s="965"/>
      <c r="G85" s="1443"/>
      <c r="H85" s="1443"/>
      <c r="I85" s="1443"/>
      <c r="J85" s="1443"/>
      <c r="K85" s="1443"/>
      <c r="L85" s="1443"/>
      <c r="M85" s="1443"/>
      <c r="N85" s="1443"/>
      <c r="O85" s="1443"/>
      <c r="P85" s="1443"/>
      <c r="Q85" s="1443"/>
      <c r="R85" s="1443"/>
      <c r="S85" s="1259" t="s">
        <v>111</v>
      </c>
      <c r="T85" s="1260" t="s">
        <v>112</v>
      </c>
      <c r="U85" s="1443"/>
      <c r="V85" s="1443"/>
      <c r="W85" s="1443"/>
      <c r="X85" s="1443"/>
      <c r="Y85" s="1443"/>
      <c r="Z85" s="1443"/>
      <c r="AA85" s="820"/>
      <c r="AB85" s="1413" t="s">
        <v>224</v>
      </c>
      <c r="AC85" s="1414" t="s">
        <v>225</v>
      </c>
      <c r="AD85" s="1414"/>
      <c r="AE85" s="1623" t="s">
        <v>241</v>
      </c>
      <c r="AF85" s="432"/>
      <c r="AG85" s="1535"/>
      <c r="AH85" s="1535"/>
      <c r="AI85" s="1535"/>
      <c r="AJ85" s="1535"/>
      <c r="AK85" s="1535"/>
      <c r="AL85" s="1535"/>
      <c r="AM85" s="1535"/>
      <c r="AN85" s="1535"/>
      <c r="AO85" s="1261"/>
      <c r="AP85" s="1261"/>
      <c r="AQ85" s="1261"/>
      <c r="AR85" s="1261"/>
      <c r="AS85" s="1261"/>
      <c r="AT85" s="1261"/>
      <c r="AU85" s="1261" t="s">
        <v>226</v>
      </c>
      <c r="AV85" s="1261" t="s">
        <v>240</v>
      </c>
      <c r="AW85" s="1261"/>
      <c r="AX85" s="1261"/>
      <c r="AY85" s="1261"/>
      <c r="AZ85" s="1261"/>
      <c r="BA85" s="1261"/>
      <c r="BB85" s="1261"/>
      <c r="BC85" s="1261"/>
      <c r="BD85" s="1261"/>
      <c r="BE85" s="1261"/>
    </row>
    <row customHeight="1" ht="19.89">
      <c r="A86" s="1443"/>
      <c r="B86" s="911">
        <f>HAS_DOC4="да"</f>
        <v>1</v>
      </c>
      <c r="C86" s="1443"/>
      <c r="D86" s="1443"/>
      <c r="E86" s="797">
        <v>20.4</v>
      </c>
      <c r="F86" s="965"/>
      <c r="G86" s="1443"/>
      <c r="H86" s="1443"/>
      <c r="I86" s="1443"/>
      <c r="J86" s="1443"/>
      <c r="K86" s="1443"/>
      <c r="L86" s="1443"/>
      <c r="M86" s="1443"/>
      <c r="N86" s="1443"/>
      <c r="O86" s="1443"/>
      <c r="P86" s="1443"/>
      <c r="Q86" s="1443"/>
      <c r="R86" s="1443"/>
      <c r="S86" s="1259" t="s">
        <v>111</v>
      </c>
      <c r="T86" s="1260" t="s">
        <v>112</v>
      </c>
      <c r="U86" s="1443"/>
      <c r="V86" s="1443"/>
      <c r="W86" s="1443"/>
      <c r="X86" s="1443"/>
      <c r="Y86" s="1443"/>
      <c r="Z86" s="1443"/>
      <c r="AA86" s="820"/>
      <c r="AB86" s="1413"/>
      <c r="AC86" s="1414" t="s">
        <v>227</v>
      </c>
      <c r="AD86" s="1414"/>
      <c r="AE86" s="1624" t="s">
        <v>242</v>
      </c>
      <c r="AF86" s="432"/>
      <c r="AG86" s="1535"/>
      <c r="AH86" s="1535"/>
      <c r="AI86" s="1535"/>
      <c r="AJ86" s="1535"/>
      <c r="AK86" s="1535"/>
      <c r="AL86" s="1535"/>
      <c r="AM86" s="1535"/>
      <c r="AN86" s="1535"/>
      <c r="AO86" s="1261"/>
      <c r="AP86" s="1261"/>
      <c r="AQ86" s="1261"/>
      <c r="AR86" s="1261"/>
      <c r="AS86" s="1261"/>
      <c r="AT86" s="1261"/>
      <c r="AU86" s="1261" t="s">
        <v>228</v>
      </c>
      <c r="AV86" s="1261" t="s">
        <v>240</v>
      </c>
      <c r="AW86" s="1261"/>
      <c r="AX86" s="1261"/>
      <c r="AY86" s="1261"/>
      <c r="AZ86" s="1261"/>
      <c r="BA86" s="1261"/>
      <c r="BB86" s="1261"/>
      <c r="BC86" s="1261"/>
      <c r="BD86" s="1261"/>
      <c r="BE86" s="1261"/>
    </row>
    <row customHeight="1" ht="19.89">
      <c r="A87" s="1443"/>
      <c r="B87" s="911">
        <f>HAS_DOC4="да"</f>
        <v>1</v>
      </c>
      <c r="C87" s="1443"/>
      <c r="D87" s="1443"/>
      <c r="E87" s="797">
        <v>20.4</v>
      </c>
      <c r="F87" s="965"/>
      <c r="G87" s="1443"/>
      <c r="H87" s="1443"/>
      <c r="I87" s="1443"/>
      <c r="J87" s="1443"/>
      <c r="K87" s="1443"/>
      <c r="L87" s="1443"/>
      <c r="M87" s="1443"/>
      <c r="N87" s="1443"/>
      <c r="O87" s="1443"/>
      <c r="P87" s="1443"/>
      <c r="Q87" s="1443"/>
      <c r="R87" s="1443"/>
      <c r="S87" s="1259" t="s">
        <v>111</v>
      </c>
      <c r="T87" s="1260" t="s">
        <v>112</v>
      </c>
      <c r="U87" s="1443"/>
      <c r="V87" s="1443"/>
      <c r="W87" s="1443"/>
      <c r="X87" s="1443"/>
      <c r="Y87" s="1443"/>
      <c r="Z87" s="1443"/>
      <c r="AA87" s="820"/>
      <c r="AB87" s="1413"/>
      <c r="AC87" s="1414" t="s">
        <v>229</v>
      </c>
      <c r="AD87" s="1414"/>
      <c r="AE87" s="1623" t="s">
        <v>243</v>
      </c>
      <c r="AF87" s="432"/>
      <c r="AG87" s="1535"/>
      <c r="AH87" s="1535"/>
      <c r="AI87" s="1535"/>
      <c r="AJ87" s="1535"/>
      <c r="AK87" s="1535"/>
      <c r="AL87" s="1535"/>
      <c r="AM87" s="1535"/>
      <c r="AN87" s="1535"/>
      <c r="AO87" s="1261"/>
      <c r="AP87" s="1261"/>
      <c r="AQ87" s="1261"/>
      <c r="AR87" s="1261"/>
      <c r="AS87" s="1261"/>
      <c r="AT87" s="1261"/>
      <c r="AU87" s="1261" t="s">
        <v>230</v>
      </c>
      <c r="AV87" s="1261" t="s">
        <v>240</v>
      </c>
      <c r="AW87" s="1261"/>
      <c r="AX87" s="1261"/>
      <c r="AY87" s="1261"/>
      <c r="AZ87" s="1261"/>
      <c r="BA87" s="1261"/>
      <c r="BB87" s="1261"/>
      <c r="BC87" s="1261"/>
      <c r="BD87" s="1261"/>
      <c r="BE87" s="1261"/>
    </row>
    <row customHeight="1" ht="19.89">
      <c r="A88" s="1443"/>
      <c r="B88" s="911">
        <f>HAS_DOC4="да"</f>
        <v>1</v>
      </c>
      <c r="C88" s="1443"/>
      <c r="D88" s="1443"/>
      <c r="E88" s="797">
        <v>20.4</v>
      </c>
      <c r="F88" s="965"/>
      <c r="G88" s="1443"/>
      <c r="H88" s="1443"/>
      <c r="I88" s="1443"/>
      <c r="J88" s="1443"/>
      <c r="K88" s="1443"/>
      <c r="L88" s="1443"/>
      <c r="M88" s="1443"/>
      <c r="N88" s="1443"/>
      <c r="O88" s="1443"/>
      <c r="P88" s="1443"/>
      <c r="Q88" s="1443"/>
      <c r="R88" s="1443"/>
      <c r="S88" s="1259" t="s">
        <v>111</v>
      </c>
      <c r="T88" s="1260" t="s">
        <v>112</v>
      </c>
      <c r="U88" s="1443"/>
      <c r="V88" s="1443"/>
      <c r="W88" s="1443"/>
      <c r="X88" s="1443"/>
      <c r="Y88" s="1443"/>
      <c r="Z88" s="1443"/>
      <c r="AA88" s="820"/>
      <c r="AB88" s="1413"/>
      <c r="AC88" s="1414" t="s">
        <v>231</v>
      </c>
      <c r="AD88" s="1414"/>
      <c r="AE88" s="1625">
        <v>44015</v>
      </c>
      <c r="AF88" s="432"/>
      <c r="AG88" s="1535"/>
      <c r="AH88" s="1535"/>
      <c r="AI88" s="1535"/>
      <c r="AJ88" s="1535"/>
      <c r="AK88" s="1535"/>
      <c r="AL88" s="1535"/>
      <c r="AM88" s="1535"/>
      <c r="AN88" s="1535"/>
      <c r="AO88" s="1261"/>
      <c r="AP88" s="1261"/>
      <c r="AQ88" s="1261"/>
      <c r="AR88" s="1261"/>
      <c r="AS88" s="1261"/>
      <c r="AT88" s="1261"/>
      <c r="AU88" s="1261" t="s">
        <v>232</v>
      </c>
      <c r="AV88" s="1261" t="s">
        <v>240</v>
      </c>
      <c r="AW88" s="1261"/>
      <c r="AX88" s="1261"/>
      <c r="AY88" s="1261"/>
      <c r="AZ88" s="1261"/>
      <c r="BA88" s="1261"/>
      <c r="BB88" s="1261"/>
      <c r="BC88" s="1261"/>
      <c r="BD88" s="1261"/>
      <c r="BE88" s="1261"/>
    </row>
    <row customHeight="1" ht="19.89">
      <c r="A89" s="1443"/>
      <c r="B89" s="911">
        <f>HAS_DOC4="да"</f>
        <v>1</v>
      </c>
      <c r="C89" s="1443"/>
      <c r="D89" s="1443"/>
      <c r="E89" s="797">
        <v>20.4</v>
      </c>
      <c r="F89" s="965"/>
      <c r="G89" s="1443"/>
      <c r="H89" s="1443"/>
      <c r="I89" s="1443"/>
      <c r="J89" s="1443"/>
      <c r="K89" s="1443"/>
      <c r="L89" s="1443"/>
      <c r="M89" s="1443"/>
      <c r="N89" s="1443"/>
      <c r="O89" s="1443"/>
      <c r="P89" s="1443"/>
      <c r="Q89" s="1443"/>
      <c r="R89" s="1443"/>
      <c r="S89" s="1259" t="s">
        <v>215</v>
      </c>
      <c r="T89" s="1260" t="s">
        <v>216</v>
      </c>
      <c r="U89" s="1443"/>
      <c r="V89" s="1443"/>
      <c r="W89" s="1443"/>
      <c r="X89" s="1443"/>
      <c r="Y89" s="1443"/>
      <c r="Z89" s="1443"/>
      <c r="AA89" s="820"/>
      <c r="AB89" s="1413"/>
      <c r="AC89" s="1414" t="s">
        <v>215</v>
      </c>
      <c r="AD89" s="1414"/>
      <c r="AE89" s="1626" t="s">
        <v>244</v>
      </c>
      <c r="AF89" s="432"/>
      <c r="AG89" s="193"/>
      <c r="AH89" s="1535"/>
      <c r="AI89" s="1535"/>
      <c r="AJ89" s="1535"/>
      <c r="AK89" s="1535"/>
      <c r="AL89" s="1535"/>
      <c r="AM89" s="1535"/>
      <c r="AN89" s="1535"/>
      <c r="AO89" s="1261"/>
      <c r="AP89" s="1261"/>
      <c r="AQ89" s="1261"/>
      <c r="AR89" s="1261"/>
      <c r="AS89" s="1261"/>
      <c r="AT89" s="1261"/>
      <c r="AU89" s="1261" t="s">
        <v>233</v>
      </c>
      <c r="AV89" s="1261" t="s">
        <v>240</v>
      </c>
      <c r="AW89" s="1261"/>
      <c r="AX89" s="1261"/>
      <c r="AY89" s="1261"/>
      <c r="AZ89" s="1261"/>
      <c r="BA89" s="1261"/>
      <c r="BB89" s="1261"/>
      <c r="BC89" s="1261"/>
      <c r="BD89" s="1261"/>
      <c r="BE89" s="1261"/>
    </row>
    <row customHeight="1" ht="19.89" hidden="1">
      <c r="A90" s="1443"/>
      <c r="B90" s="911">
        <f>HAS_DOC4="да"</f>
        <v>1</v>
      </c>
      <c r="C90" s="1443"/>
      <c r="D90" s="1443"/>
      <c r="E90" s="797">
        <v>20.4</v>
      </c>
      <c r="F90" s="965"/>
      <c r="G90" s="1443"/>
      <c r="H90" s="1443"/>
      <c r="I90" s="1443"/>
      <c r="J90" s="1443"/>
      <c r="K90" s="1443"/>
      <c r="L90" s="1443"/>
      <c r="M90" s="1443"/>
      <c r="N90" s="1443"/>
      <c r="O90" s="1443"/>
      <c r="P90" s="1443"/>
      <c r="Q90" s="1443"/>
      <c r="R90" s="1443"/>
      <c r="S90" s="1259" t="s">
        <v>111</v>
      </c>
      <c r="T90" s="1260" t="s">
        <v>112</v>
      </c>
      <c r="U90" s="1443"/>
      <c r="V90" s="1443"/>
      <c r="W90" s="819">
        <f>ROW(Y90)&gt;ROW(Y$90)</f>
        <v>0</v>
      </c>
      <c r="X90" s="1443"/>
      <c r="Y90" s="179" t="s">
        <v>234</v>
      </c>
      <c r="Z90" s="1443"/>
      <c r="AA90" s="1415" t="s">
        <v>218</v>
      </c>
      <c r="AB90" s="1413" t="s">
        <v>224</v>
      </c>
      <c r="AC90" s="1414" t="s">
        <v>225</v>
      </c>
      <c r="AD90" s="1414"/>
      <c r="AE90" s="469"/>
      <c r="AF90" s="432"/>
      <c r="AG90" s="1535"/>
      <c r="AH90" s="1535"/>
      <c r="AI90" s="1535"/>
      <c r="AJ90" s="1535"/>
      <c r="AK90" s="1535"/>
      <c r="AL90" s="1535"/>
      <c r="AM90" s="1535"/>
      <c r="AN90" s="1535"/>
      <c r="AO90" s="1268" cm="1" t="str">
        <f t="array" ref="AO90:AO90">AE90</f>
        <v>0</v>
      </c>
      <c r="AP90" s="1261"/>
      <c r="AQ90" s="1261"/>
      <c r="AR90" s="1261"/>
      <c r="AS90" s="1261"/>
      <c r="AT90" s="1261"/>
      <c r="AU90" s="1261" t="s">
        <v>226</v>
      </c>
      <c r="AV90" s="1261" t="s">
        <v>240</v>
      </c>
      <c r="AW90" s="1261"/>
      <c r="AX90" s="1261"/>
      <c r="AY90" s="1261"/>
      <c r="AZ90" s="1261"/>
      <c r="BA90" s="1261"/>
      <c r="BB90" s="1261"/>
      <c r="BC90" s="1261"/>
      <c r="BD90" s="1261"/>
      <c r="BE90" s="1261"/>
    </row>
    <row customHeight="1" ht="19.89" hidden="1">
      <c r="A91" s="1443"/>
      <c r="B91" s="911">
        <f>HAS_DOC4="да"</f>
        <v>1</v>
      </c>
      <c r="C91" s="1443"/>
      <c r="D91" s="1443"/>
      <c r="E91" s="797">
        <v>20.4</v>
      </c>
      <c r="F91" s="965"/>
      <c r="G91" s="1443"/>
      <c r="H91" s="1443"/>
      <c r="I91" s="1443"/>
      <c r="J91" s="1443"/>
      <c r="K91" s="1443"/>
      <c r="L91" s="1443"/>
      <c r="M91" s="1443"/>
      <c r="N91" s="1443"/>
      <c r="O91" s="1443"/>
      <c r="P91" s="1443"/>
      <c r="Q91" s="1443"/>
      <c r="R91" s="1443"/>
      <c r="S91" s="1259" t="s">
        <v>111</v>
      </c>
      <c r="T91" s="1260" t="s">
        <v>112</v>
      </c>
      <c r="U91" s="1443"/>
      <c r="V91" s="1443"/>
      <c r="W91" s="819" cm="1" t="str">
        <f t="array" ref="W91:W91">W90</f>
        <v>false</v>
      </c>
      <c r="X91" s="1443"/>
      <c r="Y91" s="1443"/>
      <c r="Z91" s="1443"/>
      <c r="AA91" s="1415"/>
      <c r="AB91" s="1413"/>
      <c r="AC91" s="1414" t="s">
        <v>227</v>
      </c>
      <c r="AD91" s="1414"/>
      <c r="AE91" s="470" t="s">
        <v>245</v>
      </c>
      <c r="AF91" s="432"/>
      <c r="AG91" s="1535"/>
      <c r="AH91" s="1535"/>
      <c r="AI91" s="1535"/>
      <c r="AJ91" s="1535"/>
      <c r="AK91" s="1535"/>
      <c r="AL91" s="1535"/>
      <c r="AM91" s="1535"/>
      <c r="AN91" s="1535"/>
      <c r="AO91" s="1268" cm="1" t="str">
        <f t="array" ref="AO91:AO91">AO90</f>
        <v>0</v>
      </c>
      <c r="AP91" s="1261"/>
      <c r="AQ91" s="1261"/>
      <c r="AR91" s="1261"/>
      <c r="AS91" s="1261"/>
      <c r="AT91" s="1261"/>
      <c r="AU91" s="1261" t="s">
        <v>228</v>
      </c>
      <c r="AV91" s="1261" t="s">
        <v>240</v>
      </c>
      <c r="AW91" s="1261"/>
      <c r="AX91" s="1261"/>
      <c r="AY91" s="1261"/>
      <c r="AZ91" s="1261"/>
      <c r="BA91" s="1261"/>
      <c r="BB91" s="1261"/>
      <c r="BC91" s="1261"/>
      <c r="BD91" s="1261"/>
      <c r="BE91" s="1261"/>
    </row>
    <row customHeight="1" ht="19.89" hidden="1">
      <c r="A92" s="1443"/>
      <c r="B92" s="911">
        <f>HAS_DOC4="да"</f>
        <v>1</v>
      </c>
      <c r="C92" s="1443"/>
      <c r="D92" s="1443"/>
      <c r="E92" s="797">
        <v>20.4</v>
      </c>
      <c r="F92" s="965"/>
      <c r="G92" s="1443"/>
      <c r="H92" s="1443"/>
      <c r="I92" s="1443"/>
      <c r="J92" s="1443"/>
      <c r="K92" s="1443"/>
      <c r="L92" s="1443"/>
      <c r="M92" s="1443"/>
      <c r="N92" s="1443"/>
      <c r="O92" s="1443"/>
      <c r="P92" s="1443"/>
      <c r="Q92" s="1443"/>
      <c r="R92" s="1443"/>
      <c r="S92" s="1259" t="s">
        <v>111</v>
      </c>
      <c r="T92" s="1260" t="s">
        <v>112</v>
      </c>
      <c r="U92" s="1443"/>
      <c r="V92" s="1443"/>
      <c r="W92" s="819" cm="1" t="str">
        <f t="array" ref="W92:W92">W91</f>
        <v>false</v>
      </c>
      <c r="X92" s="1443"/>
      <c r="Y92" s="1443"/>
      <c r="Z92" s="1443"/>
      <c r="AA92" s="1415"/>
      <c r="AB92" s="1413"/>
      <c r="AC92" s="1414" t="s">
        <v>229</v>
      </c>
      <c r="AD92" s="1414"/>
      <c r="AE92" s="469" t="s">
        <v>245</v>
      </c>
      <c r="AF92" s="432"/>
      <c r="AG92" s="1535"/>
      <c r="AH92" s="1535"/>
      <c r="AI92" s="1535"/>
      <c r="AJ92" s="1535"/>
      <c r="AK92" s="1535"/>
      <c r="AL92" s="1535"/>
      <c r="AM92" s="1535"/>
      <c r="AN92" s="1535"/>
      <c r="AO92" s="1268" cm="1" t="str">
        <f t="array" ref="AO92:AO92">AO91</f>
        <v>0</v>
      </c>
      <c r="AP92" s="1261"/>
      <c r="AQ92" s="1261"/>
      <c r="AR92" s="1261"/>
      <c r="AS92" s="1261"/>
      <c r="AT92" s="1261"/>
      <c r="AU92" s="1261" t="s">
        <v>230</v>
      </c>
      <c r="AV92" s="1261" t="s">
        <v>240</v>
      </c>
      <c r="AW92" s="1261"/>
      <c r="AX92" s="1261"/>
      <c r="AY92" s="1261"/>
      <c r="AZ92" s="1261"/>
      <c r="BA92" s="1261"/>
      <c r="BB92" s="1261"/>
      <c r="BC92" s="1261"/>
      <c r="BD92" s="1261"/>
      <c r="BE92" s="1261"/>
    </row>
    <row customHeight="1" ht="19.89" hidden="1">
      <c r="A93" s="1443"/>
      <c r="B93" s="911">
        <f>HAS_DOC4="да"</f>
        <v>1</v>
      </c>
      <c r="C93" s="1443"/>
      <c r="D93" s="1443"/>
      <c r="E93" s="797">
        <v>20.4</v>
      </c>
      <c r="F93" s="965"/>
      <c r="G93" s="1443"/>
      <c r="H93" s="1443"/>
      <c r="I93" s="1443"/>
      <c r="J93" s="1443"/>
      <c r="K93" s="1443"/>
      <c r="L93" s="1443"/>
      <c r="M93" s="1443"/>
      <c r="N93" s="1443"/>
      <c r="O93" s="1443"/>
      <c r="P93" s="1443"/>
      <c r="Q93" s="1443"/>
      <c r="R93" s="1443"/>
      <c r="S93" s="1259" t="s">
        <v>111</v>
      </c>
      <c r="T93" s="1260" t="s">
        <v>112</v>
      </c>
      <c r="U93" s="1443"/>
      <c r="V93" s="1443"/>
      <c r="W93" s="819" cm="1" t="str">
        <f t="array" ref="W93:W93">W92</f>
        <v>false</v>
      </c>
      <c r="X93" s="1443"/>
      <c r="Y93" s="1443"/>
      <c r="Z93" s="1443"/>
      <c r="AA93" s="1415"/>
      <c r="AB93" s="1413"/>
      <c r="AC93" s="1414" t="s">
        <v>231</v>
      </c>
      <c r="AD93" s="1414"/>
      <c r="AE93" s="906" t="s">
        <v>245</v>
      </c>
      <c r="AF93" s="432"/>
      <c r="AG93" s="1535"/>
      <c r="AH93" s="1535"/>
      <c r="AI93" s="1535"/>
      <c r="AJ93" s="1535"/>
      <c r="AK93" s="1535"/>
      <c r="AL93" s="1535"/>
      <c r="AM93" s="1535"/>
      <c r="AN93" s="1535"/>
      <c r="AO93" s="1268" cm="1" t="str">
        <f t="array" ref="AO93:AO93">AO92</f>
        <v>0</v>
      </c>
      <c r="AP93" s="1261"/>
      <c r="AQ93" s="1261"/>
      <c r="AR93" s="1261"/>
      <c r="AS93" s="1261"/>
      <c r="AT93" s="1261"/>
      <c r="AU93" s="1261" t="s">
        <v>232</v>
      </c>
      <c r="AV93" s="1261" t="s">
        <v>240</v>
      </c>
      <c r="AW93" s="1261"/>
      <c r="AX93" s="1261"/>
      <c r="AY93" s="1261"/>
      <c r="AZ93" s="1261"/>
      <c r="BA93" s="1261"/>
      <c r="BB93" s="1261"/>
      <c r="BC93" s="1261"/>
      <c r="BD93" s="1261"/>
      <c r="BE93" s="1261"/>
    </row>
    <row customHeight="1" ht="19.89" hidden="1">
      <c r="A94" s="1443"/>
      <c r="B94" s="911">
        <f>HAS_DOC4="да"</f>
        <v>1</v>
      </c>
      <c r="C94" s="1443"/>
      <c r="D94" s="1443"/>
      <c r="E94" s="797">
        <v>20.4</v>
      </c>
      <c r="F94" s="965"/>
      <c r="G94" s="1443"/>
      <c r="H94" s="1443"/>
      <c r="I94" s="1443"/>
      <c r="J94" s="1443"/>
      <c r="K94" s="1443"/>
      <c r="L94" s="1443"/>
      <c r="M94" s="1443"/>
      <c r="N94" s="1443"/>
      <c r="O94" s="1443"/>
      <c r="P94" s="1443"/>
      <c r="Q94" s="1443"/>
      <c r="R94" s="1443"/>
      <c r="S94" s="1259" t="s">
        <v>215</v>
      </c>
      <c r="T94" s="1260" t="s">
        <v>216</v>
      </c>
      <c r="U94" s="1443"/>
      <c r="V94" s="1443"/>
      <c r="W94" s="819" cm="1" t="str">
        <f t="array" ref="W94:W94">W93</f>
        <v>false</v>
      </c>
      <c r="X94" s="1443"/>
      <c r="Y94" s="1443"/>
      <c r="Z94" s="1443"/>
      <c r="AA94" s="1415"/>
      <c r="AB94" s="1413"/>
      <c r="AC94" s="1414" t="s">
        <v>215</v>
      </c>
      <c r="AD94" s="1414"/>
      <c r="AE94" s="468" t="s">
        <v>245</v>
      </c>
      <c r="AF94" s="432"/>
      <c r="AG94" s="193"/>
      <c r="AH94" s="1535"/>
      <c r="AI94" s="1535"/>
      <c r="AJ94" s="1535"/>
      <c r="AK94" s="1535"/>
      <c r="AL94" s="1535"/>
      <c r="AM94" s="1535"/>
      <c r="AN94" s="1535"/>
      <c r="AO94" s="1268" cm="1" t="str">
        <f t="array" ref="AO94:AO94">AO93</f>
        <v>0</v>
      </c>
      <c r="AP94" s="1261"/>
      <c r="AQ94" s="1261"/>
      <c r="AR94" s="1261"/>
      <c r="AS94" s="1261"/>
      <c r="AT94" s="1261"/>
      <c r="AU94" s="1261" t="s">
        <v>233</v>
      </c>
      <c r="AV94" s="1261" t="s">
        <v>240</v>
      </c>
      <c r="AW94" s="1261"/>
      <c r="AX94" s="1261"/>
      <c r="AY94" s="1261"/>
      <c r="AZ94" s="1261"/>
      <c r="BA94" s="1261"/>
      <c r="BB94" s="1261"/>
      <c r="BC94" s="1261"/>
      <c r="BD94" s="1261"/>
      <c r="BE94" s="1261"/>
    </row>
    <row customHeight="1" ht="14.625">
      <c r="A95" s="1443"/>
      <c r="B95" s="911">
        <f>HAS_DOC4="да"</f>
        <v>1</v>
      </c>
      <c r="C95" s="1443"/>
      <c r="D95" s="1443"/>
      <c r="E95" s="797">
        <v>15</v>
      </c>
      <c r="F95" s="214" t="s">
        <v>237</v>
      </c>
      <c r="G95" s="1443"/>
      <c r="H95" s="1443"/>
      <c r="I95" s="1443"/>
      <c r="J95" s="1443"/>
      <c r="K95" s="1443"/>
      <c r="L95" s="1443"/>
      <c r="M95" s="1443"/>
      <c r="N95" s="1443"/>
      <c r="O95" s="1443"/>
      <c r="P95" s="1443"/>
      <c r="Q95" s="1443"/>
      <c r="R95" s="1443"/>
      <c r="S95" s="1265"/>
      <c r="T95" s="1266"/>
      <c r="U95" s="1443"/>
      <c r="V95" s="1443"/>
      <c r="W95" s="1443"/>
      <c r="X95" s="1443"/>
      <c r="Y95" s="374" t="s">
        <v>235</v>
      </c>
      <c r="Z95" s="1443"/>
      <c r="AA95" s="820"/>
      <c r="AB95" s="342"/>
      <c r="AC95" s="341"/>
      <c r="AD95" s="341"/>
      <c r="AE95" s="340" t="s">
        <v>236</v>
      </c>
      <c r="AF95" s="432"/>
      <c r="AG95" s="193"/>
      <c r="AH95" s="1535"/>
      <c r="AI95" s="1535"/>
      <c r="AJ95" s="1535"/>
      <c r="AK95" s="1535"/>
      <c r="AL95" s="1535"/>
      <c r="AM95" s="1535"/>
      <c r="AN95" s="1535"/>
      <c r="AO95" s="1267"/>
      <c r="AP95" s="1267"/>
      <c r="AQ95" s="1267"/>
      <c r="AR95" s="1267"/>
      <c r="AS95" s="1267"/>
      <c r="AT95" s="1267"/>
      <c r="AU95" s="1267"/>
      <c r="AV95" s="1267"/>
      <c r="AW95" s="1267"/>
      <c r="AX95" s="1267"/>
      <c r="AY95" s="1267"/>
      <c r="AZ95" s="1267"/>
      <c r="BA95" s="1267"/>
      <c r="BB95" s="1267"/>
      <c r="BC95" s="1267"/>
      <c r="BD95" s="1267"/>
      <c r="BE95" s="1267"/>
    </row>
    <row customHeight="1" ht="23.985000000000003">
      <c r="E96" s="797">
        <v>24.6</v>
      </c>
      <c r="F96" s="214" t="s">
        <v>246</v>
      </c>
      <c r="S96" s="1259" t="s">
        <v>186</v>
      </c>
      <c r="T96" s="1260" t="s">
        <v>187</v>
      </c>
      <c r="AB96" s="141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4"/>
      <c r="AD96" s="1414"/>
      <c r="AE96" s="442" t="s">
        <v>190</v>
      </c>
      <c r="AF96" s="437"/>
      <c r="AG96" s="155" t="s">
        <v>247</v>
      </c>
      <c r="AO96" s="1261"/>
      <c r="AP96" s="1261"/>
      <c r="AQ96" s="1261"/>
      <c r="AR96" s="1261"/>
      <c r="AS96" s="1261"/>
      <c r="AT96" s="1261"/>
      <c r="AU96" s="1261"/>
      <c r="AV96" s="1261"/>
      <c r="AW96" s="1261" t="s">
        <v>248</v>
      </c>
      <c r="AX96" s="1261" t="s">
        <v>249</v>
      </c>
      <c r="AY96" s="1261"/>
      <c r="AZ96" s="1261"/>
      <c r="BA96" s="1261"/>
      <c r="BB96" s="1261"/>
      <c r="BC96" s="1261"/>
      <c r="BD96" s="1261"/>
      <c r="BE96" s="1261"/>
    </row>
    <row customHeight="1" ht="19.89" hidden="1">
      <c r="A97" s="1443"/>
      <c r="B97" s="911">
        <f>HAS_DOC5="да"</f>
        <v>0</v>
      </c>
      <c r="C97" s="1443"/>
      <c r="D97" s="1443"/>
      <c r="E97" s="797">
        <v>20.4</v>
      </c>
      <c r="F97" s="965"/>
      <c r="G97" s="1443"/>
      <c r="H97" s="1443"/>
      <c r="I97" s="1443"/>
      <c r="J97" s="1443"/>
      <c r="K97" s="1443"/>
      <c r="L97" s="1443"/>
      <c r="M97" s="1443"/>
      <c r="N97" s="1443"/>
      <c r="O97" s="1443"/>
      <c r="P97" s="1443"/>
      <c r="Q97" s="1443"/>
      <c r="R97" s="1443"/>
      <c r="S97" s="1259" t="s">
        <v>111</v>
      </c>
      <c r="T97" s="1260" t="s">
        <v>112</v>
      </c>
      <c r="U97" s="1443"/>
      <c r="V97" s="1443"/>
      <c r="W97" s="1443"/>
      <c r="X97" s="1443"/>
      <c r="Y97" s="1443"/>
      <c r="Z97" s="1443"/>
      <c r="AA97" s="820"/>
      <c r="AB97" s="1413" t="s">
        <v>224</v>
      </c>
      <c r="AC97" s="1414" t="s">
        <v>225</v>
      </c>
      <c r="AD97" s="1414"/>
      <c r="AE97" s="1606"/>
      <c r="AF97" s="432"/>
      <c r="AG97" s="1535"/>
      <c r="AH97" s="1535"/>
      <c r="AI97" s="1535"/>
      <c r="AJ97" s="1535"/>
      <c r="AK97" s="1535"/>
      <c r="AL97" s="1535"/>
      <c r="AM97" s="1535"/>
      <c r="AN97" s="1535"/>
      <c r="AO97" s="1261"/>
      <c r="AP97" s="1261"/>
      <c r="AQ97" s="1261"/>
      <c r="AR97" s="1261"/>
      <c r="AS97" s="1261"/>
      <c r="AT97" s="1261"/>
      <c r="AU97" s="1261" t="s">
        <v>226</v>
      </c>
      <c r="AV97" s="1261"/>
      <c r="AW97" s="1261" t="s">
        <v>248</v>
      </c>
      <c r="AX97" s="1261" t="s">
        <v>249</v>
      </c>
      <c r="AY97" s="1261"/>
      <c r="AZ97" s="1261"/>
      <c r="BA97" s="1261"/>
      <c r="BB97" s="1261"/>
      <c r="BC97" s="1261"/>
      <c r="BD97" s="1261"/>
      <c r="BE97" s="1261"/>
    </row>
    <row customHeight="1" ht="19.89" hidden="1">
      <c r="A98" s="1443"/>
      <c r="B98" s="911">
        <f>HAS_DOC5="да"</f>
        <v>0</v>
      </c>
      <c r="C98" s="1443"/>
      <c r="D98" s="1443"/>
      <c r="E98" s="797">
        <v>20.4</v>
      </c>
      <c r="F98" s="965"/>
      <c r="G98" s="1443"/>
      <c r="H98" s="1443"/>
      <c r="I98" s="1443"/>
      <c r="J98" s="1443"/>
      <c r="K98" s="1443"/>
      <c r="L98" s="1443"/>
      <c r="M98" s="1443"/>
      <c r="N98" s="1443"/>
      <c r="O98" s="1443"/>
      <c r="P98" s="1443"/>
      <c r="Q98" s="1443"/>
      <c r="R98" s="1443"/>
      <c r="S98" s="1259" t="s">
        <v>111</v>
      </c>
      <c r="T98" s="1260" t="s">
        <v>112</v>
      </c>
      <c r="U98" s="1443"/>
      <c r="V98" s="1443"/>
      <c r="W98" s="1443"/>
      <c r="X98" s="1443"/>
      <c r="Y98" s="1443"/>
      <c r="Z98" s="1443"/>
      <c r="AA98" s="820"/>
      <c r="AB98" s="1413"/>
      <c r="AC98" s="1414" t="s">
        <v>227</v>
      </c>
      <c r="AD98" s="1414"/>
      <c r="AE98" s="1607"/>
      <c r="AF98" s="432"/>
      <c r="AG98" s="1535"/>
      <c r="AH98" s="1535"/>
      <c r="AI98" s="1535"/>
      <c r="AJ98" s="1535"/>
      <c r="AK98" s="1535"/>
      <c r="AL98" s="1535"/>
      <c r="AM98" s="1535"/>
      <c r="AN98" s="1535"/>
      <c r="AO98" s="1261"/>
      <c r="AP98" s="1261"/>
      <c r="AQ98" s="1261"/>
      <c r="AR98" s="1261"/>
      <c r="AS98" s="1261"/>
      <c r="AT98" s="1261"/>
      <c r="AU98" s="1261" t="s">
        <v>228</v>
      </c>
      <c r="AV98" s="1261"/>
      <c r="AW98" s="1261" t="s">
        <v>248</v>
      </c>
      <c r="AX98" s="1261" t="s">
        <v>249</v>
      </c>
      <c r="AY98" s="1261"/>
      <c r="AZ98" s="1261"/>
      <c r="BA98" s="1261"/>
      <c r="BB98" s="1261"/>
      <c r="BC98" s="1261"/>
      <c r="BD98" s="1261"/>
      <c r="BE98" s="1261"/>
    </row>
    <row customHeight="1" ht="19.89" hidden="1">
      <c r="A99" s="1443"/>
      <c r="B99" s="911">
        <f>HAS_DOC5="да"</f>
        <v>0</v>
      </c>
      <c r="C99" s="1443"/>
      <c r="D99" s="1443"/>
      <c r="E99" s="797">
        <v>20.4</v>
      </c>
      <c r="F99" s="965"/>
      <c r="G99" s="1443"/>
      <c r="H99" s="1443"/>
      <c r="I99" s="1443"/>
      <c r="J99" s="1443"/>
      <c r="K99" s="1443"/>
      <c r="L99" s="1443"/>
      <c r="M99" s="1443"/>
      <c r="N99" s="1443"/>
      <c r="O99" s="1443"/>
      <c r="P99" s="1443"/>
      <c r="Q99" s="1443"/>
      <c r="R99" s="1443"/>
      <c r="S99" s="1259" t="s">
        <v>111</v>
      </c>
      <c r="T99" s="1260" t="s">
        <v>112</v>
      </c>
      <c r="U99" s="1443"/>
      <c r="V99" s="1443"/>
      <c r="W99" s="1443"/>
      <c r="X99" s="1443"/>
      <c r="Y99" s="1443"/>
      <c r="Z99" s="1443"/>
      <c r="AA99" s="820"/>
      <c r="AB99" s="1413"/>
      <c r="AC99" s="1414" t="s">
        <v>229</v>
      </c>
      <c r="AD99" s="1414"/>
      <c r="AE99" s="1606"/>
      <c r="AF99" s="432"/>
      <c r="AG99" s="1535"/>
      <c r="AH99" s="1535"/>
      <c r="AI99" s="1535"/>
      <c r="AJ99" s="1535"/>
      <c r="AK99" s="1535"/>
      <c r="AL99" s="1535"/>
      <c r="AM99" s="1535"/>
      <c r="AN99" s="1535"/>
      <c r="AO99" s="1261"/>
      <c r="AP99" s="1261"/>
      <c r="AQ99" s="1261"/>
      <c r="AR99" s="1261"/>
      <c r="AS99" s="1261"/>
      <c r="AT99" s="1261"/>
      <c r="AU99" s="1261" t="s">
        <v>230</v>
      </c>
      <c r="AV99" s="1261"/>
      <c r="AW99" s="1261" t="s">
        <v>248</v>
      </c>
      <c r="AX99" s="1261" t="s">
        <v>249</v>
      </c>
      <c r="AY99" s="1261"/>
      <c r="AZ99" s="1261"/>
      <c r="BA99" s="1261"/>
      <c r="BB99" s="1261"/>
      <c r="BC99" s="1261"/>
      <c r="BD99" s="1261"/>
      <c r="BE99" s="1261"/>
    </row>
    <row customHeight="1" ht="19.89" hidden="1">
      <c r="A100" s="1443"/>
      <c r="B100" s="911">
        <f>HAS_DOC5="да"</f>
        <v>0</v>
      </c>
      <c r="C100" s="1443"/>
      <c r="D100" s="1443"/>
      <c r="E100" s="797">
        <v>20.4</v>
      </c>
      <c r="F100" s="965"/>
      <c r="G100" s="1443"/>
      <c r="H100" s="1443"/>
      <c r="I100" s="1443"/>
      <c r="J100" s="1443"/>
      <c r="K100" s="1443"/>
      <c r="L100" s="1443"/>
      <c r="M100" s="1443"/>
      <c r="N100" s="1443"/>
      <c r="O100" s="1443"/>
      <c r="P100" s="1443"/>
      <c r="Q100" s="1443"/>
      <c r="R100" s="1443"/>
      <c r="S100" s="1259" t="s">
        <v>111</v>
      </c>
      <c r="T100" s="1260" t="s">
        <v>112</v>
      </c>
      <c r="U100" s="1443"/>
      <c r="V100" s="1443"/>
      <c r="W100" s="1443"/>
      <c r="X100" s="1443"/>
      <c r="Y100" s="1443"/>
      <c r="Z100" s="1443"/>
      <c r="AA100" s="820"/>
      <c r="AB100" s="1413"/>
      <c r="AC100" s="1414" t="s">
        <v>231</v>
      </c>
      <c r="AD100" s="1414"/>
      <c r="AE100" s="1608"/>
      <c r="AF100" s="432"/>
      <c r="AG100" s="1535"/>
      <c r="AH100" s="1535"/>
      <c r="AI100" s="1535"/>
      <c r="AJ100" s="1535"/>
      <c r="AK100" s="1535"/>
      <c r="AL100" s="1535"/>
      <c r="AM100" s="1535"/>
      <c r="AN100" s="1535"/>
      <c r="AO100" s="1261"/>
      <c r="AP100" s="1261"/>
      <c r="AQ100" s="1261"/>
      <c r="AR100" s="1261"/>
      <c r="AS100" s="1261"/>
      <c r="AT100" s="1261"/>
      <c r="AU100" s="1261" t="s">
        <v>232</v>
      </c>
      <c r="AV100" s="1261"/>
      <c r="AW100" s="1261" t="s">
        <v>248</v>
      </c>
      <c r="AX100" s="1261" t="s">
        <v>249</v>
      </c>
      <c r="AY100" s="1261"/>
      <c r="AZ100" s="1261"/>
      <c r="BA100" s="1261"/>
      <c r="BB100" s="1261"/>
      <c r="BC100" s="1261"/>
      <c r="BD100" s="1261"/>
      <c r="BE100" s="1261"/>
    </row>
    <row customHeight="1" ht="19.89" hidden="1">
      <c r="A101" s="1443"/>
      <c r="B101" s="911">
        <f>HAS_DOC5="да"</f>
        <v>0</v>
      </c>
      <c r="C101" s="1443"/>
      <c r="D101" s="1443"/>
      <c r="E101" s="797">
        <v>20.4</v>
      </c>
      <c r="F101" s="965"/>
      <c r="G101" s="1443"/>
      <c r="H101" s="1443"/>
      <c r="I101" s="1443"/>
      <c r="J101" s="1443"/>
      <c r="K101" s="1443"/>
      <c r="L101" s="1443"/>
      <c r="M101" s="1443"/>
      <c r="N101" s="1443"/>
      <c r="O101" s="1443"/>
      <c r="P101" s="1443"/>
      <c r="Q101" s="1443"/>
      <c r="R101" s="1443"/>
      <c r="S101" s="1259" t="s">
        <v>111</v>
      </c>
      <c r="T101" s="1260" t="s">
        <v>112</v>
      </c>
      <c r="U101" s="1443"/>
      <c r="V101" s="1443"/>
      <c r="W101" s="1443"/>
      <c r="X101" s="1443"/>
      <c r="Y101" s="1443"/>
      <c r="Z101" s="1443"/>
      <c r="AA101" s="820"/>
      <c r="AB101" s="1413"/>
      <c r="AC101" s="1414" t="s">
        <v>250</v>
      </c>
      <c r="AD101" s="1414"/>
      <c r="AE101" s="1608"/>
      <c r="AF101" s="432"/>
      <c r="AG101" s="1535"/>
      <c r="AH101" s="1535"/>
      <c r="AI101" s="1535"/>
      <c r="AJ101" s="1535"/>
      <c r="AK101" s="1535"/>
      <c r="AL101" s="1535"/>
      <c r="AM101" s="1535"/>
      <c r="AN101" s="1535"/>
      <c r="AO101" s="1261"/>
      <c r="AP101" s="1261"/>
      <c r="AQ101" s="1261"/>
      <c r="AR101" s="1261"/>
      <c r="AS101" s="1261"/>
      <c r="AT101" s="1261"/>
      <c r="AU101" s="1261" t="s">
        <v>251</v>
      </c>
      <c r="AV101" s="1261"/>
      <c r="AW101" s="1261" t="s">
        <v>248</v>
      </c>
      <c r="AX101" s="1261" t="s">
        <v>249</v>
      </c>
      <c r="AY101" s="1261"/>
      <c r="AZ101" s="1261"/>
      <c r="BA101" s="1261"/>
      <c r="BB101" s="1261"/>
      <c r="BC101" s="1261"/>
      <c r="BD101" s="1261"/>
      <c r="BE101" s="1261"/>
    </row>
    <row customHeight="1" ht="19.89" hidden="1">
      <c r="A102" s="1443"/>
      <c r="B102" s="911">
        <f>HAS_DOC5="да"</f>
        <v>0</v>
      </c>
      <c r="C102" s="1443"/>
      <c r="D102" s="1443"/>
      <c r="E102" s="797">
        <v>20.4</v>
      </c>
      <c r="F102" s="965"/>
      <c r="G102" s="1443"/>
      <c r="H102" s="1443"/>
      <c r="I102" s="1443"/>
      <c r="J102" s="1443"/>
      <c r="K102" s="1443"/>
      <c r="L102" s="1443"/>
      <c r="M102" s="1443"/>
      <c r="N102" s="1443"/>
      <c r="O102" s="1443"/>
      <c r="P102" s="1443"/>
      <c r="Q102" s="1443"/>
      <c r="R102" s="1443"/>
      <c r="S102" s="1259" t="s">
        <v>111</v>
      </c>
      <c r="T102" s="1260" t="s">
        <v>112</v>
      </c>
      <c r="U102" s="1443"/>
      <c r="V102" s="1443"/>
      <c r="W102" s="1443"/>
      <c r="X102" s="1443"/>
      <c r="Y102" s="1443"/>
      <c r="Z102" s="1443"/>
      <c r="AA102" s="820"/>
      <c r="AB102" s="1413"/>
      <c r="AC102" s="1414" t="s">
        <v>252</v>
      </c>
      <c r="AD102" s="1414"/>
      <c r="AE102" s="1608"/>
      <c r="AF102" s="432"/>
      <c r="AG102" s="1535"/>
      <c r="AH102" s="1535"/>
      <c r="AI102" s="1535"/>
      <c r="AJ102" s="1535"/>
      <c r="AK102" s="1535"/>
      <c r="AL102" s="1535"/>
      <c r="AM102" s="1535"/>
      <c r="AN102" s="1535"/>
      <c r="AO102" s="1261"/>
      <c r="AP102" s="1261"/>
      <c r="AQ102" s="1261"/>
      <c r="AR102" s="1261"/>
      <c r="AS102" s="1261"/>
      <c r="AT102" s="1261"/>
      <c r="AU102" s="1261" t="s">
        <v>253</v>
      </c>
      <c r="AV102" s="1261"/>
      <c r="AW102" s="1261" t="s">
        <v>248</v>
      </c>
      <c r="AX102" s="1261" t="s">
        <v>249</v>
      </c>
      <c r="AY102" s="1261"/>
      <c r="AZ102" s="1261"/>
      <c r="BA102" s="1261"/>
      <c r="BB102" s="1261"/>
      <c r="BC102" s="1261"/>
      <c r="BD102" s="1261"/>
      <c r="BE102" s="1261"/>
    </row>
    <row customHeight="1" ht="19.89" hidden="1">
      <c r="A103" s="1443"/>
      <c r="B103" s="911">
        <f>HAS_DOC5="да"</f>
        <v>0</v>
      </c>
      <c r="C103" s="1443"/>
      <c r="D103" s="1443"/>
      <c r="E103" s="797">
        <v>20.4</v>
      </c>
      <c r="F103" s="965"/>
      <c r="G103" s="1443"/>
      <c r="H103" s="1443"/>
      <c r="I103" s="1443"/>
      <c r="J103" s="1443"/>
      <c r="K103" s="1443"/>
      <c r="L103" s="1443"/>
      <c r="M103" s="1443"/>
      <c r="N103" s="1443"/>
      <c r="O103" s="1443"/>
      <c r="P103" s="1443"/>
      <c r="Q103" s="1443"/>
      <c r="R103" s="1443"/>
      <c r="S103" s="1259" t="s">
        <v>111</v>
      </c>
      <c r="T103" s="1260" t="s">
        <v>112</v>
      </c>
      <c r="U103" s="1443"/>
      <c r="V103" s="1443"/>
      <c r="W103" s="819">
        <f>ROW(Y103)&gt;ROW(Y$103)</f>
        <v>0</v>
      </c>
      <c r="X103" s="1443"/>
      <c r="Y103" s="179" t="s">
        <v>234</v>
      </c>
      <c r="Z103" s="1443"/>
      <c r="AA103" s="1415" t="s">
        <v>218</v>
      </c>
      <c r="AB103" s="1413" t="s">
        <v>224</v>
      </c>
      <c r="AC103" s="1414" t="s">
        <v>225</v>
      </c>
      <c r="AD103" s="1414"/>
      <c r="AE103" s="1606"/>
      <c r="AF103" s="432"/>
      <c r="AG103" s="1535"/>
      <c r="AH103" s="1535"/>
      <c r="AI103" s="1535"/>
      <c r="AJ103" s="1535"/>
      <c r="AK103" s="1535"/>
      <c r="AL103" s="1535"/>
      <c r="AM103" s="1535"/>
      <c r="AN103" s="1535"/>
      <c r="AO103" s="1268" cm="1" t="str">
        <f t="array" ref="AO103:AO103">AE103</f>
        <v>0</v>
      </c>
      <c r="AP103" s="1261"/>
      <c r="AQ103" s="1261"/>
      <c r="AR103" s="1261"/>
      <c r="AS103" s="1261"/>
      <c r="AT103" s="1261"/>
      <c r="AU103" s="1261" t="s">
        <v>226</v>
      </c>
      <c r="AV103" s="1261"/>
      <c r="AW103" s="1261" t="s">
        <v>248</v>
      </c>
      <c r="AX103" s="1261" t="s">
        <v>249</v>
      </c>
      <c r="AY103" s="1261"/>
      <c r="AZ103" s="1261"/>
      <c r="BA103" s="1261"/>
      <c r="BB103" s="1261"/>
      <c r="BC103" s="1261"/>
      <c r="BD103" s="1261"/>
      <c r="BE103" s="1261"/>
    </row>
    <row customHeight="1" ht="19.89" hidden="1">
      <c r="A104" s="1443"/>
      <c r="B104" s="911">
        <f>HAS_DOC5="да"</f>
        <v>0</v>
      </c>
      <c r="C104" s="1443"/>
      <c r="D104" s="1443"/>
      <c r="E104" s="797">
        <v>20.4</v>
      </c>
      <c r="F104" s="965"/>
      <c r="G104" s="1443"/>
      <c r="H104" s="1443"/>
      <c r="I104" s="1443"/>
      <c r="J104" s="1443"/>
      <c r="K104" s="1443"/>
      <c r="L104" s="1443"/>
      <c r="M104" s="1443"/>
      <c r="N104" s="1443"/>
      <c r="O104" s="1443"/>
      <c r="P104" s="1443"/>
      <c r="Q104" s="1443"/>
      <c r="R104" s="1443"/>
      <c r="S104" s="1259" t="s">
        <v>111</v>
      </c>
      <c r="T104" s="1260" t="s">
        <v>112</v>
      </c>
      <c r="U104" s="1443"/>
      <c r="V104" s="1443"/>
      <c r="W104" s="819" cm="1" t="str">
        <f t="array" ref="W104:W104">W103</f>
        <v>false</v>
      </c>
      <c r="X104" s="1443"/>
      <c r="Y104" s="1443"/>
      <c r="Z104" s="1443"/>
      <c r="AA104" s="1415"/>
      <c r="AB104" s="1413"/>
      <c r="AC104" s="1414" t="s">
        <v>227</v>
      </c>
      <c r="AD104" s="1414"/>
      <c r="AE104" s="1607"/>
      <c r="AF104" s="432"/>
      <c r="AG104" s="1535"/>
      <c r="AH104" s="1535"/>
      <c r="AI104" s="1535"/>
      <c r="AJ104" s="1535"/>
      <c r="AK104" s="1535"/>
      <c r="AL104" s="1535"/>
      <c r="AM104" s="1535"/>
      <c r="AN104" s="1535"/>
      <c r="AO104" s="1268" cm="1" t="str">
        <f t="array" ref="AO104:AO104">AO103</f>
        <v>0</v>
      </c>
      <c r="AP104" s="1261"/>
      <c r="AQ104" s="1261"/>
      <c r="AR104" s="1261"/>
      <c r="AS104" s="1261"/>
      <c r="AT104" s="1261"/>
      <c r="AU104" s="1261" t="s">
        <v>228</v>
      </c>
      <c r="AV104" s="1261"/>
      <c r="AW104" s="1261" t="s">
        <v>248</v>
      </c>
      <c r="AX104" s="1261" t="s">
        <v>249</v>
      </c>
      <c r="AY104" s="1261"/>
      <c r="AZ104" s="1261"/>
      <c r="BA104" s="1261"/>
      <c r="BB104" s="1261"/>
      <c r="BC104" s="1261"/>
      <c r="BD104" s="1261"/>
      <c r="BE104" s="1261"/>
    </row>
    <row customHeight="1" ht="19.89" hidden="1">
      <c r="A105" s="1443"/>
      <c r="B105" s="911">
        <f>HAS_DOC5="да"</f>
        <v>0</v>
      </c>
      <c r="C105" s="1443"/>
      <c r="D105" s="1443"/>
      <c r="E105" s="797">
        <v>20.4</v>
      </c>
      <c r="F105" s="965"/>
      <c r="G105" s="1443"/>
      <c r="H105" s="1443"/>
      <c r="I105" s="1443"/>
      <c r="J105" s="1443"/>
      <c r="K105" s="1443"/>
      <c r="L105" s="1443"/>
      <c r="M105" s="1443"/>
      <c r="N105" s="1443"/>
      <c r="O105" s="1443"/>
      <c r="P105" s="1443"/>
      <c r="Q105" s="1443"/>
      <c r="R105" s="1443"/>
      <c r="S105" s="1259" t="s">
        <v>111</v>
      </c>
      <c r="T105" s="1260" t="s">
        <v>112</v>
      </c>
      <c r="U105" s="1443"/>
      <c r="V105" s="1443"/>
      <c r="W105" s="819" cm="1" t="str">
        <f t="array" ref="W105:W105">W104</f>
        <v>false</v>
      </c>
      <c r="X105" s="1443"/>
      <c r="Y105" s="1443"/>
      <c r="Z105" s="1443"/>
      <c r="AA105" s="1415"/>
      <c r="AB105" s="1413"/>
      <c r="AC105" s="1414" t="s">
        <v>229</v>
      </c>
      <c r="AD105" s="1414"/>
      <c r="AE105" s="1606"/>
      <c r="AF105" s="432"/>
      <c r="AG105" s="1535"/>
      <c r="AH105" s="1535"/>
      <c r="AI105" s="1535"/>
      <c r="AJ105" s="1535"/>
      <c r="AK105" s="1535"/>
      <c r="AL105" s="1535"/>
      <c r="AM105" s="1535"/>
      <c r="AN105" s="1535"/>
      <c r="AO105" s="1268" cm="1" t="str">
        <f t="array" ref="AO105:AO105">AO104</f>
        <v>0</v>
      </c>
      <c r="AP105" s="1261"/>
      <c r="AQ105" s="1261"/>
      <c r="AR105" s="1261"/>
      <c r="AS105" s="1261"/>
      <c r="AT105" s="1261"/>
      <c r="AU105" s="1261" t="s">
        <v>230</v>
      </c>
      <c r="AV105" s="1261"/>
      <c r="AW105" s="1261" t="s">
        <v>248</v>
      </c>
      <c r="AX105" s="1261" t="s">
        <v>249</v>
      </c>
      <c r="AY105" s="1261"/>
      <c r="AZ105" s="1261"/>
      <c r="BA105" s="1261"/>
      <c r="BB105" s="1261"/>
      <c r="BC105" s="1261"/>
      <c r="BD105" s="1261"/>
      <c r="BE105" s="1261"/>
    </row>
    <row customHeight="1" ht="19.89" hidden="1">
      <c r="A106" s="1443"/>
      <c r="B106" s="911">
        <f>HAS_DOC5="да"</f>
        <v>0</v>
      </c>
      <c r="C106" s="1443"/>
      <c r="D106" s="1443"/>
      <c r="E106" s="797">
        <v>20.4</v>
      </c>
      <c r="F106" s="965"/>
      <c r="G106" s="1443"/>
      <c r="H106" s="1443"/>
      <c r="I106" s="1443"/>
      <c r="J106" s="1443"/>
      <c r="K106" s="1443"/>
      <c r="L106" s="1443"/>
      <c r="M106" s="1443"/>
      <c r="N106" s="1443"/>
      <c r="O106" s="1443"/>
      <c r="P106" s="1443"/>
      <c r="Q106" s="1443"/>
      <c r="R106" s="1443"/>
      <c r="S106" s="1259" t="s">
        <v>111</v>
      </c>
      <c r="T106" s="1260" t="s">
        <v>112</v>
      </c>
      <c r="U106" s="1443"/>
      <c r="V106" s="1443"/>
      <c r="W106" s="819" cm="1" t="str">
        <f t="array" ref="W106:W106">W105</f>
        <v>false</v>
      </c>
      <c r="X106" s="1443"/>
      <c r="Y106" s="1443"/>
      <c r="Z106" s="1443"/>
      <c r="AA106" s="1415"/>
      <c r="AB106" s="1413"/>
      <c r="AC106" s="1414" t="s">
        <v>231</v>
      </c>
      <c r="AD106" s="1414"/>
      <c r="AE106" s="1608"/>
      <c r="AF106" s="432"/>
      <c r="AG106" s="1535"/>
      <c r="AH106" s="1535"/>
      <c r="AI106" s="1535"/>
      <c r="AJ106" s="1535"/>
      <c r="AK106" s="1535"/>
      <c r="AL106" s="1535"/>
      <c r="AM106" s="1535"/>
      <c r="AN106" s="1535"/>
      <c r="AO106" s="1268" cm="1" t="str">
        <f t="array" ref="AO106:AO106">AO105</f>
        <v>0</v>
      </c>
      <c r="AP106" s="1261"/>
      <c r="AQ106" s="1261"/>
      <c r="AR106" s="1261"/>
      <c r="AS106" s="1261"/>
      <c r="AT106" s="1261"/>
      <c r="AU106" s="1261" t="s">
        <v>232</v>
      </c>
      <c r="AV106" s="1261"/>
      <c r="AW106" s="1261" t="s">
        <v>248</v>
      </c>
      <c r="AX106" s="1261" t="s">
        <v>249</v>
      </c>
      <c r="AY106" s="1261"/>
      <c r="AZ106" s="1261"/>
      <c r="BA106" s="1261"/>
      <c r="BB106" s="1261"/>
      <c r="BC106" s="1261"/>
      <c r="BD106" s="1261"/>
      <c r="BE106" s="1261"/>
    </row>
    <row customHeight="1" ht="19.89" hidden="1">
      <c r="A107" s="1443"/>
      <c r="B107" s="911">
        <f>HAS_DOC5="да"</f>
        <v>0</v>
      </c>
      <c r="C107" s="1443"/>
      <c r="D107" s="1443"/>
      <c r="E107" s="797">
        <v>20.4</v>
      </c>
      <c r="F107" s="965"/>
      <c r="G107" s="1443"/>
      <c r="H107" s="1443"/>
      <c r="I107" s="1443"/>
      <c r="J107" s="1443"/>
      <c r="K107" s="1443"/>
      <c r="L107" s="1443"/>
      <c r="M107" s="1443"/>
      <c r="N107" s="1443"/>
      <c r="O107" s="1443"/>
      <c r="P107" s="1443"/>
      <c r="Q107" s="1443"/>
      <c r="R107" s="1443"/>
      <c r="S107" s="1259" t="s">
        <v>111</v>
      </c>
      <c r="T107" s="1260" t="s">
        <v>112</v>
      </c>
      <c r="U107" s="1443"/>
      <c r="V107" s="1443"/>
      <c r="W107" s="819" cm="1" t="str">
        <f t="array" ref="W107:W107">W106</f>
        <v>false</v>
      </c>
      <c r="X107" s="1443"/>
      <c r="Y107" s="1443"/>
      <c r="Z107" s="1443"/>
      <c r="AA107" s="1415"/>
      <c r="AB107" s="1413"/>
      <c r="AC107" s="1414" t="s">
        <v>250</v>
      </c>
      <c r="AD107" s="1414"/>
      <c r="AE107" s="1608"/>
      <c r="AF107" s="432"/>
      <c r="AG107" s="1535"/>
      <c r="AH107" s="1535"/>
      <c r="AI107" s="1535"/>
      <c r="AJ107" s="1535"/>
      <c r="AK107" s="1535"/>
      <c r="AL107" s="1535"/>
      <c r="AM107" s="1535"/>
      <c r="AN107" s="1535"/>
      <c r="AO107" s="1268" cm="1" t="str">
        <f t="array" ref="AO107:AO107">AO106</f>
        <v>0</v>
      </c>
      <c r="AP107" s="1261"/>
      <c r="AQ107" s="1261"/>
      <c r="AR107" s="1261"/>
      <c r="AS107" s="1261"/>
      <c r="AT107" s="1261"/>
      <c r="AU107" s="1261" t="s">
        <v>251</v>
      </c>
      <c r="AV107" s="1261"/>
      <c r="AW107" s="1261" t="s">
        <v>248</v>
      </c>
      <c r="AX107" s="1261" t="s">
        <v>249</v>
      </c>
      <c r="AY107" s="1261"/>
      <c r="AZ107" s="1261"/>
      <c r="BA107" s="1261"/>
      <c r="BB107" s="1261"/>
      <c r="BC107" s="1261"/>
      <c r="BD107" s="1261"/>
      <c r="BE107" s="1261"/>
    </row>
    <row customHeight="1" ht="19.89" hidden="1">
      <c r="A108" s="1443"/>
      <c r="B108" s="911">
        <f>HAS_DOC5="да"</f>
        <v>0</v>
      </c>
      <c r="C108" s="1443"/>
      <c r="D108" s="1443"/>
      <c r="E108" s="797">
        <v>20.4</v>
      </c>
      <c r="F108" s="965"/>
      <c r="G108" s="1443"/>
      <c r="H108" s="1443"/>
      <c r="I108" s="1443"/>
      <c r="J108" s="1443"/>
      <c r="K108" s="1443"/>
      <c r="L108" s="1443"/>
      <c r="M108" s="1443"/>
      <c r="N108" s="1443"/>
      <c r="O108" s="1443"/>
      <c r="P108" s="1443"/>
      <c r="Q108" s="1443"/>
      <c r="R108" s="1443"/>
      <c r="S108" s="1259" t="s">
        <v>111</v>
      </c>
      <c r="T108" s="1260" t="s">
        <v>112</v>
      </c>
      <c r="U108" s="1443"/>
      <c r="V108" s="1443"/>
      <c r="W108" s="819" cm="1" t="str">
        <f t="array" ref="W108:W108">W107</f>
        <v>false</v>
      </c>
      <c r="X108" s="1443"/>
      <c r="Y108" s="1443"/>
      <c r="Z108" s="1443"/>
      <c r="AA108" s="1415"/>
      <c r="AB108" s="1413"/>
      <c r="AC108" s="1414" t="s">
        <v>252</v>
      </c>
      <c r="AD108" s="1414"/>
      <c r="AE108" s="1608"/>
      <c r="AF108" s="432"/>
      <c r="AG108" s="1535"/>
      <c r="AH108" s="1535"/>
      <c r="AI108" s="1535"/>
      <c r="AJ108" s="1535"/>
      <c r="AK108" s="1535"/>
      <c r="AL108" s="1535"/>
      <c r="AM108" s="1535"/>
      <c r="AN108" s="1535"/>
      <c r="AO108" s="1268" cm="1" t="str">
        <f t="array" ref="AO108:AO108">AO107</f>
        <v>0</v>
      </c>
      <c r="AP108" s="1261"/>
      <c r="AQ108" s="1261"/>
      <c r="AR108" s="1261"/>
      <c r="AS108" s="1261"/>
      <c r="AT108" s="1261"/>
      <c r="AU108" s="1261" t="s">
        <v>253</v>
      </c>
      <c r="AV108" s="1261"/>
      <c r="AW108" s="1261" t="s">
        <v>248</v>
      </c>
      <c r="AX108" s="1261" t="s">
        <v>249</v>
      </c>
      <c r="AY108" s="1261"/>
      <c r="AZ108" s="1261"/>
      <c r="BA108" s="1261"/>
      <c r="BB108" s="1261"/>
      <c r="BC108" s="1261"/>
      <c r="BD108" s="1261"/>
      <c r="BE108" s="1261"/>
    </row>
    <row customHeight="1" ht="14.625" hidden="1">
      <c r="A109" s="1443"/>
      <c r="B109" s="911">
        <f>HAS_DOC5="да"</f>
        <v>0</v>
      </c>
      <c r="C109" s="1443"/>
      <c r="D109" s="1443"/>
      <c r="E109" s="797">
        <v>15</v>
      </c>
      <c r="F109" s="214" t="s">
        <v>246</v>
      </c>
      <c r="G109" s="1443"/>
      <c r="H109" s="1443"/>
      <c r="I109" s="1443"/>
      <c r="J109" s="1443"/>
      <c r="K109" s="1443"/>
      <c r="L109" s="1443"/>
      <c r="M109" s="1443"/>
      <c r="N109" s="1443"/>
      <c r="O109" s="1443"/>
      <c r="P109" s="1443"/>
      <c r="Q109" s="1443"/>
      <c r="R109" s="1443"/>
      <c r="S109" s="1265"/>
      <c r="T109" s="1266"/>
      <c r="U109" s="1443"/>
      <c r="V109" s="1443"/>
      <c r="W109" s="1443"/>
      <c r="X109" s="1443"/>
      <c r="Y109" s="374" t="s">
        <v>235</v>
      </c>
      <c r="Z109" s="1443"/>
      <c r="AA109" s="820"/>
      <c r="AB109" s="342"/>
      <c r="AC109" s="341"/>
      <c r="AD109" s="341"/>
      <c r="AE109" s="340" t="s">
        <v>236</v>
      </c>
      <c r="AF109" s="432"/>
      <c r="AG109" s="193"/>
      <c r="AH109" s="1535"/>
      <c r="AI109" s="1535"/>
      <c r="AJ109" s="1535"/>
      <c r="AK109" s="1535"/>
      <c r="AL109" s="1535"/>
      <c r="AM109" s="1535"/>
      <c r="AN109" s="1535"/>
      <c r="AO109" s="1267"/>
      <c r="AP109" s="1267"/>
      <c r="AQ109" s="1267"/>
      <c r="AR109" s="1267"/>
      <c r="AS109" s="1267"/>
      <c r="AT109" s="1267"/>
      <c r="AU109" s="1267"/>
      <c r="AV109" s="1267"/>
      <c r="AW109" s="1267"/>
      <c r="AX109" s="1267"/>
      <c r="AY109" s="1267"/>
      <c r="AZ109" s="1267"/>
      <c r="BA109" s="1267"/>
      <c r="BB109" s="1267"/>
      <c r="BC109" s="1267"/>
      <c r="BD109" s="1267"/>
      <c r="BE109" s="1267"/>
    </row>
    <row customHeight="1" ht="23.985000000000003">
      <c r="E110" s="797">
        <v>24.6</v>
      </c>
      <c r="F110" s="214" t="s">
        <v>254</v>
      </c>
      <c r="S110" s="1259" t="s">
        <v>186</v>
      </c>
      <c r="T110" s="1260" t="s">
        <v>187</v>
      </c>
      <c r="AB110" s="141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4"/>
      <c r="AD110" s="1414"/>
      <c r="AE110" s="442" t="s">
        <v>190</v>
      </c>
      <c r="AF110" s="437"/>
      <c r="AG110" s="155" t="s">
        <v>255</v>
      </c>
      <c r="AO110" s="1261"/>
      <c r="AP110" s="1261"/>
      <c r="AQ110" s="1261"/>
      <c r="AR110" s="1261"/>
      <c r="AS110" s="1261"/>
      <c r="AT110" s="1261"/>
      <c r="AU110" s="1261"/>
      <c r="AV110" s="1261"/>
      <c r="AW110" s="1261" t="s">
        <v>248</v>
      </c>
      <c r="AX110" s="1261" t="s">
        <v>256</v>
      </c>
      <c r="AY110" s="1261"/>
      <c r="AZ110" s="1261"/>
      <c r="BA110" s="1261"/>
      <c r="BB110" s="1261"/>
      <c r="BC110" s="1261"/>
      <c r="BD110" s="1261"/>
      <c r="BE110" s="1261"/>
    </row>
    <row customHeight="1" ht="19.89" hidden="1">
      <c r="A111" s="1443"/>
      <c r="B111" s="911">
        <f>HAS_DOC6="да"</f>
        <v>0</v>
      </c>
      <c r="C111" s="1443"/>
      <c r="D111" s="1443"/>
      <c r="E111" s="797">
        <v>20.4</v>
      </c>
      <c r="F111" s="965"/>
      <c r="G111" s="1443"/>
      <c r="H111" s="1443"/>
      <c r="I111" s="1443"/>
      <c r="J111" s="1443"/>
      <c r="K111" s="1443"/>
      <c r="L111" s="1443"/>
      <c r="M111" s="1443"/>
      <c r="N111" s="1443"/>
      <c r="O111" s="1443"/>
      <c r="P111" s="1443"/>
      <c r="Q111" s="1443"/>
      <c r="R111" s="1443"/>
      <c r="S111" s="1259" t="s">
        <v>111</v>
      </c>
      <c r="T111" s="1260" t="s">
        <v>112</v>
      </c>
      <c r="U111" s="1443"/>
      <c r="V111" s="1443"/>
      <c r="W111" s="1443"/>
      <c r="X111" s="1443"/>
      <c r="Y111" s="1443"/>
      <c r="Z111" s="1443"/>
      <c r="AA111" s="820"/>
      <c r="AB111" s="1413" t="s">
        <v>224</v>
      </c>
      <c r="AC111" s="1414" t="s">
        <v>225</v>
      </c>
      <c r="AD111" s="1414"/>
      <c r="AE111" s="469" t="s">
        <v>245</v>
      </c>
      <c r="AF111" s="432"/>
      <c r="AG111" s="1535"/>
      <c r="AH111" s="1535"/>
      <c r="AI111" s="1535"/>
      <c r="AJ111" s="1535"/>
      <c r="AK111" s="1535"/>
      <c r="AL111" s="1535"/>
      <c r="AM111" s="1535"/>
      <c r="AN111" s="1535"/>
      <c r="AO111" s="1261"/>
      <c r="AP111" s="1261"/>
      <c r="AQ111" s="1261"/>
      <c r="AR111" s="1261"/>
      <c r="AS111" s="1261"/>
      <c r="AT111" s="1261"/>
      <c r="AU111" s="1261" t="s">
        <v>226</v>
      </c>
      <c r="AV111" s="1261"/>
      <c r="AW111" s="1261" t="s">
        <v>248</v>
      </c>
      <c r="AX111" s="1261" t="s">
        <v>256</v>
      </c>
      <c r="AY111" s="1261"/>
      <c r="AZ111" s="1261"/>
      <c r="BA111" s="1261"/>
      <c r="BB111" s="1261"/>
      <c r="BC111" s="1261"/>
      <c r="BD111" s="1261"/>
      <c r="BE111" s="1261"/>
    </row>
    <row customHeight="1" ht="19.89" hidden="1">
      <c r="A112" s="1443"/>
      <c r="B112" s="911">
        <f>HAS_DOC6="да"</f>
        <v>0</v>
      </c>
      <c r="C112" s="1443"/>
      <c r="D112" s="1443"/>
      <c r="E112" s="797">
        <v>20.4</v>
      </c>
      <c r="F112" s="965"/>
      <c r="G112" s="1443"/>
      <c r="H112" s="1443"/>
      <c r="I112" s="1443"/>
      <c r="J112" s="1443"/>
      <c r="K112" s="1443"/>
      <c r="L112" s="1443"/>
      <c r="M112" s="1443"/>
      <c r="N112" s="1443"/>
      <c r="O112" s="1443"/>
      <c r="P112" s="1443"/>
      <c r="Q112" s="1443"/>
      <c r="R112" s="1443"/>
      <c r="S112" s="1259" t="s">
        <v>111</v>
      </c>
      <c r="T112" s="1260" t="s">
        <v>112</v>
      </c>
      <c r="U112" s="1443"/>
      <c r="V112" s="1443"/>
      <c r="W112" s="1443"/>
      <c r="X112" s="1443"/>
      <c r="Y112" s="1443"/>
      <c r="Z112" s="1443"/>
      <c r="AA112" s="820"/>
      <c r="AB112" s="1413"/>
      <c r="AC112" s="1414" t="s">
        <v>227</v>
      </c>
      <c r="AD112" s="1414"/>
      <c r="AE112" s="470" t="s">
        <v>245</v>
      </c>
      <c r="AF112" s="432"/>
      <c r="AG112" s="1535"/>
      <c r="AH112" s="1535"/>
      <c r="AI112" s="1535"/>
      <c r="AJ112" s="1535"/>
      <c r="AK112" s="1535"/>
      <c r="AL112" s="1535"/>
      <c r="AM112" s="1535"/>
      <c r="AN112" s="1535"/>
      <c r="AO112" s="1261"/>
      <c r="AP112" s="1261"/>
      <c r="AQ112" s="1261"/>
      <c r="AR112" s="1261"/>
      <c r="AS112" s="1261"/>
      <c r="AT112" s="1261"/>
      <c r="AU112" s="1261" t="s">
        <v>228</v>
      </c>
      <c r="AV112" s="1261"/>
      <c r="AW112" s="1261" t="s">
        <v>248</v>
      </c>
      <c r="AX112" s="1261" t="s">
        <v>256</v>
      </c>
      <c r="AY112" s="1261"/>
      <c r="AZ112" s="1261"/>
      <c r="BA112" s="1261"/>
      <c r="BB112" s="1261"/>
      <c r="BC112" s="1261"/>
      <c r="BD112" s="1261"/>
      <c r="BE112" s="1261"/>
    </row>
    <row customHeight="1" ht="19.89" hidden="1">
      <c r="A113" s="1443"/>
      <c r="B113" s="911">
        <f>HAS_DOC6="да"</f>
        <v>0</v>
      </c>
      <c r="C113" s="1443"/>
      <c r="D113" s="1443"/>
      <c r="E113" s="797">
        <v>20.4</v>
      </c>
      <c r="F113" s="965"/>
      <c r="G113" s="1443"/>
      <c r="H113" s="1443"/>
      <c r="I113" s="1443"/>
      <c r="J113" s="1443"/>
      <c r="K113" s="1443"/>
      <c r="L113" s="1443"/>
      <c r="M113" s="1443"/>
      <c r="N113" s="1443"/>
      <c r="O113" s="1443"/>
      <c r="P113" s="1443"/>
      <c r="Q113" s="1443"/>
      <c r="R113" s="1443"/>
      <c r="S113" s="1259" t="s">
        <v>111</v>
      </c>
      <c r="T113" s="1260" t="s">
        <v>112</v>
      </c>
      <c r="U113" s="1443"/>
      <c r="V113" s="1443"/>
      <c r="W113" s="1443"/>
      <c r="X113" s="1443"/>
      <c r="Y113" s="1443"/>
      <c r="Z113" s="1443"/>
      <c r="AA113" s="820"/>
      <c r="AB113" s="1413"/>
      <c r="AC113" s="1414" t="s">
        <v>229</v>
      </c>
      <c r="AD113" s="1414"/>
      <c r="AE113" s="469" t="s">
        <v>245</v>
      </c>
      <c r="AF113" s="432"/>
      <c r="AG113" s="1535"/>
      <c r="AH113" s="1535"/>
      <c r="AI113" s="1535"/>
      <c r="AJ113" s="1535"/>
      <c r="AK113" s="1535"/>
      <c r="AL113" s="1535"/>
      <c r="AM113" s="1535"/>
      <c r="AN113" s="1535"/>
      <c r="AO113" s="1261"/>
      <c r="AP113" s="1261"/>
      <c r="AQ113" s="1261"/>
      <c r="AR113" s="1261"/>
      <c r="AS113" s="1261"/>
      <c r="AT113" s="1261"/>
      <c r="AU113" s="1261" t="s">
        <v>230</v>
      </c>
      <c r="AV113" s="1261"/>
      <c r="AW113" s="1261" t="s">
        <v>248</v>
      </c>
      <c r="AX113" s="1261" t="s">
        <v>256</v>
      </c>
      <c r="AY113" s="1261"/>
      <c r="AZ113" s="1261"/>
      <c r="BA113" s="1261"/>
      <c r="BB113" s="1261"/>
      <c r="BC113" s="1261"/>
      <c r="BD113" s="1261"/>
      <c r="BE113" s="1261"/>
    </row>
    <row customHeight="1" ht="19.89" hidden="1">
      <c r="A114" s="1443"/>
      <c r="B114" s="911">
        <f>HAS_DOC6="да"</f>
        <v>0</v>
      </c>
      <c r="C114" s="1443"/>
      <c r="D114" s="1443"/>
      <c r="E114" s="797">
        <v>20.4</v>
      </c>
      <c r="F114" s="965"/>
      <c r="G114" s="1443"/>
      <c r="H114" s="1443"/>
      <c r="I114" s="1443"/>
      <c r="J114" s="1443"/>
      <c r="K114" s="1443"/>
      <c r="L114" s="1443"/>
      <c r="M114" s="1443"/>
      <c r="N114" s="1443"/>
      <c r="O114" s="1443"/>
      <c r="P114" s="1443"/>
      <c r="Q114" s="1443"/>
      <c r="R114" s="1443"/>
      <c r="S114" s="1259" t="s">
        <v>111</v>
      </c>
      <c r="T114" s="1260" t="s">
        <v>112</v>
      </c>
      <c r="U114" s="1443"/>
      <c r="V114" s="1443"/>
      <c r="W114" s="1443"/>
      <c r="X114" s="1443"/>
      <c r="Y114" s="1443"/>
      <c r="Z114" s="1443"/>
      <c r="AA114" s="820"/>
      <c r="AB114" s="1413"/>
      <c r="AC114" s="1414" t="s">
        <v>231</v>
      </c>
      <c r="AD114" s="1414"/>
      <c r="AE114" s="906" t="s">
        <v>245</v>
      </c>
      <c r="AF114" s="432"/>
      <c r="AG114" s="1535"/>
      <c r="AH114" s="1535"/>
      <c r="AI114" s="1535"/>
      <c r="AJ114" s="1535"/>
      <c r="AK114" s="1535"/>
      <c r="AL114" s="1535"/>
      <c r="AM114" s="1535"/>
      <c r="AN114" s="1535"/>
      <c r="AO114" s="1261"/>
      <c r="AP114" s="1261"/>
      <c r="AQ114" s="1261"/>
      <c r="AR114" s="1261"/>
      <c r="AS114" s="1261"/>
      <c r="AT114" s="1261"/>
      <c r="AU114" s="1261" t="s">
        <v>232</v>
      </c>
      <c r="AV114" s="1261"/>
      <c r="AW114" s="1261" t="s">
        <v>248</v>
      </c>
      <c r="AX114" s="1261" t="s">
        <v>256</v>
      </c>
      <c r="AY114" s="1261"/>
      <c r="AZ114" s="1261"/>
      <c r="BA114" s="1261"/>
      <c r="BB114" s="1261"/>
      <c r="BC114" s="1261"/>
      <c r="BD114" s="1261"/>
      <c r="BE114" s="1261"/>
    </row>
    <row customHeight="1" ht="19.89" hidden="1">
      <c r="A115" s="1443"/>
      <c r="B115" s="911">
        <f>HAS_DOC6="да"</f>
        <v>0</v>
      </c>
      <c r="C115" s="1443"/>
      <c r="D115" s="1443"/>
      <c r="E115" s="797">
        <v>20.4</v>
      </c>
      <c r="F115" s="965"/>
      <c r="G115" s="1443"/>
      <c r="H115" s="1443"/>
      <c r="I115" s="1443"/>
      <c r="J115" s="1443"/>
      <c r="K115" s="1443"/>
      <c r="L115" s="1443"/>
      <c r="M115" s="1443"/>
      <c r="N115" s="1443"/>
      <c r="O115" s="1443"/>
      <c r="P115" s="1443"/>
      <c r="Q115" s="1443"/>
      <c r="R115" s="1443"/>
      <c r="S115" s="1259" t="s">
        <v>111</v>
      </c>
      <c r="T115" s="1260" t="s">
        <v>112</v>
      </c>
      <c r="U115" s="1443"/>
      <c r="V115" s="1443"/>
      <c r="W115" s="1443"/>
      <c r="X115" s="1443"/>
      <c r="Y115" s="1443"/>
      <c r="Z115" s="1443"/>
      <c r="AA115" s="820"/>
      <c r="AB115" s="1413"/>
      <c r="AC115" s="1414" t="s">
        <v>250</v>
      </c>
      <c r="AD115" s="1414"/>
      <c r="AE115" s="906"/>
      <c r="AF115" s="432"/>
      <c r="AG115" s="1535"/>
      <c r="AH115" s="1535"/>
      <c r="AI115" s="1535"/>
      <c r="AJ115" s="1535"/>
      <c r="AK115" s="1535"/>
      <c r="AL115" s="1535"/>
      <c r="AM115" s="1535"/>
      <c r="AN115" s="1535"/>
      <c r="AO115" s="1261"/>
      <c r="AP115" s="1261"/>
      <c r="AQ115" s="1261"/>
      <c r="AR115" s="1261"/>
      <c r="AS115" s="1261"/>
      <c r="AT115" s="1261"/>
      <c r="AU115" s="1261" t="s">
        <v>251</v>
      </c>
      <c r="AV115" s="1261"/>
      <c r="AW115" s="1261" t="s">
        <v>248</v>
      </c>
      <c r="AX115" s="1261" t="s">
        <v>256</v>
      </c>
      <c r="AY115" s="1261"/>
      <c r="AZ115" s="1261"/>
      <c r="BA115" s="1261"/>
      <c r="BB115" s="1261"/>
      <c r="BC115" s="1261"/>
      <c r="BD115" s="1261"/>
      <c r="BE115" s="1261"/>
    </row>
    <row customHeight="1" ht="19.89" hidden="1">
      <c r="A116" s="1443"/>
      <c r="B116" s="911">
        <f>HAS_DOC6="да"</f>
        <v>0</v>
      </c>
      <c r="C116" s="1443"/>
      <c r="D116" s="1443"/>
      <c r="E116" s="797">
        <v>20.4</v>
      </c>
      <c r="F116" s="965"/>
      <c r="G116" s="1443"/>
      <c r="H116" s="1443"/>
      <c r="I116" s="1443"/>
      <c r="J116" s="1443"/>
      <c r="K116" s="1443"/>
      <c r="L116" s="1443"/>
      <c r="M116" s="1443"/>
      <c r="N116" s="1443"/>
      <c r="O116" s="1443"/>
      <c r="P116" s="1443"/>
      <c r="Q116" s="1443"/>
      <c r="R116" s="1443"/>
      <c r="S116" s="1259" t="s">
        <v>111</v>
      </c>
      <c r="T116" s="1260" t="s">
        <v>112</v>
      </c>
      <c r="U116" s="1443"/>
      <c r="V116" s="1443"/>
      <c r="W116" s="1443"/>
      <c r="X116" s="1443"/>
      <c r="Y116" s="1443"/>
      <c r="Z116" s="1443"/>
      <c r="AA116" s="820"/>
      <c r="AB116" s="1413"/>
      <c r="AC116" s="1414" t="s">
        <v>252</v>
      </c>
      <c r="AD116" s="1414"/>
      <c r="AE116" s="906"/>
      <c r="AF116" s="432"/>
      <c r="AG116" s="1535"/>
      <c r="AH116" s="1535"/>
      <c r="AI116" s="1535"/>
      <c r="AJ116" s="1535"/>
      <c r="AK116" s="1535"/>
      <c r="AL116" s="1535"/>
      <c r="AM116" s="1535"/>
      <c r="AN116" s="1535"/>
      <c r="AO116" s="1261"/>
      <c r="AP116" s="1261"/>
      <c r="AQ116" s="1261"/>
      <c r="AR116" s="1261"/>
      <c r="AS116" s="1261"/>
      <c r="AT116" s="1261"/>
      <c r="AU116" s="1261" t="s">
        <v>253</v>
      </c>
      <c r="AV116" s="1261"/>
      <c r="AW116" s="1261" t="s">
        <v>248</v>
      </c>
      <c r="AX116" s="1261" t="s">
        <v>256</v>
      </c>
      <c r="AY116" s="1261"/>
      <c r="AZ116" s="1261"/>
      <c r="BA116" s="1261"/>
      <c r="BB116" s="1261"/>
      <c r="BC116" s="1261"/>
      <c r="BD116" s="1261"/>
      <c r="BE116" s="1261"/>
    </row>
    <row customHeight="1" ht="19.89" hidden="1">
      <c r="A117" s="1443"/>
      <c r="B117" s="911">
        <f>HAS_DOC6="да"</f>
        <v>0</v>
      </c>
      <c r="C117" s="1443"/>
      <c r="D117" s="1443"/>
      <c r="E117" s="797">
        <v>20.4</v>
      </c>
      <c r="F117" s="965"/>
      <c r="G117" s="1443"/>
      <c r="H117" s="1443"/>
      <c r="I117" s="1443"/>
      <c r="J117" s="1443"/>
      <c r="K117" s="1443"/>
      <c r="L117" s="1443"/>
      <c r="M117" s="1443"/>
      <c r="N117" s="1443"/>
      <c r="O117" s="1443"/>
      <c r="P117" s="1443"/>
      <c r="Q117" s="1443"/>
      <c r="R117" s="1443"/>
      <c r="S117" s="1259" t="s">
        <v>111</v>
      </c>
      <c r="T117" s="1260" t="s">
        <v>112</v>
      </c>
      <c r="U117" s="1443"/>
      <c r="V117" s="1443"/>
      <c r="W117" s="819">
        <f>ROW(Y117)&gt;ROW(Y$117)</f>
        <v>0</v>
      </c>
      <c r="X117" s="1443"/>
      <c r="Y117" s="179" t="s">
        <v>234</v>
      </c>
      <c r="Z117" s="1443"/>
      <c r="AA117" s="1415" t="s">
        <v>218</v>
      </c>
      <c r="AB117" s="1413" t="s">
        <v>224</v>
      </c>
      <c r="AC117" s="1414" t="s">
        <v>225</v>
      </c>
      <c r="AD117" s="1414"/>
      <c r="AE117" s="469"/>
      <c r="AF117" s="432"/>
      <c r="AG117" s="1535"/>
      <c r="AH117" s="1535"/>
      <c r="AI117" s="1535"/>
      <c r="AJ117" s="1535"/>
      <c r="AK117" s="1535"/>
      <c r="AL117" s="1535"/>
      <c r="AM117" s="1535"/>
      <c r="AN117" s="1535"/>
      <c r="AO117" s="1268" cm="1" t="str">
        <f t="array" ref="AO117:AO117">AE117</f>
        <v>0</v>
      </c>
      <c r="AP117" s="1261"/>
      <c r="AQ117" s="1261"/>
      <c r="AR117" s="1261"/>
      <c r="AS117" s="1261"/>
      <c r="AT117" s="1261"/>
      <c r="AU117" s="1261" t="s">
        <v>226</v>
      </c>
      <c r="AV117" s="1261"/>
      <c r="AW117" s="1261" t="s">
        <v>248</v>
      </c>
      <c r="AX117" s="1261" t="s">
        <v>256</v>
      </c>
      <c r="AY117" s="1261"/>
      <c r="AZ117" s="1261"/>
      <c r="BA117" s="1261"/>
      <c r="BB117" s="1261"/>
      <c r="BC117" s="1261"/>
      <c r="BD117" s="1261"/>
      <c r="BE117" s="1261"/>
    </row>
    <row customHeight="1" ht="19.89" hidden="1">
      <c r="A118" s="1443"/>
      <c r="B118" s="911">
        <f>HAS_DOC6="да"</f>
        <v>0</v>
      </c>
      <c r="C118" s="1443"/>
      <c r="D118" s="1443"/>
      <c r="E118" s="797">
        <v>20.4</v>
      </c>
      <c r="F118" s="965"/>
      <c r="G118" s="1443"/>
      <c r="H118" s="1443"/>
      <c r="I118" s="1443"/>
      <c r="J118" s="1443"/>
      <c r="K118" s="1443"/>
      <c r="L118" s="1443"/>
      <c r="M118" s="1443"/>
      <c r="N118" s="1443"/>
      <c r="O118" s="1443"/>
      <c r="P118" s="1443"/>
      <c r="Q118" s="1443"/>
      <c r="R118" s="1443"/>
      <c r="S118" s="1259" t="s">
        <v>111</v>
      </c>
      <c r="T118" s="1260" t="s">
        <v>112</v>
      </c>
      <c r="U118" s="1443"/>
      <c r="V118" s="1443"/>
      <c r="W118" s="819" cm="1" t="str">
        <f t="array" ref="W118:W118">W117</f>
        <v>false</v>
      </c>
      <c r="X118" s="1443"/>
      <c r="Y118" s="1443"/>
      <c r="Z118" s="1443"/>
      <c r="AA118" s="1415"/>
      <c r="AB118" s="1413"/>
      <c r="AC118" s="1414" t="s">
        <v>227</v>
      </c>
      <c r="AD118" s="1414"/>
      <c r="AE118" s="470" t="s">
        <v>245</v>
      </c>
      <c r="AF118" s="432"/>
      <c r="AG118" s="1535"/>
      <c r="AH118" s="1535"/>
      <c r="AI118" s="1535"/>
      <c r="AJ118" s="1535"/>
      <c r="AK118" s="1535"/>
      <c r="AL118" s="1535"/>
      <c r="AM118" s="1535"/>
      <c r="AN118" s="1535"/>
      <c r="AO118" s="1268" cm="1" t="str">
        <f t="array" ref="AO118:AO118">AO117</f>
        <v>0</v>
      </c>
      <c r="AP118" s="1261"/>
      <c r="AQ118" s="1261"/>
      <c r="AR118" s="1261"/>
      <c r="AS118" s="1261"/>
      <c r="AT118" s="1261"/>
      <c r="AU118" s="1261" t="s">
        <v>228</v>
      </c>
      <c r="AV118" s="1261"/>
      <c r="AW118" s="1261" t="s">
        <v>248</v>
      </c>
      <c r="AX118" s="1261" t="s">
        <v>256</v>
      </c>
      <c r="AY118" s="1261"/>
      <c r="AZ118" s="1261"/>
      <c r="BA118" s="1261"/>
      <c r="BB118" s="1261"/>
      <c r="BC118" s="1261"/>
      <c r="BD118" s="1261"/>
      <c r="BE118" s="1261"/>
    </row>
    <row customHeight="1" ht="19.89" hidden="1">
      <c r="A119" s="1443"/>
      <c r="B119" s="911">
        <f>HAS_DOC6="да"</f>
        <v>0</v>
      </c>
      <c r="C119" s="1443"/>
      <c r="D119" s="1443"/>
      <c r="E119" s="797">
        <v>20.4</v>
      </c>
      <c r="F119" s="965"/>
      <c r="G119" s="1443"/>
      <c r="H119" s="1443"/>
      <c r="I119" s="1443"/>
      <c r="J119" s="1443"/>
      <c r="K119" s="1443"/>
      <c r="L119" s="1443"/>
      <c r="M119" s="1443"/>
      <c r="N119" s="1443"/>
      <c r="O119" s="1443"/>
      <c r="P119" s="1443"/>
      <c r="Q119" s="1443"/>
      <c r="R119" s="1443"/>
      <c r="S119" s="1259" t="s">
        <v>111</v>
      </c>
      <c r="T119" s="1260" t="s">
        <v>112</v>
      </c>
      <c r="U119" s="1443"/>
      <c r="V119" s="1443"/>
      <c r="W119" s="819" cm="1" t="str">
        <f t="array" ref="W119:W119">W118</f>
        <v>false</v>
      </c>
      <c r="X119" s="1443"/>
      <c r="Y119" s="1443"/>
      <c r="Z119" s="1443"/>
      <c r="AA119" s="1415"/>
      <c r="AB119" s="1413"/>
      <c r="AC119" s="1414" t="s">
        <v>229</v>
      </c>
      <c r="AD119" s="1414"/>
      <c r="AE119" s="469" t="s">
        <v>245</v>
      </c>
      <c r="AF119" s="432"/>
      <c r="AG119" s="1535"/>
      <c r="AH119" s="1535"/>
      <c r="AI119" s="1535"/>
      <c r="AJ119" s="1535"/>
      <c r="AK119" s="1535"/>
      <c r="AL119" s="1535"/>
      <c r="AM119" s="1535"/>
      <c r="AN119" s="1535"/>
      <c r="AO119" s="1268" cm="1" t="str">
        <f t="array" ref="AO119:AO119">AO118</f>
        <v>0</v>
      </c>
      <c r="AP119" s="1261"/>
      <c r="AQ119" s="1261"/>
      <c r="AR119" s="1261"/>
      <c r="AS119" s="1261"/>
      <c r="AT119" s="1261"/>
      <c r="AU119" s="1261" t="s">
        <v>230</v>
      </c>
      <c r="AV119" s="1261"/>
      <c r="AW119" s="1261" t="s">
        <v>248</v>
      </c>
      <c r="AX119" s="1261" t="s">
        <v>256</v>
      </c>
      <c r="AY119" s="1261"/>
      <c r="AZ119" s="1261"/>
      <c r="BA119" s="1261"/>
      <c r="BB119" s="1261"/>
      <c r="BC119" s="1261"/>
      <c r="BD119" s="1261"/>
      <c r="BE119" s="1261"/>
    </row>
    <row customHeight="1" ht="19.89" hidden="1">
      <c r="A120" s="1443"/>
      <c r="B120" s="911">
        <f>HAS_DOC6="да"</f>
        <v>0</v>
      </c>
      <c r="C120" s="1443"/>
      <c r="D120" s="1443"/>
      <c r="E120" s="797">
        <v>20.4</v>
      </c>
      <c r="F120" s="965"/>
      <c r="G120" s="1443"/>
      <c r="H120" s="1443"/>
      <c r="I120" s="1443"/>
      <c r="J120" s="1443"/>
      <c r="K120" s="1443"/>
      <c r="L120" s="1443"/>
      <c r="M120" s="1443"/>
      <c r="N120" s="1443"/>
      <c r="O120" s="1443"/>
      <c r="P120" s="1443"/>
      <c r="Q120" s="1443"/>
      <c r="R120" s="1443"/>
      <c r="S120" s="1259" t="s">
        <v>111</v>
      </c>
      <c r="T120" s="1260" t="s">
        <v>112</v>
      </c>
      <c r="U120" s="1443"/>
      <c r="V120" s="1443"/>
      <c r="W120" s="819" cm="1" t="str">
        <f t="array" ref="W120:W120">W119</f>
        <v>false</v>
      </c>
      <c r="X120" s="1443"/>
      <c r="Y120" s="1443"/>
      <c r="Z120" s="1443"/>
      <c r="AA120" s="1415"/>
      <c r="AB120" s="1413"/>
      <c r="AC120" s="1414" t="s">
        <v>231</v>
      </c>
      <c r="AD120" s="1414"/>
      <c r="AE120" s="906" t="s">
        <v>245</v>
      </c>
      <c r="AF120" s="432"/>
      <c r="AG120" s="1535"/>
      <c r="AH120" s="1535"/>
      <c r="AI120" s="1535"/>
      <c r="AJ120" s="1535"/>
      <c r="AK120" s="1535"/>
      <c r="AL120" s="1535"/>
      <c r="AM120" s="1535"/>
      <c r="AN120" s="1535"/>
      <c r="AO120" s="1268" cm="1" t="str">
        <f t="array" ref="AO120:AO120">AO119</f>
        <v>0</v>
      </c>
      <c r="AP120" s="1261"/>
      <c r="AQ120" s="1261"/>
      <c r="AR120" s="1261"/>
      <c r="AS120" s="1261"/>
      <c r="AT120" s="1261"/>
      <c r="AU120" s="1261" t="s">
        <v>232</v>
      </c>
      <c r="AV120" s="1261"/>
      <c r="AW120" s="1261" t="s">
        <v>248</v>
      </c>
      <c r="AX120" s="1261" t="s">
        <v>256</v>
      </c>
      <c r="AY120" s="1261"/>
      <c r="AZ120" s="1261"/>
      <c r="BA120" s="1261"/>
      <c r="BB120" s="1261"/>
      <c r="BC120" s="1261"/>
      <c r="BD120" s="1261"/>
      <c r="BE120" s="1261"/>
    </row>
    <row customHeight="1" ht="19.89" hidden="1">
      <c r="A121" s="1443"/>
      <c r="B121" s="911">
        <f>HAS_DOC6="да"</f>
        <v>0</v>
      </c>
      <c r="C121" s="1443"/>
      <c r="D121" s="1443"/>
      <c r="E121" s="797">
        <v>20.4</v>
      </c>
      <c r="F121" s="965"/>
      <c r="G121" s="1443"/>
      <c r="H121" s="1443"/>
      <c r="I121" s="1443"/>
      <c r="J121" s="1443"/>
      <c r="K121" s="1443"/>
      <c r="L121" s="1443"/>
      <c r="M121" s="1443"/>
      <c r="N121" s="1443"/>
      <c r="O121" s="1443"/>
      <c r="P121" s="1443"/>
      <c r="Q121" s="1443"/>
      <c r="R121" s="1443"/>
      <c r="S121" s="1259" t="s">
        <v>111</v>
      </c>
      <c r="T121" s="1260" t="s">
        <v>112</v>
      </c>
      <c r="U121" s="1443"/>
      <c r="V121" s="1443"/>
      <c r="W121" s="819" cm="1" t="str">
        <f t="array" ref="W121:W121">W120</f>
        <v>false</v>
      </c>
      <c r="X121" s="1443"/>
      <c r="Y121" s="1443"/>
      <c r="Z121" s="1443"/>
      <c r="AA121" s="1415"/>
      <c r="AB121" s="1413"/>
      <c r="AC121" s="1414" t="s">
        <v>250</v>
      </c>
      <c r="AD121" s="1414"/>
      <c r="AE121" s="906" t="s">
        <v>245</v>
      </c>
      <c r="AF121" s="432"/>
      <c r="AG121" s="1535"/>
      <c r="AH121" s="1535"/>
      <c r="AI121" s="1535"/>
      <c r="AJ121" s="1535"/>
      <c r="AK121" s="1535"/>
      <c r="AL121" s="1535"/>
      <c r="AM121" s="1535"/>
      <c r="AN121" s="1535"/>
      <c r="AO121" s="1268" cm="1" t="str">
        <f t="array" ref="AO121:AO121">AO120</f>
        <v>0</v>
      </c>
      <c r="AP121" s="1261"/>
      <c r="AQ121" s="1261"/>
      <c r="AR121" s="1261"/>
      <c r="AS121" s="1261"/>
      <c r="AT121" s="1261"/>
      <c r="AU121" s="1261" t="s">
        <v>251</v>
      </c>
      <c r="AV121" s="1261"/>
      <c r="AW121" s="1261" t="s">
        <v>248</v>
      </c>
      <c r="AX121" s="1261" t="s">
        <v>256</v>
      </c>
      <c r="AY121" s="1261"/>
      <c r="AZ121" s="1261"/>
      <c r="BA121" s="1261"/>
      <c r="BB121" s="1261"/>
      <c r="BC121" s="1261"/>
      <c r="BD121" s="1261"/>
      <c r="BE121" s="1261"/>
    </row>
    <row customHeight="1" ht="19.89" hidden="1">
      <c r="A122" s="1443"/>
      <c r="B122" s="911">
        <f>HAS_DOC6="да"</f>
        <v>0</v>
      </c>
      <c r="C122" s="1443"/>
      <c r="D122" s="1443"/>
      <c r="E122" s="797">
        <v>20.4</v>
      </c>
      <c r="F122" s="965"/>
      <c r="G122" s="1443"/>
      <c r="H122" s="1443"/>
      <c r="I122" s="1443"/>
      <c r="J122" s="1443"/>
      <c r="K122" s="1443"/>
      <c r="L122" s="1443"/>
      <c r="M122" s="1443"/>
      <c r="N122" s="1443"/>
      <c r="O122" s="1443"/>
      <c r="P122" s="1443"/>
      <c r="Q122" s="1443"/>
      <c r="R122" s="1443"/>
      <c r="S122" s="1259" t="s">
        <v>111</v>
      </c>
      <c r="T122" s="1260" t="s">
        <v>112</v>
      </c>
      <c r="U122" s="1443"/>
      <c r="V122" s="1443"/>
      <c r="W122" s="819" cm="1" t="str">
        <f t="array" ref="W122:W122">W121</f>
        <v>false</v>
      </c>
      <c r="X122" s="1443"/>
      <c r="Y122" s="1443"/>
      <c r="Z122" s="1443"/>
      <c r="AA122" s="1415"/>
      <c r="AB122" s="1413"/>
      <c r="AC122" s="1414" t="s">
        <v>252</v>
      </c>
      <c r="AD122" s="1414"/>
      <c r="AE122" s="909" t="s">
        <v>245</v>
      </c>
      <c r="AF122" s="432"/>
      <c r="AG122" s="1535"/>
      <c r="AH122" s="1535"/>
      <c r="AI122" s="1535"/>
      <c r="AJ122" s="1535"/>
      <c r="AK122" s="1535"/>
      <c r="AL122" s="1535"/>
      <c r="AM122" s="1535"/>
      <c r="AN122" s="1535"/>
      <c r="AO122" s="1268" cm="1" t="str">
        <f t="array" ref="AO122:AO122">AO121</f>
        <v>0</v>
      </c>
      <c r="AP122" s="1261"/>
      <c r="AQ122" s="1261"/>
      <c r="AR122" s="1261"/>
      <c r="AS122" s="1261"/>
      <c r="AT122" s="1261"/>
      <c r="AU122" s="1261" t="s">
        <v>253</v>
      </c>
      <c r="AV122" s="1261"/>
      <c r="AW122" s="1261" t="s">
        <v>248</v>
      </c>
      <c r="AX122" s="1261" t="s">
        <v>256</v>
      </c>
      <c r="AY122" s="1261"/>
      <c r="AZ122" s="1261"/>
      <c r="BA122" s="1261"/>
      <c r="BB122" s="1261"/>
      <c r="BC122" s="1261"/>
      <c r="BD122" s="1261"/>
      <c r="BE122" s="1261"/>
    </row>
    <row customHeight="1" ht="14.625" hidden="1">
      <c r="A123" s="1443"/>
      <c r="B123" s="911">
        <f>HAS_DOC6="да"</f>
        <v>0</v>
      </c>
      <c r="C123" s="1443"/>
      <c r="D123" s="1443"/>
      <c r="E123" s="797">
        <v>15</v>
      </c>
      <c r="F123" s="214" t="s">
        <v>254</v>
      </c>
      <c r="G123" s="1443"/>
      <c r="H123" s="1443"/>
      <c r="I123" s="1443"/>
      <c r="J123" s="1443"/>
      <c r="K123" s="1443"/>
      <c r="L123" s="1443"/>
      <c r="M123" s="1443"/>
      <c r="N123" s="1443"/>
      <c r="O123" s="1443"/>
      <c r="P123" s="1443"/>
      <c r="Q123" s="1443"/>
      <c r="R123" s="1443"/>
      <c r="S123" s="1265"/>
      <c r="T123" s="1266"/>
      <c r="U123" s="1443"/>
      <c r="V123" s="1443"/>
      <c r="W123" s="1443"/>
      <c r="X123" s="1443"/>
      <c r="Y123" s="374" t="s">
        <v>235</v>
      </c>
      <c r="Z123" s="1443"/>
      <c r="AA123" s="820"/>
      <c r="AB123" s="342"/>
      <c r="AC123" s="341"/>
      <c r="AD123" s="341"/>
      <c r="AE123" s="340" t="s">
        <v>236</v>
      </c>
      <c r="AF123" s="432"/>
      <c r="AG123" s="193"/>
      <c r="AH123" s="1535"/>
      <c r="AI123" s="1535"/>
      <c r="AJ123" s="1535"/>
      <c r="AK123" s="1535"/>
      <c r="AL123" s="1535"/>
      <c r="AM123" s="1535"/>
      <c r="AN123" s="1535"/>
      <c r="AO123" s="1267"/>
      <c r="AP123" s="1267"/>
      <c r="AQ123" s="1267"/>
      <c r="AR123" s="1267"/>
      <c r="AS123" s="1267"/>
      <c r="AT123" s="1267"/>
      <c r="AU123" s="1267"/>
      <c r="AV123" s="1267"/>
      <c r="AW123" s="1267"/>
      <c r="AX123" s="1267"/>
      <c r="AY123" s="1267"/>
      <c r="AZ123" s="1267"/>
      <c r="BA123" s="1267"/>
      <c r="BB123" s="1267"/>
      <c r="BC123" s="1267"/>
      <c r="BD123" s="1267"/>
      <c r="BE123" s="1267"/>
    </row>
    <row customHeight="1" ht="23.985000000000003">
      <c r="E124" s="797">
        <v>24.6</v>
      </c>
      <c r="F124" s="214" t="s">
        <v>257</v>
      </c>
      <c r="S124" s="1259" t="s">
        <v>186</v>
      </c>
      <c r="T124" s="1260" t="s">
        <v>187</v>
      </c>
      <c r="AB124" s="141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4"/>
      <c r="AD124" s="1414"/>
      <c r="AE124" s="442" t="s">
        <v>190</v>
      </c>
      <c r="AF124" s="437"/>
      <c r="AG124" s="155" t="s">
        <v>258</v>
      </c>
      <c r="AO124" s="1261"/>
      <c r="AP124" s="1261"/>
      <c r="AQ124" s="1261"/>
      <c r="AR124" s="1261"/>
      <c r="AS124" s="1261"/>
      <c r="AT124" s="1261"/>
      <c r="AU124" s="1261"/>
      <c r="AV124" s="1261"/>
      <c r="AW124" s="1261" t="s">
        <v>259</v>
      </c>
      <c r="AX124" s="1261" t="s">
        <v>256</v>
      </c>
      <c r="AY124" s="1261"/>
      <c r="AZ124" s="1261"/>
      <c r="BA124" s="1261"/>
      <c r="BB124" s="1261"/>
      <c r="BC124" s="1261"/>
      <c r="BD124" s="1261"/>
      <c r="BE124" s="1261"/>
    </row>
    <row customHeight="1" ht="19.89" hidden="1">
      <c r="A125" s="1443"/>
      <c r="B125" s="911">
        <f>HAS_DOC7="да"</f>
        <v>0</v>
      </c>
      <c r="C125" s="1443"/>
      <c r="D125" s="1443"/>
      <c r="E125" s="797">
        <v>20.4</v>
      </c>
      <c r="F125" s="965"/>
      <c r="G125" s="1443"/>
      <c r="H125" s="1443"/>
      <c r="I125" s="1443"/>
      <c r="J125" s="1443"/>
      <c r="K125" s="1443"/>
      <c r="L125" s="1443"/>
      <c r="M125" s="1443"/>
      <c r="N125" s="1443"/>
      <c r="O125" s="1443"/>
      <c r="P125" s="1443"/>
      <c r="Q125" s="1443"/>
      <c r="R125" s="1443"/>
      <c r="S125" s="1259" t="s">
        <v>111</v>
      </c>
      <c r="T125" s="1260" t="s">
        <v>112</v>
      </c>
      <c r="U125" s="1443"/>
      <c r="V125" s="1443"/>
      <c r="W125" s="1443"/>
      <c r="X125" s="1443"/>
      <c r="Y125" s="1443"/>
      <c r="Z125" s="1443"/>
      <c r="AA125" s="820"/>
      <c r="AB125" s="1413" t="s">
        <v>224</v>
      </c>
      <c r="AC125" s="1414" t="s">
        <v>225</v>
      </c>
      <c r="AD125" s="1414"/>
      <c r="AE125" s="1606"/>
      <c r="AF125" s="432"/>
      <c r="AG125" s="1535"/>
      <c r="AH125" s="1535"/>
      <c r="AI125" s="1535"/>
      <c r="AJ125" s="1535"/>
      <c r="AK125" s="1535"/>
      <c r="AL125" s="1535"/>
      <c r="AM125" s="1535"/>
      <c r="AN125" s="1535"/>
      <c r="AO125" s="1261"/>
      <c r="AP125" s="1261"/>
      <c r="AQ125" s="1261"/>
      <c r="AR125" s="1261"/>
      <c r="AS125" s="1261"/>
      <c r="AT125" s="1261"/>
      <c r="AU125" s="1261" t="s">
        <v>226</v>
      </c>
      <c r="AV125" s="1261"/>
      <c r="AW125" s="1261" t="s">
        <v>259</v>
      </c>
      <c r="AX125" s="1261" t="s">
        <v>256</v>
      </c>
      <c r="AY125" s="1261"/>
      <c r="AZ125" s="1261"/>
      <c r="BA125" s="1261"/>
      <c r="BB125" s="1261"/>
      <c r="BC125" s="1261"/>
      <c r="BD125" s="1261"/>
      <c r="BE125" s="1261"/>
    </row>
    <row customHeight="1" ht="19.89" hidden="1">
      <c r="A126" s="1443"/>
      <c r="B126" s="911">
        <f>HAS_DOC7="да"</f>
        <v>0</v>
      </c>
      <c r="C126" s="1443"/>
      <c r="D126" s="1443"/>
      <c r="E126" s="797">
        <v>20.4</v>
      </c>
      <c r="F126" s="965"/>
      <c r="G126" s="1443"/>
      <c r="H126" s="1443"/>
      <c r="I126" s="1443"/>
      <c r="J126" s="1443"/>
      <c r="K126" s="1443"/>
      <c r="L126" s="1443"/>
      <c r="M126" s="1443"/>
      <c r="N126" s="1443"/>
      <c r="O126" s="1443"/>
      <c r="P126" s="1443"/>
      <c r="Q126" s="1443"/>
      <c r="R126" s="1443"/>
      <c r="S126" s="1259" t="s">
        <v>111</v>
      </c>
      <c r="T126" s="1260" t="s">
        <v>112</v>
      </c>
      <c r="U126" s="1443"/>
      <c r="V126" s="1443"/>
      <c r="W126" s="1443"/>
      <c r="X126" s="1443"/>
      <c r="Y126" s="1443"/>
      <c r="Z126" s="1443"/>
      <c r="AA126" s="820"/>
      <c r="AB126" s="1413"/>
      <c r="AC126" s="1414" t="s">
        <v>227</v>
      </c>
      <c r="AD126" s="1414"/>
      <c r="AE126" s="1606"/>
      <c r="AF126" s="432"/>
      <c r="AG126" s="1535"/>
      <c r="AH126" s="1535"/>
      <c r="AI126" s="1535"/>
      <c r="AJ126" s="1535"/>
      <c r="AK126" s="1535"/>
      <c r="AL126" s="1535"/>
      <c r="AM126" s="1535"/>
      <c r="AN126" s="1535"/>
      <c r="AO126" s="1261"/>
      <c r="AP126" s="1261"/>
      <c r="AQ126" s="1261"/>
      <c r="AR126" s="1261"/>
      <c r="AS126" s="1261"/>
      <c r="AT126" s="1261"/>
      <c r="AU126" s="1261" t="s">
        <v>228</v>
      </c>
      <c r="AV126" s="1261"/>
      <c r="AW126" s="1261" t="s">
        <v>259</v>
      </c>
      <c r="AX126" s="1261" t="s">
        <v>256</v>
      </c>
      <c r="AY126" s="1261"/>
      <c r="AZ126" s="1261"/>
      <c r="BA126" s="1261"/>
      <c r="BB126" s="1261"/>
      <c r="BC126" s="1261"/>
      <c r="BD126" s="1261"/>
      <c r="BE126" s="1261"/>
    </row>
    <row customHeight="1" ht="19.89" hidden="1">
      <c r="A127" s="1443"/>
      <c r="B127" s="911">
        <f>HAS_DOC7="да"</f>
        <v>0</v>
      </c>
      <c r="C127" s="1443"/>
      <c r="D127" s="1443"/>
      <c r="E127" s="797">
        <v>20.4</v>
      </c>
      <c r="F127" s="965"/>
      <c r="G127" s="1443"/>
      <c r="H127" s="1443"/>
      <c r="I127" s="1443"/>
      <c r="J127" s="1443"/>
      <c r="K127" s="1443"/>
      <c r="L127" s="1443"/>
      <c r="M127" s="1443"/>
      <c r="N127" s="1443"/>
      <c r="O127" s="1443"/>
      <c r="P127" s="1443"/>
      <c r="Q127" s="1443"/>
      <c r="R127" s="1443"/>
      <c r="S127" s="1259" t="s">
        <v>111</v>
      </c>
      <c r="T127" s="1260" t="s">
        <v>112</v>
      </c>
      <c r="U127" s="1443"/>
      <c r="V127" s="1443"/>
      <c r="W127" s="1443"/>
      <c r="X127" s="1443"/>
      <c r="Y127" s="1443"/>
      <c r="Z127" s="1443"/>
      <c r="AA127" s="820"/>
      <c r="AB127" s="1413"/>
      <c r="AC127" s="1414" t="s">
        <v>260</v>
      </c>
      <c r="AD127" s="1414"/>
      <c r="AE127" s="1606"/>
      <c r="AF127" s="432"/>
      <c r="AG127" s="1535"/>
      <c r="AH127" s="1535"/>
      <c r="AI127" s="1535"/>
      <c r="AJ127" s="1535"/>
      <c r="AK127" s="1535"/>
      <c r="AL127" s="1535"/>
      <c r="AM127" s="1535"/>
      <c r="AN127" s="1535"/>
      <c r="AO127" s="1261"/>
      <c r="AP127" s="1261"/>
      <c r="AQ127" s="1261"/>
      <c r="AR127" s="1261"/>
      <c r="AS127" s="1261"/>
      <c r="AT127" s="1261"/>
      <c r="AU127" s="1261" t="s">
        <v>230</v>
      </c>
      <c r="AV127" s="1261"/>
      <c r="AW127" s="1261" t="s">
        <v>259</v>
      </c>
      <c r="AX127" s="1261" t="s">
        <v>256</v>
      </c>
      <c r="AY127" s="1261"/>
      <c r="AZ127" s="1261"/>
      <c r="BA127" s="1261"/>
      <c r="BB127" s="1261"/>
      <c r="BC127" s="1261"/>
      <c r="BD127" s="1261"/>
      <c r="BE127" s="1261"/>
    </row>
    <row customHeight="1" ht="19.89" hidden="1">
      <c r="A128" s="1443"/>
      <c r="B128" s="911">
        <f>HAS_DOC7="да"</f>
        <v>0</v>
      </c>
      <c r="C128" s="1443"/>
      <c r="D128" s="1443"/>
      <c r="E128" s="797">
        <v>20.4</v>
      </c>
      <c r="F128" s="965"/>
      <c r="G128" s="1443"/>
      <c r="H128" s="1443"/>
      <c r="I128" s="1443"/>
      <c r="J128" s="1443"/>
      <c r="K128" s="1443"/>
      <c r="L128" s="1443"/>
      <c r="M128" s="1443"/>
      <c r="N128" s="1443"/>
      <c r="O128" s="1443"/>
      <c r="P128" s="1443"/>
      <c r="Q128" s="1443"/>
      <c r="R128" s="1443"/>
      <c r="S128" s="1259" t="s">
        <v>111</v>
      </c>
      <c r="T128" s="1260" t="s">
        <v>112</v>
      </c>
      <c r="U128" s="1443"/>
      <c r="V128" s="1443"/>
      <c r="W128" s="1443"/>
      <c r="X128" s="1443"/>
      <c r="Y128" s="1443"/>
      <c r="Z128" s="1443"/>
      <c r="AA128" s="820"/>
      <c r="AB128" s="1413"/>
      <c r="AC128" s="1414" t="s">
        <v>231</v>
      </c>
      <c r="AD128" s="1414"/>
      <c r="AE128" s="1608"/>
      <c r="AF128" s="432"/>
      <c r="AG128" s="1535"/>
      <c r="AH128" s="1535"/>
      <c r="AI128" s="1535"/>
      <c r="AJ128" s="1535"/>
      <c r="AK128" s="1535"/>
      <c r="AL128" s="1535"/>
      <c r="AM128" s="1535"/>
      <c r="AN128" s="1535"/>
      <c r="AO128" s="1261"/>
      <c r="AP128" s="1261"/>
      <c r="AQ128" s="1261"/>
      <c r="AR128" s="1261"/>
      <c r="AS128" s="1261"/>
      <c r="AT128" s="1261"/>
      <c r="AU128" s="1261" t="s">
        <v>232</v>
      </c>
      <c r="AV128" s="1261"/>
      <c r="AW128" s="1261" t="s">
        <v>259</v>
      </c>
      <c r="AX128" s="1261" t="s">
        <v>256</v>
      </c>
      <c r="AY128" s="1261"/>
      <c r="AZ128" s="1261"/>
      <c r="BA128" s="1261"/>
      <c r="BB128" s="1261"/>
      <c r="BC128" s="1261"/>
      <c r="BD128" s="1261"/>
      <c r="BE128" s="1261"/>
    </row>
    <row customHeight="1" ht="19.89" hidden="1">
      <c r="A129" s="1443"/>
      <c r="B129" s="911">
        <f>HAS_DOC7="да"</f>
        <v>0</v>
      </c>
      <c r="C129" s="1443"/>
      <c r="D129" s="1443"/>
      <c r="E129" s="797">
        <v>20.4</v>
      </c>
      <c r="F129" s="965"/>
      <c r="G129" s="1443"/>
      <c r="H129" s="1443"/>
      <c r="I129" s="1443"/>
      <c r="J129" s="1443"/>
      <c r="K129" s="1443"/>
      <c r="L129" s="1443"/>
      <c r="M129" s="1443"/>
      <c r="N129" s="1443"/>
      <c r="O129" s="1443"/>
      <c r="P129" s="1443"/>
      <c r="Q129" s="1443"/>
      <c r="R129" s="1443"/>
      <c r="S129" s="1259" t="s">
        <v>111</v>
      </c>
      <c r="T129" s="1260" t="s">
        <v>112</v>
      </c>
      <c r="U129" s="1443"/>
      <c r="V129" s="1443"/>
      <c r="W129" s="1443"/>
      <c r="X129" s="1443"/>
      <c r="Y129" s="1443"/>
      <c r="Z129" s="1443"/>
      <c r="AA129" s="820"/>
      <c r="AB129" s="1413"/>
      <c r="AC129" s="1414" t="s">
        <v>261</v>
      </c>
      <c r="AD129" s="1414"/>
      <c r="AE129" s="1608"/>
      <c r="AF129" s="432"/>
      <c r="AG129" s="1535"/>
      <c r="AH129" s="1535"/>
      <c r="AI129" s="1535"/>
      <c r="AJ129" s="1535"/>
      <c r="AK129" s="1535"/>
      <c r="AL129" s="1535"/>
      <c r="AM129" s="1535"/>
      <c r="AN129" s="1535"/>
      <c r="AO129" s="1261"/>
      <c r="AP129" s="1261"/>
      <c r="AQ129" s="1261"/>
      <c r="AR129" s="1261"/>
      <c r="AS129" s="1261"/>
      <c r="AT129" s="1261"/>
      <c r="AU129" s="1261" t="s">
        <v>251</v>
      </c>
      <c r="AV129" s="1261"/>
      <c r="AW129" s="1261" t="s">
        <v>259</v>
      </c>
      <c r="AX129" s="1261" t="s">
        <v>256</v>
      </c>
      <c r="AY129" s="1261"/>
      <c r="AZ129" s="1261"/>
      <c r="BA129" s="1261"/>
      <c r="BB129" s="1261"/>
      <c r="BC129" s="1261"/>
      <c r="BD129" s="1261"/>
      <c r="BE129" s="1261"/>
    </row>
    <row customHeight="1" ht="19.89" hidden="1">
      <c r="A130" s="1443"/>
      <c r="B130" s="911">
        <f>HAS_DOC7="да"</f>
        <v>0</v>
      </c>
      <c r="C130" s="1443"/>
      <c r="D130" s="1443"/>
      <c r="E130" s="797">
        <v>20.4</v>
      </c>
      <c r="F130" s="965"/>
      <c r="G130" s="1443"/>
      <c r="H130" s="1443"/>
      <c r="I130" s="1443"/>
      <c r="J130" s="1443"/>
      <c r="K130" s="1443"/>
      <c r="L130" s="1443"/>
      <c r="M130" s="1443"/>
      <c r="N130" s="1443"/>
      <c r="O130" s="1443"/>
      <c r="P130" s="1443"/>
      <c r="Q130" s="1443"/>
      <c r="R130" s="1443"/>
      <c r="S130" s="1259" t="s">
        <v>111</v>
      </c>
      <c r="T130" s="1260" t="s">
        <v>112</v>
      </c>
      <c r="U130" s="1443"/>
      <c r="V130" s="1443"/>
      <c r="W130" s="1443"/>
      <c r="X130" s="1443"/>
      <c r="Y130" s="1443"/>
      <c r="Z130" s="1443"/>
      <c r="AA130" s="820"/>
      <c r="AB130" s="1413"/>
      <c r="AC130" s="1414" t="s">
        <v>262</v>
      </c>
      <c r="AD130" s="1414"/>
      <c r="AE130" s="1608"/>
      <c r="AF130" s="432"/>
      <c r="AG130" s="1535"/>
      <c r="AH130" s="1535"/>
      <c r="AI130" s="1535"/>
      <c r="AJ130" s="1535"/>
      <c r="AK130" s="1535"/>
      <c r="AL130" s="1535"/>
      <c r="AM130" s="1535"/>
      <c r="AN130" s="1535"/>
      <c r="AO130" s="1261"/>
      <c r="AP130" s="1261"/>
      <c r="AQ130" s="1261"/>
      <c r="AR130" s="1261"/>
      <c r="AS130" s="1261"/>
      <c r="AT130" s="1261"/>
      <c r="AU130" s="1261" t="s">
        <v>253</v>
      </c>
      <c r="AV130" s="1261"/>
      <c r="AW130" s="1261" t="s">
        <v>259</v>
      </c>
      <c r="AX130" s="1261" t="s">
        <v>256</v>
      </c>
      <c r="AY130" s="1261"/>
      <c r="AZ130" s="1261"/>
      <c r="BA130" s="1261"/>
      <c r="BB130" s="1261"/>
      <c r="BC130" s="1261"/>
      <c r="BD130" s="1261"/>
      <c r="BE130" s="1261"/>
    </row>
    <row customHeight="1" ht="19.89" hidden="1">
      <c r="A131" s="1443"/>
      <c r="B131" s="911">
        <f>HAS_DOC7="да"</f>
        <v>0</v>
      </c>
      <c r="C131" s="1443"/>
      <c r="D131" s="1443"/>
      <c r="E131" s="797">
        <v>20.4</v>
      </c>
      <c r="F131" s="965"/>
      <c r="G131" s="1443"/>
      <c r="H131" s="1443"/>
      <c r="I131" s="1443"/>
      <c r="J131" s="1443"/>
      <c r="K131" s="1443"/>
      <c r="L131" s="1443"/>
      <c r="M131" s="1443"/>
      <c r="N131" s="1443"/>
      <c r="O131" s="1443"/>
      <c r="P131" s="1443"/>
      <c r="Q131" s="1443"/>
      <c r="R131" s="1443"/>
      <c r="S131" s="1259" t="s">
        <v>111</v>
      </c>
      <c r="T131" s="1260" t="s">
        <v>112</v>
      </c>
      <c r="U131" s="1443"/>
      <c r="V131" s="1443"/>
      <c r="W131" s="819">
        <f>ROW(Y131)&gt;ROW(Y$131)</f>
        <v>0</v>
      </c>
      <c r="X131" s="1443"/>
      <c r="Y131" s="179" t="s">
        <v>234</v>
      </c>
      <c r="Z131" s="1443"/>
      <c r="AA131" s="1415" t="s">
        <v>218</v>
      </c>
      <c r="AB131" s="1413" t="s">
        <v>224</v>
      </c>
      <c r="AC131" s="1414" t="s">
        <v>225</v>
      </c>
      <c r="AD131" s="1414"/>
      <c r="AE131" s="1606"/>
      <c r="AF131" s="432"/>
      <c r="AG131" s="1535"/>
      <c r="AH131" s="1535"/>
      <c r="AI131" s="1535"/>
      <c r="AJ131" s="1535"/>
      <c r="AK131" s="1535"/>
      <c r="AL131" s="1535"/>
      <c r="AM131" s="1535"/>
      <c r="AN131" s="1535"/>
      <c r="AO131" s="1268" cm="1" t="str">
        <f t="array" ref="AO131:AO131">AE131</f>
        <v>0</v>
      </c>
      <c r="AP131" s="1261"/>
      <c r="AQ131" s="1261"/>
      <c r="AR131" s="1261"/>
      <c r="AS131" s="1261"/>
      <c r="AT131" s="1261"/>
      <c r="AU131" s="1261" t="s">
        <v>226</v>
      </c>
      <c r="AV131" s="1261"/>
      <c r="AW131" s="1261" t="s">
        <v>259</v>
      </c>
      <c r="AX131" s="1261" t="s">
        <v>256</v>
      </c>
      <c r="AY131" s="1261"/>
      <c r="AZ131" s="1261"/>
      <c r="BA131" s="1261"/>
      <c r="BB131" s="1261"/>
      <c r="BC131" s="1261"/>
      <c r="BD131" s="1261"/>
      <c r="BE131" s="1261"/>
    </row>
    <row customHeight="1" ht="19.89" hidden="1">
      <c r="A132" s="1443"/>
      <c r="B132" s="911">
        <f>HAS_DOC7="да"</f>
        <v>0</v>
      </c>
      <c r="C132" s="1443"/>
      <c r="D132" s="1443"/>
      <c r="E132" s="797">
        <v>20.4</v>
      </c>
      <c r="F132" s="965"/>
      <c r="G132" s="1443"/>
      <c r="H132" s="1443"/>
      <c r="I132" s="1443"/>
      <c r="J132" s="1443"/>
      <c r="K132" s="1443"/>
      <c r="L132" s="1443"/>
      <c r="M132" s="1443"/>
      <c r="N132" s="1443"/>
      <c r="O132" s="1443"/>
      <c r="P132" s="1443"/>
      <c r="Q132" s="1443"/>
      <c r="R132" s="1443"/>
      <c r="S132" s="1259" t="s">
        <v>111</v>
      </c>
      <c r="T132" s="1260" t="s">
        <v>112</v>
      </c>
      <c r="U132" s="1443"/>
      <c r="V132" s="1443"/>
      <c r="W132" s="819" cm="1" t="str">
        <f t="array" ref="W132:W132">W131</f>
        <v>false</v>
      </c>
      <c r="X132" s="1443"/>
      <c r="Y132" s="1443"/>
      <c r="Z132" s="1443"/>
      <c r="AA132" s="1415"/>
      <c r="AB132" s="1413"/>
      <c r="AC132" s="1414" t="s">
        <v>227</v>
      </c>
      <c r="AD132" s="1414"/>
      <c r="AE132" s="1606"/>
      <c r="AF132" s="432"/>
      <c r="AG132" s="1535"/>
      <c r="AH132" s="1535"/>
      <c r="AI132" s="1535"/>
      <c r="AJ132" s="1535"/>
      <c r="AK132" s="1535"/>
      <c r="AL132" s="1535"/>
      <c r="AM132" s="1535"/>
      <c r="AN132" s="1535"/>
      <c r="AO132" s="1268" cm="1" t="str">
        <f t="array" ref="AO132:AO132">AO131</f>
        <v>0</v>
      </c>
      <c r="AP132" s="1261"/>
      <c r="AQ132" s="1261"/>
      <c r="AR132" s="1261"/>
      <c r="AS132" s="1261"/>
      <c r="AT132" s="1261"/>
      <c r="AU132" s="1261" t="s">
        <v>228</v>
      </c>
      <c r="AV132" s="1261"/>
      <c r="AW132" s="1261" t="s">
        <v>259</v>
      </c>
      <c r="AX132" s="1261" t="s">
        <v>256</v>
      </c>
      <c r="AY132" s="1261"/>
      <c r="AZ132" s="1261"/>
      <c r="BA132" s="1261"/>
      <c r="BB132" s="1261"/>
      <c r="BC132" s="1261"/>
      <c r="BD132" s="1261"/>
      <c r="BE132" s="1261"/>
    </row>
    <row customHeight="1" ht="19.89" hidden="1">
      <c r="A133" s="1443"/>
      <c r="B133" s="911">
        <f>HAS_DOC7="да"</f>
        <v>0</v>
      </c>
      <c r="C133" s="1443"/>
      <c r="D133" s="1443"/>
      <c r="E133" s="797">
        <v>20.4</v>
      </c>
      <c r="F133" s="965"/>
      <c r="G133" s="1443"/>
      <c r="H133" s="1443"/>
      <c r="I133" s="1443"/>
      <c r="J133" s="1443"/>
      <c r="K133" s="1443"/>
      <c r="L133" s="1443"/>
      <c r="M133" s="1443"/>
      <c r="N133" s="1443"/>
      <c r="O133" s="1443"/>
      <c r="P133" s="1443"/>
      <c r="Q133" s="1443"/>
      <c r="R133" s="1443"/>
      <c r="S133" s="1259" t="s">
        <v>111</v>
      </c>
      <c r="T133" s="1260" t="s">
        <v>112</v>
      </c>
      <c r="U133" s="1443"/>
      <c r="V133" s="1443"/>
      <c r="W133" s="819" cm="1" t="str">
        <f t="array" ref="W133:W133">W132</f>
        <v>false</v>
      </c>
      <c r="X133" s="1443"/>
      <c r="Y133" s="1443"/>
      <c r="Z133" s="1443"/>
      <c r="AA133" s="1415"/>
      <c r="AB133" s="1413"/>
      <c r="AC133" s="1414" t="s">
        <v>260</v>
      </c>
      <c r="AD133" s="1414"/>
      <c r="AE133" s="1606"/>
      <c r="AF133" s="432"/>
      <c r="AG133" s="1535"/>
      <c r="AH133" s="1535"/>
      <c r="AI133" s="1535"/>
      <c r="AJ133" s="1535"/>
      <c r="AK133" s="1535"/>
      <c r="AL133" s="1535"/>
      <c r="AM133" s="1535"/>
      <c r="AN133" s="1535"/>
      <c r="AO133" s="1268" cm="1" t="str">
        <f t="array" ref="AO133:AO133">AO132</f>
        <v>0</v>
      </c>
      <c r="AP133" s="1261"/>
      <c r="AQ133" s="1261"/>
      <c r="AR133" s="1261"/>
      <c r="AS133" s="1261"/>
      <c r="AT133" s="1261"/>
      <c r="AU133" s="1261" t="s">
        <v>230</v>
      </c>
      <c r="AV133" s="1261"/>
      <c r="AW133" s="1261" t="s">
        <v>259</v>
      </c>
      <c r="AX133" s="1261" t="s">
        <v>256</v>
      </c>
      <c r="AY133" s="1261"/>
      <c r="AZ133" s="1261"/>
      <c r="BA133" s="1261"/>
      <c r="BB133" s="1261"/>
      <c r="BC133" s="1261"/>
      <c r="BD133" s="1261"/>
      <c r="BE133" s="1261"/>
    </row>
    <row customHeight="1" ht="19.89" hidden="1">
      <c r="A134" s="1443"/>
      <c r="B134" s="911">
        <f>HAS_DOC7="да"</f>
        <v>0</v>
      </c>
      <c r="C134" s="1443"/>
      <c r="D134" s="1443"/>
      <c r="E134" s="797">
        <v>20.4</v>
      </c>
      <c r="F134" s="965"/>
      <c r="G134" s="1443"/>
      <c r="H134" s="1443"/>
      <c r="I134" s="1443"/>
      <c r="J134" s="1443"/>
      <c r="K134" s="1443"/>
      <c r="L134" s="1443"/>
      <c r="M134" s="1443"/>
      <c r="N134" s="1443"/>
      <c r="O134" s="1443"/>
      <c r="P134" s="1443"/>
      <c r="Q134" s="1443"/>
      <c r="R134" s="1443"/>
      <c r="S134" s="1259" t="s">
        <v>111</v>
      </c>
      <c r="T134" s="1260" t="s">
        <v>112</v>
      </c>
      <c r="U134" s="1443"/>
      <c r="V134" s="1443"/>
      <c r="W134" s="819" cm="1" t="str">
        <f t="array" ref="W134:W134">W133</f>
        <v>false</v>
      </c>
      <c r="X134" s="1443"/>
      <c r="Y134" s="1443"/>
      <c r="Z134" s="1443"/>
      <c r="AA134" s="1415"/>
      <c r="AB134" s="1413"/>
      <c r="AC134" s="1414" t="s">
        <v>231</v>
      </c>
      <c r="AD134" s="1414"/>
      <c r="AE134" s="1608"/>
      <c r="AF134" s="432"/>
      <c r="AG134" s="1535"/>
      <c r="AH134" s="1535"/>
      <c r="AI134" s="1535"/>
      <c r="AJ134" s="1535"/>
      <c r="AK134" s="1535"/>
      <c r="AL134" s="1535"/>
      <c r="AM134" s="1535"/>
      <c r="AN134" s="1535"/>
      <c r="AO134" s="1268" cm="1" t="str">
        <f t="array" ref="AO134:AO134">AO133</f>
        <v>0</v>
      </c>
      <c r="AP134" s="1261"/>
      <c r="AQ134" s="1261"/>
      <c r="AR134" s="1261"/>
      <c r="AS134" s="1261"/>
      <c r="AT134" s="1261"/>
      <c r="AU134" s="1261" t="s">
        <v>232</v>
      </c>
      <c r="AV134" s="1261"/>
      <c r="AW134" s="1261" t="s">
        <v>259</v>
      </c>
      <c r="AX134" s="1261" t="s">
        <v>256</v>
      </c>
      <c r="AY134" s="1261"/>
      <c r="AZ134" s="1261"/>
      <c r="BA134" s="1261"/>
      <c r="BB134" s="1261"/>
      <c r="BC134" s="1261"/>
      <c r="BD134" s="1261"/>
      <c r="BE134" s="1261"/>
    </row>
    <row customHeight="1" ht="19.89" hidden="1">
      <c r="A135" s="1443"/>
      <c r="B135" s="911">
        <f>HAS_DOC7="да"</f>
        <v>0</v>
      </c>
      <c r="C135" s="1443"/>
      <c r="D135" s="1443"/>
      <c r="E135" s="797">
        <v>20.4</v>
      </c>
      <c r="F135" s="965"/>
      <c r="G135" s="1443"/>
      <c r="H135" s="1443"/>
      <c r="I135" s="1443"/>
      <c r="J135" s="1443"/>
      <c r="K135" s="1443"/>
      <c r="L135" s="1443"/>
      <c r="M135" s="1443"/>
      <c r="N135" s="1443"/>
      <c r="O135" s="1443"/>
      <c r="P135" s="1443"/>
      <c r="Q135" s="1443"/>
      <c r="R135" s="1443"/>
      <c r="S135" s="1259" t="s">
        <v>111</v>
      </c>
      <c r="T135" s="1260" t="s">
        <v>112</v>
      </c>
      <c r="U135" s="1443"/>
      <c r="V135" s="1443"/>
      <c r="W135" s="819" cm="1" t="str">
        <f t="array" ref="W135:W135">W134</f>
        <v>false</v>
      </c>
      <c r="X135" s="1443"/>
      <c r="Y135" s="1443"/>
      <c r="Z135" s="1443"/>
      <c r="AA135" s="1415"/>
      <c r="AB135" s="1413"/>
      <c r="AC135" s="1414" t="s">
        <v>261</v>
      </c>
      <c r="AD135" s="1414"/>
      <c r="AE135" s="1608"/>
      <c r="AF135" s="432"/>
      <c r="AG135" s="1535"/>
      <c r="AH135" s="1535"/>
      <c r="AI135" s="1535"/>
      <c r="AJ135" s="1535"/>
      <c r="AK135" s="1535"/>
      <c r="AL135" s="1535"/>
      <c r="AM135" s="1535"/>
      <c r="AN135" s="1535"/>
      <c r="AO135" s="1268" cm="1" t="str">
        <f t="array" ref="AO135:AO135">AO134</f>
        <v>0</v>
      </c>
      <c r="AP135" s="1261"/>
      <c r="AQ135" s="1261"/>
      <c r="AR135" s="1261"/>
      <c r="AS135" s="1261"/>
      <c r="AT135" s="1261"/>
      <c r="AU135" s="1261" t="s">
        <v>251</v>
      </c>
      <c r="AV135" s="1261"/>
      <c r="AW135" s="1261" t="s">
        <v>259</v>
      </c>
      <c r="AX135" s="1261" t="s">
        <v>256</v>
      </c>
      <c r="AY135" s="1261"/>
      <c r="AZ135" s="1261"/>
      <c r="BA135" s="1261"/>
      <c r="BB135" s="1261"/>
      <c r="BC135" s="1261"/>
      <c r="BD135" s="1261"/>
      <c r="BE135" s="1261"/>
    </row>
    <row customHeight="1" ht="19.89" hidden="1">
      <c r="A136" s="1443"/>
      <c r="B136" s="911">
        <f>HAS_DOC7="да"</f>
        <v>0</v>
      </c>
      <c r="C136" s="1443"/>
      <c r="D136" s="1443"/>
      <c r="E136" s="797">
        <v>20.4</v>
      </c>
      <c r="F136" s="965"/>
      <c r="G136" s="1443"/>
      <c r="H136" s="1443"/>
      <c r="I136" s="1443"/>
      <c r="J136" s="1443"/>
      <c r="K136" s="1443"/>
      <c r="L136" s="1443"/>
      <c r="M136" s="1443"/>
      <c r="N136" s="1443"/>
      <c r="O136" s="1443"/>
      <c r="P136" s="1443"/>
      <c r="Q136" s="1443"/>
      <c r="R136" s="1443"/>
      <c r="S136" s="1259" t="s">
        <v>111</v>
      </c>
      <c r="T136" s="1260" t="s">
        <v>112</v>
      </c>
      <c r="U136" s="1443"/>
      <c r="V136" s="1443"/>
      <c r="W136" s="819" cm="1" t="str">
        <f t="array" ref="W136:W136">W135</f>
        <v>false</v>
      </c>
      <c r="X136" s="1443"/>
      <c r="Y136" s="1443"/>
      <c r="Z136" s="1443"/>
      <c r="AA136" s="1415"/>
      <c r="AB136" s="1413"/>
      <c r="AC136" s="1414" t="s">
        <v>262</v>
      </c>
      <c r="AD136" s="1414"/>
      <c r="AE136" s="1608"/>
      <c r="AF136" s="432"/>
      <c r="AG136" s="1535"/>
      <c r="AH136" s="1535"/>
      <c r="AI136" s="1535"/>
      <c r="AJ136" s="1535"/>
      <c r="AK136" s="1535"/>
      <c r="AL136" s="1535"/>
      <c r="AM136" s="1535"/>
      <c r="AN136" s="1535"/>
      <c r="AO136" s="1268" cm="1" t="str">
        <f t="array" ref="AO136:AO136">AO135</f>
        <v>0</v>
      </c>
      <c r="AP136" s="1261"/>
      <c r="AQ136" s="1261"/>
      <c r="AR136" s="1261"/>
      <c r="AS136" s="1261"/>
      <c r="AT136" s="1261"/>
      <c r="AU136" s="1261" t="s">
        <v>253</v>
      </c>
      <c r="AV136" s="1261"/>
      <c r="AW136" s="1261" t="s">
        <v>259</v>
      </c>
      <c r="AX136" s="1261" t="s">
        <v>256</v>
      </c>
      <c r="AY136" s="1261"/>
      <c r="AZ136" s="1261"/>
      <c r="BA136" s="1261"/>
      <c r="BB136" s="1261"/>
      <c r="BC136" s="1261"/>
      <c r="BD136" s="1261"/>
      <c r="BE136" s="1261"/>
    </row>
    <row customHeight="1" ht="14.625" hidden="1">
      <c r="A137" s="1443"/>
      <c r="B137" s="911">
        <f>HAS_DOC7="да"</f>
        <v>0</v>
      </c>
      <c r="C137" s="1443"/>
      <c r="D137" s="1443"/>
      <c r="E137" s="797">
        <v>15</v>
      </c>
      <c r="F137" s="214" t="s">
        <v>257</v>
      </c>
      <c r="G137" s="1443"/>
      <c r="H137" s="1443"/>
      <c r="I137" s="1443"/>
      <c r="J137" s="1443"/>
      <c r="K137" s="1443"/>
      <c r="L137" s="1443"/>
      <c r="M137" s="1443"/>
      <c r="N137" s="1443"/>
      <c r="O137" s="1443"/>
      <c r="P137" s="1443"/>
      <c r="Q137" s="1443"/>
      <c r="R137" s="1443"/>
      <c r="S137" s="1265"/>
      <c r="T137" s="1266"/>
      <c r="U137" s="1443"/>
      <c r="V137" s="1443"/>
      <c r="W137" s="1443"/>
      <c r="X137" s="1443"/>
      <c r="Y137" s="374" t="s">
        <v>235</v>
      </c>
      <c r="Z137" s="1443"/>
      <c r="AA137" s="820"/>
      <c r="AB137" s="342"/>
      <c r="AC137" s="341"/>
      <c r="AD137" s="341"/>
      <c r="AE137" s="340" t="s">
        <v>236</v>
      </c>
      <c r="AF137" s="432"/>
      <c r="AG137" s="193"/>
      <c r="AH137" s="1535"/>
      <c r="AI137" s="1535"/>
      <c r="AJ137" s="1535"/>
      <c r="AK137" s="1535"/>
      <c r="AL137" s="1535"/>
      <c r="AM137" s="1535"/>
      <c r="AN137" s="1535"/>
      <c r="AO137" s="1267"/>
      <c r="AP137" s="1267"/>
      <c r="AQ137" s="1267"/>
      <c r="AR137" s="1267"/>
      <c r="AS137" s="1267"/>
      <c r="AT137" s="1267"/>
      <c r="AU137" s="1267"/>
      <c r="AV137" s="1267"/>
      <c r="AW137" s="1267"/>
      <c r="AX137" s="1267"/>
      <c r="AY137" s="1267"/>
      <c r="AZ137" s="1267"/>
      <c r="BA137" s="1267"/>
      <c r="BB137" s="1267"/>
      <c r="BC137" s="1267"/>
      <c r="BD137" s="1267"/>
      <c r="BE137" s="1267"/>
    </row>
    <row customHeight="1" ht="19.89">
      <c r="E138" s="797">
        <v>20.4</v>
      </c>
      <c r="S138" s="1259" t="s">
        <v>111</v>
      </c>
      <c r="T138" s="1260" t="s">
        <v>112</v>
      </c>
      <c r="AB138" s="1414" t="s">
        <v>263</v>
      </c>
      <c r="AC138" s="1414"/>
      <c r="AD138" s="1414"/>
      <c r="AE138" s="423"/>
      <c r="AF138" s="432"/>
      <c r="AG138" s="155" t="s">
        <v>264</v>
      </c>
      <c r="AO138" s="1261"/>
      <c r="AP138" s="1261"/>
      <c r="AQ138" s="1261"/>
      <c r="AR138" s="1261"/>
      <c r="AS138" s="1261"/>
      <c r="AT138" s="1261"/>
      <c r="AU138" s="1261"/>
      <c r="AV138" s="1261"/>
      <c r="AW138" s="1261"/>
      <c r="AX138" s="1261"/>
      <c r="AY138" s="1261"/>
      <c r="AZ138" s="1261"/>
      <c r="BA138" s="1261"/>
      <c r="BB138" s="1261"/>
      <c r="BC138" s="1261"/>
      <c r="BD138" s="1261"/>
      <c r="BE138" s="1261"/>
    </row>
    <row customHeight="1" ht="25.5" hidden="1">
      <c r="E139" s="797">
        <v>0</v>
      </c>
      <c r="AB139" s="1414"/>
      <c r="AC139" s="1414"/>
      <c r="AD139" s="1414"/>
      <c r="AE139" s="475"/>
      <c r="AF139" s="437"/>
      <c r="AG139" s="155" t="s">
        <v>265</v>
      </c>
    </row>
    <row customHeight="1" ht="11.0175">
      <c r="E140" s="797">
        <v>11.3</v>
      </c>
      <c r="AE140" s="214" t="s">
        <v>245</v>
      </c>
      <c r="AF140" s="432"/>
    </row>
    <row customHeight="1" ht="19.89">
      <c r="E141" s="797">
        <v>20.4</v>
      </c>
      <c r="S141" s="1259" t="s">
        <v>111</v>
      </c>
      <c r="T141" s="1260" t="s">
        <v>112</v>
      </c>
      <c r="AB141" s="1414" t="s">
        <v>266</v>
      </c>
      <c r="AC141" s="1414"/>
      <c r="AD141" s="184" t="s">
        <v>267</v>
      </c>
      <c r="AE141" s="423" t="s">
        <v>268</v>
      </c>
      <c r="AF141" s="432"/>
      <c r="AG141" s="155" t="s">
        <v>269</v>
      </c>
      <c r="AO141" s="1261"/>
      <c r="AP141" s="1261"/>
      <c r="AQ141" s="1261"/>
      <c r="AR141" s="1261"/>
      <c r="AS141" s="1261"/>
      <c r="AT141" s="1261"/>
      <c r="AU141" s="1261"/>
      <c r="AV141" s="1261"/>
      <c r="AW141" s="1261"/>
      <c r="AX141" s="1261"/>
      <c r="AY141" s="1261" t="s">
        <v>270</v>
      </c>
      <c r="AZ141" s="1261"/>
      <c r="BA141" s="1261"/>
      <c r="BB141" s="1261"/>
      <c r="BC141" s="1261"/>
      <c r="BD141" s="1261"/>
      <c r="BE141" s="1261"/>
    </row>
    <row customHeight="1" ht="19.89">
      <c r="E142" s="797">
        <v>20.4</v>
      </c>
      <c r="S142" s="1259" t="s">
        <v>111</v>
      </c>
      <c r="T142" s="1260" t="s">
        <v>112</v>
      </c>
      <c r="AB142" s="1414"/>
      <c r="AC142" s="1414"/>
      <c r="AD142" s="185" t="s">
        <v>271</v>
      </c>
      <c r="AE142" s="423" t="s">
        <v>272</v>
      </c>
      <c r="AF142" s="432"/>
      <c r="AG142" s="155" t="s">
        <v>273</v>
      </c>
      <c r="AO142" s="1261"/>
      <c r="AP142" s="1261"/>
      <c r="AQ142" s="1261"/>
      <c r="AR142" s="1261"/>
      <c r="AS142" s="1261"/>
      <c r="AT142" s="1261"/>
      <c r="AU142" s="1261"/>
      <c r="AV142" s="1261"/>
      <c r="AW142" s="1261"/>
      <c r="AX142" s="1261"/>
      <c r="AY142" s="1261" t="s">
        <v>274</v>
      </c>
      <c r="AZ142" s="1261"/>
      <c r="BA142" s="1261"/>
      <c r="BB142" s="1261"/>
      <c r="BC142" s="1261"/>
      <c r="BD142" s="1261"/>
      <c r="BE142" s="1261"/>
    </row>
    <row customHeight="1" ht="19.89">
      <c r="E143" s="797">
        <v>20.4</v>
      </c>
      <c r="S143" s="1259" t="s">
        <v>111</v>
      </c>
      <c r="T143" s="1260" t="s">
        <v>112</v>
      </c>
      <c r="AB143" s="1414"/>
      <c r="AC143" s="1414"/>
      <c r="AD143" s="185" t="s">
        <v>275</v>
      </c>
      <c r="AE143" s="423" t="s">
        <v>276</v>
      </c>
      <c r="AF143" s="432"/>
      <c r="AG143" s="155" t="s">
        <v>277</v>
      </c>
      <c r="AO143" s="1261"/>
      <c r="AP143" s="1261"/>
      <c r="AQ143" s="1261"/>
      <c r="AR143" s="1261"/>
      <c r="AS143" s="1261"/>
      <c r="AT143" s="1261"/>
      <c r="AU143" s="1261"/>
      <c r="AV143" s="1261"/>
      <c r="AW143" s="1261"/>
      <c r="AX143" s="1261"/>
      <c r="AY143" s="1261" t="s">
        <v>278</v>
      </c>
      <c r="AZ143" s="1261"/>
      <c r="BA143" s="1261"/>
      <c r="BB143" s="1261"/>
      <c r="BC143" s="1261"/>
      <c r="BD143" s="1261"/>
      <c r="BE143" s="1261"/>
    </row>
    <row customHeight="1" ht="19.89">
      <c r="E144" s="797">
        <v>20.4</v>
      </c>
      <c r="S144" s="1259" t="s">
        <v>111</v>
      </c>
      <c r="T144" s="1260" t="s">
        <v>112</v>
      </c>
      <c r="AB144" s="1414"/>
      <c r="AC144" s="1414"/>
      <c r="AD144" s="184" t="s">
        <v>279</v>
      </c>
      <c r="AE144" s="423" t="s">
        <v>171</v>
      </c>
      <c r="AF144" s="432"/>
      <c r="AG144" s="155" t="s">
        <v>280</v>
      </c>
      <c r="AO144" s="1261"/>
      <c r="AP144" s="1261"/>
      <c r="AQ144" s="1261"/>
      <c r="AR144" s="1261"/>
      <c r="AS144" s="1261"/>
      <c r="AT144" s="1261"/>
      <c r="AU144" s="1261"/>
      <c r="AV144" s="1261"/>
      <c r="AW144" s="1261"/>
      <c r="AX144" s="1261"/>
      <c r="AY144" s="1261" t="s">
        <v>281</v>
      </c>
      <c r="AZ144" s="1261"/>
      <c r="BA144" s="1261"/>
      <c r="BB144" s="1261"/>
      <c r="BC144" s="1261"/>
      <c r="BD144" s="1261"/>
      <c r="BE144" s="1261"/>
    </row>
    <row customHeight="1" ht="11.0175">
      <c r="E145" s="797">
        <v>11.3</v>
      </c>
      <c r="AB145" s="373"/>
      <c r="AC145" s="373"/>
      <c r="AD145" s="373"/>
      <c r="AE145" s="374"/>
      <c r="AF145" s="432"/>
    </row>
    <row customHeight="1" ht="11.0175">
      <c r="E146" s="797">
        <v>11.3</v>
      </c>
      <c r="AB146" s="1448" t="s">
        <v>282</v>
      </c>
      <c r="AC146" s="1448"/>
      <c r="AD146" s="1448"/>
      <c r="AE146" s="1448"/>
      <c r="AF146" s="432"/>
    </row>
    <row customHeight="1" ht="14.625">
      <c r="E147" s="797">
        <v>15</v>
      </c>
      <c r="AB147" s="1416" t="s">
        <v>283</v>
      </c>
      <c r="AC147" s="1416"/>
      <c r="AD147" s="1416"/>
      <c r="AE147" s="1416"/>
      <c r="AF147" s="462"/>
    </row>
    <row customHeight="1" ht="14.625">
      <c r="E148" s="797">
        <v>15</v>
      </c>
      <c r="AB148" s="1416" t="s">
        <v>284</v>
      </c>
      <c r="AC148" s="1416"/>
      <c r="AD148" s="1416"/>
      <c r="AE148" s="1416"/>
      <c r="AF148" s="462"/>
    </row>
    <row customHeight="1" ht="14.625">
      <c r="E149" s="797">
        <v>15</v>
      </c>
      <c r="AB149" s="1416" t="s">
        <v>285</v>
      </c>
      <c r="AC149" s="1416"/>
      <c r="AD149" s="1416"/>
      <c r="AE149" s="1416"/>
      <c r="AF149" s="462"/>
      <c r="AL149" s="1632"/>
    </row>
    <row customHeight="1" ht="16.867500000000003">
      <c r="E150" s="797">
        <v>17.3</v>
      </c>
      <c r="AB150" s="1458" t="s">
        <v>286</v>
      </c>
      <c r="AC150" s="1458"/>
      <c r="AD150" s="1458"/>
      <c r="AE150" s="1458"/>
      <c r="AF150" s="183"/>
    </row>
    <row customHeight="1" ht="16.867500000000003">
      <c r="E151" s="797">
        <v>17.3</v>
      </c>
      <c r="AB151" s="1454" t="s">
        <v>287</v>
      </c>
      <c r="AC151" s="1454"/>
      <c r="AD151" s="1454"/>
      <c r="AE151" s="1454"/>
      <c r="AF151" s="183"/>
    </row>
    <row customHeight="1" ht="29.25">
      <c r="E152" s="797">
        <v>30</v>
      </c>
      <c r="AB152" s="1454" t="s">
        <v>288</v>
      </c>
      <c r="AC152" s="1454"/>
      <c r="AD152" s="1454"/>
      <c r="AE152" s="1454"/>
      <c r="AF152" s="183"/>
    </row>
    <row customHeight="1" ht="15.405000000000001">
      <c r="E153" s="797">
        <v>15.8</v>
      </c>
      <c r="AB153" s="1454" t="s">
        <v>289</v>
      </c>
      <c r="AC153" s="1454"/>
      <c r="AD153" s="1454"/>
      <c r="AE153" s="1454"/>
      <c r="AF153" s="183"/>
    </row>
    <row customHeight="1" ht="55.57500000000001">
      <c r="E154" s="797">
        <v>57</v>
      </c>
      <c r="AB154" s="1454" t="s">
        <v>290</v>
      </c>
      <c r="AC154" s="1454"/>
      <c r="AD154" s="1454"/>
      <c r="AE154" s="1454"/>
      <c r="AF154" s="183"/>
    </row>
    <row customHeight="1" ht="45.337500000000006">
      <c r="E155" s="797">
        <v>46.5</v>
      </c>
      <c r="AB155" s="1454" t="s">
        <v>291</v>
      </c>
      <c r="AC155" s="1454"/>
      <c r="AD155" s="1454"/>
      <c r="AE155" s="1454"/>
      <c r="AF155" s="183"/>
    </row>
    <row customHeight="1" ht="27.105">
      <c r="E156" s="797">
        <v>27.8</v>
      </c>
      <c r="AB156" s="1454" t="s">
        <v>292</v>
      </c>
      <c r="AC156" s="1454"/>
      <c r="AD156" s="1454"/>
      <c r="AE156" s="1454"/>
      <c r="AF156" s="183"/>
    </row>
    <row customHeight="1" ht="26.325000000000003">
      <c r="E157" s="797">
        <v>27</v>
      </c>
      <c r="AB157" s="1454" t="s">
        <v>293</v>
      </c>
      <c r="AC157" s="1454"/>
      <c r="AD157" s="1454"/>
      <c r="AE157" s="1454"/>
      <c r="AF157" s="183"/>
    </row>
    <row customHeight="1" ht="14.625">
      <c r="E158" s="797">
        <v>15</v>
      </c>
      <c r="AB158" s="1455" t="s">
        <v>294</v>
      </c>
      <c r="AC158" s="1455"/>
      <c r="AD158" s="1455"/>
      <c r="AE158" s="1455"/>
      <c r="AF158" s="183"/>
    </row>
    <row customHeight="1" ht="23.400000000000002">
      <c r="E159" s="797">
        <v>24</v>
      </c>
      <c r="AB159" s="1454" t="s">
        <v>295</v>
      </c>
      <c r="AC159" s="1454"/>
      <c r="AD159" s="1454"/>
      <c r="AE159" s="1454"/>
      <c r="AF159" s="462"/>
    </row>
    <row customHeight="1" ht="17.55">
      <c r="E160" s="797">
        <v>18</v>
      </c>
      <c r="AB160" s="1419" t="s">
        <v>296</v>
      </c>
      <c r="AC160" s="1420"/>
      <c r="AD160" s="1420"/>
      <c r="AE160" s="1421"/>
      <c r="AF160" s="462"/>
    </row>
    <row customHeight="1" ht="16.0875">
      <c r="E161" s="797">
        <v>16.5</v>
      </c>
      <c r="AB161" s="1455" t="s">
        <v>297</v>
      </c>
      <c r="AC161" s="1455"/>
      <c r="AD161" s="1455"/>
      <c r="AE161" s="1455"/>
      <c r="AF161" s="462"/>
    </row>
    <row customHeight="1" ht="40.2675">
      <c r="E162" s="797">
        <v>41.3</v>
      </c>
      <c r="AB162" s="1422"/>
      <c r="AC162" s="1422"/>
      <c r="AD162" s="1422"/>
      <c r="AE162" s="1422"/>
      <c r="AF162" s="462"/>
    </row>
    <row customHeight="1" ht="11.700000000000001">
      <c r="E163" s="797">
        <v>12</v>
      </c>
      <c r="AD163" s="444">
        <f>COUNTIF(AE169:AE202,"Водоснабжение")-COUNTIF(AE169:AE202,"Транспортировка воды")&gt;0</f>
        <v>0</v>
      </c>
      <c r="AE163" s="444">
        <f>COUNTIF(AE169:AE202,"Водоотведение")-COUNTIF(AE169:AE202,"Транспортировка сточных вод")&gt;0</f>
        <v>0</v>
      </c>
      <c r="AF163" s="427">
        <f>COUNTIF(AE169:AE202,"Транспортировка воды")&gt;0</f>
        <v>0</v>
      </c>
      <c r="AG163" s="251">
        <f>COUNTIF(AE169:AE202,"Транспортировка сточных вод")&gt;0</f>
        <v>0</v>
      </c>
    </row>
    <row customHeight="1" ht="19.89">
      <c r="E164" s="797">
        <v>20.4</v>
      </c>
      <c r="AB164" s="1456" t="s">
        <v>298</v>
      </c>
      <c r="AC164" s="1456"/>
      <c r="AD164" s="1456"/>
      <c r="AE164" s="1457"/>
      <c r="AF164" s="435"/>
      <c r="AG164" s="180"/>
      <c r="AH164" s="180"/>
      <c r="AI164" s="180"/>
      <c r="AJ164" s="180"/>
      <c r="AK164" s="180"/>
      <c r="AL164" s="190"/>
    </row>
    <row customHeight="1" ht="23.985000000000003">
      <c r="E165" s="797">
        <v>24.6</v>
      </c>
      <c r="S165" s="1259" t="s">
        <v>186</v>
      </c>
      <c r="T165" s="1260" t="s">
        <v>187</v>
      </c>
      <c r="AB165" s="1427" t="s">
        <v>299</v>
      </c>
      <c r="AC165" s="1427"/>
      <c r="AD165" s="1427"/>
      <c r="AE165" s="831" t="s">
        <v>190</v>
      </c>
      <c r="AF165" s="437"/>
      <c r="AG165" s="180" t="s">
        <v>300</v>
      </c>
      <c r="AH165" s="180"/>
      <c r="AI165" s="180"/>
      <c r="AJ165" s="180"/>
      <c r="AK165" s="180"/>
      <c r="AL165" s="190"/>
      <c r="AO165" s="1261"/>
      <c r="AP165" s="1261"/>
      <c r="AQ165" s="1261"/>
      <c r="AR165" s="1261"/>
      <c r="AS165" s="1261"/>
      <c r="AT165" s="1261"/>
      <c r="AU165" s="1261"/>
      <c r="AV165" s="1261"/>
      <c r="AW165" s="1261"/>
      <c r="AX165" s="1261"/>
      <c r="AY165" s="1261"/>
      <c r="AZ165" s="1261" t="s">
        <v>301</v>
      </c>
      <c r="BA165" s="1261"/>
      <c r="BB165" s="1261"/>
      <c r="BC165" s="1261"/>
      <c r="BD165" s="1261"/>
      <c r="BE165" s="1261"/>
    </row>
    <row customHeight="1" ht="19.89">
      <c r="B166" s="957">
        <f>FIRST_TIME_REG&lt;&gt;"да"</f>
        <v>1</v>
      </c>
      <c r="E166" s="797">
        <v>20.4</v>
      </c>
      <c r="S166" s="1259" t="s">
        <v>111</v>
      </c>
      <c r="T166" s="1260" t="s">
        <v>112</v>
      </c>
      <c r="AB166" s="1423" t="s">
        <v>302</v>
      </c>
      <c r="AC166" s="1424"/>
      <c r="AD166" s="832" t="s">
        <v>227</v>
      </c>
      <c r="AE166" s="460" t="s">
        <v>303</v>
      </c>
      <c r="AF166" s="432"/>
      <c r="AG166" s="180" t="s">
        <v>304</v>
      </c>
      <c r="AH166" s="180"/>
      <c r="AI166" s="180"/>
      <c r="AJ166" s="180"/>
      <c r="AK166" s="180"/>
      <c r="AL166" s="190"/>
      <c r="AO166" s="1261"/>
      <c r="AP166" s="1261"/>
      <c r="AQ166" s="1261"/>
      <c r="AR166" s="1261"/>
      <c r="AS166" s="1261"/>
      <c r="AT166" s="1261"/>
      <c r="AU166" s="1261" t="s">
        <v>228</v>
      </c>
      <c r="AV166" s="1261"/>
      <c r="AW166" s="1261"/>
      <c r="AX166" s="1261"/>
      <c r="AY166" s="1261"/>
      <c r="AZ166" s="1261" t="s">
        <v>301</v>
      </c>
      <c r="BA166" s="1261"/>
      <c r="BB166" s="1261"/>
      <c r="BC166" s="1261"/>
      <c r="BD166" s="1261"/>
      <c r="BE166" s="1261"/>
    </row>
    <row customHeight="1" ht="19.89">
      <c r="B167" s="957">
        <f>FIRST_TIME_REG&lt;&gt;"да"</f>
        <v>1</v>
      </c>
      <c r="E167" s="797">
        <v>20.4</v>
      </c>
      <c r="S167" s="1259" t="s">
        <v>111</v>
      </c>
      <c r="T167" s="1260" t="s">
        <v>112</v>
      </c>
      <c r="AB167" s="1423"/>
      <c r="AC167" s="1424"/>
      <c r="AD167" s="445" t="s">
        <v>260</v>
      </c>
      <c r="AE167" s="423" t="s">
        <v>305</v>
      </c>
      <c r="AF167" s="432"/>
      <c r="AG167" s="155" t="s">
        <v>306</v>
      </c>
      <c r="AO167" s="1261"/>
      <c r="AP167" s="1261"/>
      <c r="AQ167" s="1261"/>
      <c r="AR167" s="1261"/>
      <c r="AS167" s="1261"/>
      <c r="AT167" s="1261"/>
      <c r="AU167" s="1261" t="s">
        <v>230</v>
      </c>
      <c r="AV167" s="1261"/>
      <c r="AW167" s="1261"/>
      <c r="AX167" s="1261"/>
      <c r="AY167" s="1261"/>
      <c r="AZ167" s="1261" t="s">
        <v>301</v>
      </c>
      <c r="BA167" s="1261"/>
      <c r="BB167" s="1261"/>
      <c r="BC167" s="1261"/>
      <c r="BD167" s="1261"/>
      <c r="BE167" s="1261"/>
    </row>
    <row customHeight="1" ht="19.89">
      <c r="B168" s="957">
        <f>FIRST_TIME_REG&lt;&gt;"да"</f>
        <v>1</v>
      </c>
      <c r="E168" s="797">
        <v>20.4</v>
      </c>
      <c r="S168" s="1259" t="s">
        <v>111</v>
      </c>
      <c r="T168" s="1260" t="s">
        <v>112</v>
      </c>
      <c r="AB168" s="1425"/>
      <c r="AC168" s="1426"/>
      <c r="AD168" s="445" t="s">
        <v>231</v>
      </c>
      <c r="AE168" s="907">
        <v>46010</v>
      </c>
      <c r="AF168" s="432"/>
      <c r="AG168" s="155" t="s">
        <v>307</v>
      </c>
      <c r="AO168" s="1261"/>
      <c r="AP168" s="1261"/>
      <c r="AQ168" s="1261"/>
      <c r="AR168" s="1261"/>
      <c r="AS168" s="1261"/>
      <c r="AT168" s="1261"/>
      <c r="AU168" s="1261" t="s">
        <v>232</v>
      </c>
      <c r="AV168" s="1261"/>
      <c r="AW168" s="1261"/>
      <c r="AX168" s="1261"/>
      <c r="AY168" s="1261"/>
      <c r="AZ168" s="1261" t="s">
        <v>301</v>
      </c>
      <c r="BA168" s="1261"/>
      <c r="BB168" s="1261"/>
      <c r="BC168" s="1261"/>
      <c r="BD168" s="1261"/>
      <c r="BE168" s="1261"/>
    </row>
    <row customHeight="1" ht="14.625">
      <c r="E169" s="797">
        <v>15</v>
      </c>
      <c r="S169" s="1259"/>
      <c r="T169" s="1260"/>
      <c r="AB169" s="1417" t="str">
        <f>"Заявление организации"</f>
        <v>Заявление организации</v>
      </c>
      <c r="AC169" s="1418"/>
      <c r="AD169" s="447"/>
      <c r="AE169" s="448"/>
      <c r="AF169" s="427"/>
      <c r="AG169" s="1535" t="s">
        <v>308</v>
      </c>
      <c r="AI169" s="237"/>
      <c r="AO169" s="1261"/>
      <c r="AP169" s="1261"/>
      <c r="AQ169" s="1261"/>
      <c r="AR169" s="1261" t="s">
        <v>309</v>
      </c>
      <c r="AS169" s="1261"/>
      <c r="AT169" s="1261"/>
      <c r="AU169" s="1261"/>
      <c r="AV169" s="1261"/>
      <c r="AW169" s="1261"/>
      <c r="AX169" s="1261"/>
      <c r="AY169" s="1261"/>
      <c r="AZ169" s="1261"/>
      <c r="BA169" s="1261"/>
      <c r="BB169" s="1261"/>
      <c r="BC169" s="1261"/>
      <c r="BD169" s="1261"/>
      <c r="BE169" s="1261"/>
    </row>
    <row customHeight="1" ht="19.89" hidden="1">
      <c r="E170" s="797">
        <v>20.4</v>
      </c>
      <c r="G170" s="922" cm="1" t="str">
        <f t="array" ref="G170:G170">Z170</f>
        <v>0</v>
      </c>
      <c r="S170" s="1259" t="s">
        <v>111</v>
      </c>
      <c r="T170" s="1260" t="s">
        <v>112</v>
      </c>
      <c r="W170" s="819">
        <f>Z170&gt;0</f>
        <v>0</v>
      </c>
      <c r="X170" s="374" t="s">
        <v>310</v>
      </c>
      <c r="Z170" s="159">
        <v>0</v>
      </c>
      <c r="AB170" s="47"/>
      <c r="AC170" s="48"/>
      <c r="AD170" s="453" t="str">
        <f>"Тариф "&amp;Z170</f>
        <v>Тариф 0</v>
      </c>
      <c r="AE170" s="454" t="s">
        <v>311</v>
      </c>
      <c r="AF170" s="1444" t="s">
        <v>218</v>
      </c>
      <c r="AG170" s="155" t="str">
        <f>AD170&amp;" ("&amp;AE170&amp;") - "&amp;AE172&amp;IF(AE178="",""," ("&amp;AE178&amp;")")</f>
        <v>Тариф 0 (Теплоснабжение) - </v>
      </c>
      <c r="AH170" s="155" cm="1" t="str">
        <f t="array" ref="AH170:AH170">AE176</f>
        <v>0</v>
      </c>
      <c r="AI170" s="237" cm="1" t="str">
        <f t="array" ref="AI170:AI170">AE173</f>
        <v>0</v>
      </c>
      <c r="AJ170" s="155" cm="1" t="str">
        <f t="array" ref="AJ170:AJ170">AE178</f>
        <v>0</v>
      </c>
      <c r="AK170" s="155" cm="1" t="str">
        <f t="array" ref="AK170:AK170">AE174</f>
        <v>0</v>
      </c>
      <c r="AL170" s="236" cm="1" t="str">
        <f t="array" ref="AL170:AL170">AE175</f>
        <v>0</v>
      </c>
      <c r="AM170" s="237" cm="1" t="str">
        <f t="array" ref="AM170:AM170">AE172</f>
        <v>0</v>
      </c>
      <c r="AN170" s="155">
        <f>_xlfn.IFERROR(FIND("производство тепловой энергии (мощности) в режиме комбинированной выработки",AL170)&gt;0,FALSE)</f>
        <v>0</v>
      </c>
      <c r="AO170" s="1268" cm="1" t="str">
        <f t="array" ref="AO170:AO170">AE171</f>
        <v>0</v>
      </c>
      <c r="AP170" s="1261"/>
      <c r="AQ170" s="1261"/>
      <c r="AR170" s="1261"/>
      <c r="AS170" s="1261"/>
      <c r="AT170" s="1261"/>
      <c r="AU170" s="1261"/>
      <c r="AV170" s="1261"/>
      <c r="AW170" s="1261"/>
      <c r="AX170" s="1261"/>
      <c r="AY170" s="1261"/>
      <c r="AZ170" s="1261"/>
      <c r="BA170" s="1261"/>
      <c r="BB170" s="1261"/>
      <c r="BC170" s="1261"/>
      <c r="BD170" s="1261" t="s">
        <v>312</v>
      </c>
      <c r="BE170" s="1261"/>
    </row>
    <row customHeight="1" ht="19.89" hidden="1">
      <c r="E171" s="797">
        <v>20.4</v>
      </c>
      <c r="G171" s="922" cm="1" t="str">
        <f t="array" ref="G171:G171">G170</f>
        <v>0</v>
      </c>
      <c r="N171" s="950" cm="1" t="str">
        <f t="array" ref="N171:N171">AE171</f>
        <v>0</v>
      </c>
      <c r="S171" s="1259" t="s">
        <v>111</v>
      </c>
      <c r="T171" s="1260" t="s">
        <v>112</v>
      </c>
      <c r="W171" s="819" cm="1" t="str">
        <f t="array" ref="W171:W171">W170</f>
        <v>false</v>
      </c>
      <c r="AB171" s="47"/>
      <c r="AC171" s="48"/>
      <c r="AD171" s="449" t="s">
        <v>313</v>
      </c>
      <c r="AE171" s="443"/>
      <c r="AF171" s="1444"/>
      <c r="AO171" s="1268" cm="1" t="str">
        <f t="array" ref="AO171:AO171">AO170</f>
        <v>0</v>
      </c>
      <c r="AP171" s="1261"/>
      <c r="AQ171" s="1261"/>
      <c r="AR171" s="1261" t="s">
        <v>309</v>
      </c>
      <c r="AS171" s="1261"/>
      <c r="AT171" s="1261"/>
      <c r="AU171" s="1261"/>
      <c r="AV171" s="1261"/>
      <c r="AW171" s="1261"/>
      <c r="AX171" s="1261"/>
      <c r="AY171" s="1261"/>
      <c r="AZ171" s="1261"/>
      <c r="BA171" s="1261"/>
      <c r="BB171" s="1261"/>
      <c r="BC171" s="1261"/>
      <c r="BD171" s="1261"/>
      <c r="BE171" s="1261"/>
    </row>
    <row customHeight="1" ht="29.25" hidden="1">
      <c r="E172" s="797">
        <v>30</v>
      </c>
      <c r="G172" s="922" cm="1" t="str">
        <f t="array" ref="G172:G172">G171</f>
        <v>0</v>
      </c>
      <c r="S172" s="1259" t="s">
        <v>111</v>
      </c>
      <c r="T172" s="1260" t="s">
        <v>112</v>
      </c>
      <c r="W172" s="819" cm="1" t="str">
        <f t="array" ref="W172:W172">W171</f>
        <v>false</v>
      </c>
      <c r="AB172" s="47"/>
      <c r="AC172" s="48"/>
      <c r="AD172" s="449" t="s">
        <v>314</v>
      </c>
      <c r="AE172" s="49"/>
      <c r="AF172" s="1444"/>
      <c r="AO172" s="1268" cm="1" t="str">
        <f t="array" ref="AO172:AO172">AO171</f>
        <v>0</v>
      </c>
      <c r="AP172" s="1261"/>
      <c r="AQ172" s="1261"/>
      <c r="AR172" s="1261" t="s">
        <v>315</v>
      </c>
      <c r="AS172" s="1261"/>
      <c r="AT172" s="1261"/>
      <c r="AU172" s="1261"/>
      <c r="AV172" s="1261"/>
      <c r="AW172" s="1261"/>
      <c r="AX172" s="1261"/>
      <c r="AY172" s="1261"/>
      <c r="AZ172" s="1261"/>
      <c r="BA172" s="1261"/>
      <c r="BB172" s="1261"/>
      <c r="BC172" s="1261"/>
      <c r="BD172" s="1261"/>
      <c r="BE172" s="1261"/>
    </row>
    <row customHeight="1" ht="19.89" hidden="1">
      <c r="E173" s="797">
        <v>20.4</v>
      </c>
      <c r="G173" s="922" cm="1" t="str">
        <f t="array" ref="G173:G173">G172</f>
        <v>0</v>
      </c>
      <c r="S173" s="1259" t="s">
        <v>111</v>
      </c>
      <c r="T173" s="1260" t="s">
        <v>112</v>
      </c>
      <c r="W173" s="819" cm="1" t="str">
        <f t="array" ref="W173:W173">W172</f>
        <v>false</v>
      </c>
      <c r="AB173" s="47"/>
      <c r="AC173" s="48"/>
      <c r="AD173" s="449" t="s">
        <v>316</v>
      </c>
      <c r="AE173" s="50"/>
      <c r="AF173" s="1444"/>
      <c r="AO173" s="1268" cm="1" t="str">
        <f t="array" ref="AO173:AO173">AO172</f>
        <v>0</v>
      </c>
      <c r="AP173" s="1261"/>
      <c r="AQ173" s="1261"/>
      <c r="AR173" s="1261"/>
      <c r="AS173" s="1261"/>
      <c r="AT173" s="1261"/>
      <c r="AU173" s="1261"/>
      <c r="AV173" s="1261"/>
      <c r="AW173" s="1261"/>
      <c r="AX173" s="1261"/>
      <c r="AY173" s="1261"/>
      <c r="AZ173" s="1261"/>
      <c r="BA173" s="1261" t="s">
        <v>317</v>
      </c>
      <c r="BB173" s="1261"/>
      <c r="BC173" s="1261"/>
      <c r="BD173" s="1261"/>
      <c r="BE173" s="1261"/>
    </row>
    <row customHeight="1" ht="19.89" hidden="1">
      <c r="E174" s="797">
        <v>20.4</v>
      </c>
      <c r="G174" s="922" cm="1" t="str">
        <f t="array" ref="G174:G174">G173</f>
        <v>0</v>
      </c>
      <c r="S174" s="1259" t="s">
        <v>111</v>
      </c>
      <c r="T174" s="1260" t="s">
        <v>112</v>
      </c>
      <c r="W174" s="819" cm="1" t="str">
        <f t="array" ref="W174:W174">W173</f>
        <v>false</v>
      </c>
      <c r="AB174" s="47"/>
      <c r="AC174" s="48"/>
      <c r="AD174" s="449" t="s">
        <v>318</v>
      </c>
      <c r="AE174" s="51"/>
      <c r="AF174" s="1444"/>
      <c r="AO174" s="1268" cm="1" t="str">
        <f t="array" ref="AO174:AO174">AO173</f>
        <v>0</v>
      </c>
      <c r="AP174" s="1261"/>
      <c r="AQ174" s="1261"/>
      <c r="AR174" s="1261"/>
      <c r="AS174" s="1261"/>
      <c r="AT174" s="1261"/>
      <c r="AU174" s="1261"/>
      <c r="AV174" s="1261"/>
      <c r="AW174" s="1261"/>
      <c r="AX174" s="1261"/>
      <c r="AY174" s="1261"/>
      <c r="AZ174" s="1261"/>
      <c r="BA174" s="1261"/>
      <c r="BB174" s="1261" t="s">
        <v>319</v>
      </c>
      <c r="BC174" s="1261"/>
      <c r="BD174" s="1261"/>
      <c r="BE174" s="1261"/>
    </row>
    <row customHeight="1" ht="89.21249999999999" hidden="1">
      <c r="E175" s="797">
        <v>91.5</v>
      </c>
      <c r="G175" s="922" cm="1" t="str">
        <f t="array" ref="G175:G175">G174</f>
        <v>0</v>
      </c>
      <c r="S175" s="1259" t="s">
        <v>111</v>
      </c>
      <c r="T175" s="1260" t="s">
        <v>112</v>
      </c>
      <c r="W175" s="819" cm="1" t="str">
        <f t="array" ref="W175:W175">W174</f>
        <v>false</v>
      </c>
      <c r="AB175" s="47"/>
      <c r="AC175" s="48"/>
      <c r="AD175" s="449" t="s">
        <v>320</v>
      </c>
      <c r="AE175" s="1117"/>
      <c r="AF175" s="1444"/>
      <c r="AO175" s="1268" cm="1" t="str">
        <f t="array" ref="AO175:AO175">AO174</f>
        <v>0</v>
      </c>
      <c r="AP175" s="1261"/>
      <c r="AQ175" s="1261"/>
      <c r="AR175" s="1261"/>
      <c r="AS175" s="1261"/>
      <c r="AT175" s="1261"/>
      <c r="AU175" s="1261"/>
      <c r="AV175" s="1261"/>
      <c r="AW175" s="1261"/>
      <c r="AX175" s="1261"/>
      <c r="AY175" s="1261"/>
      <c r="AZ175" s="1261"/>
      <c r="BA175" s="1261"/>
      <c r="BB175" s="1261"/>
      <c r="BC175" s="1261" t="s">
        <v>321</v>
      </c>
      <c r="BD175" s="1261"/>
      <c r="BE175" s="1261"/>
    </row>
    <row customHeight="1" ht="26.25" hidden="1">
      <c r="E176" s="797">
        <v>0</v>
      </c>
      <c r="G176" s="922" cm="1" t="str">
        <f t="array" ref="G176:G176">G175</f>
        <v>0</v>
      </c>
      <c r="S176" s="1259" t="s">
        <v>111</v>
      </c>
      <c r="T176" s="1260" t="s">
        <v>112</v>
      </c>
      <c r="W176" s="819" t="b">
        <v>0</v>
      </c>
      <c r="AB176" s="47"/>
      <c r="AC176" s="48"/>
      <c r="AD176" s="184" t="s">
        <v>322</v>
      </c>
      <c r="AE176" s="475"/>
      <c r="AF176" s="1444"/>
      <c r="AO176" s="1268" cm="1" t="str">
        <f t="array" ref="AO176:AO176">AO175</f>
        <v>0</v>
      </c>
      <c r="AP176" s="1261"/>
      <c r="AQ176" s="1261"/>
      <c r="AR176" s="1261"/>
      <c r="AS176" s="1261"/>
      <c r="AT176" s="1261"/>
      <c r="AU176" s="1261"/>
      <c r="AV176" s="1261"/>
      <c r="AW176" s="1261"/>
      <c r="AX176" s="1261"/>
      <c r="AY176" s="1261"/>
      <c r="AZ176" s="1261"/>
      <c r="BA176" s="1261"/>
      <c r="BB176" s="1261"/>
      <c r="BC176" s="1261"/>
      <c r="BD176" s="1261"/>
      <c r="BE176" s="1261"/>
    </row>
    <row customHeight="1" ht="25.642500000000002" hidden="1">
      <c r="E177" s="797">
        <v>26.3</v>
      </c>
      <c r="G177" s="922" cm="1" t="str">
        <f t="array" ref="G177:G177">G176</f>
        <v>0</v>
      </c>
      <c r="S177" s="1259" t="s">
        <v>215</v>
      </c>
      <c r="T177" s="1260" t="s">
        <v>216</v>
      </c>
      <c r="W177" s="819" cm="1" t="str">
        <f t="array" ref="W177:W177">W175</f>
        <v>false</v>
      </c>
      <c r="AB177" s="47"/>
      <c r="AC177" s="48"/>
      <c r="AD177" s="184" t="s">
        <v>323</v>
      </c>
      <c r="AE177" s="468"/>
      <c r="AF177" s="1444"/>
      <c r="AO177" s="1268" cm="1" t="str">
        <f t="array" ref="AO177:AO177">AO176</f>
        <v>0</v>
      </c>
      <c r="AP177" s="1261"/>
      <c r="AQ177" s="1261"/>
      <c r="AR177" s="1261"/>
      <c r="AS177" s="1261"/>
      <c r="AT177" s="1261"/>
      <c r="AU177" s="1261"/>
      <c r="AV177" s="1261"/>
      <c r="AW177" s="1261"/>
      <c r="AX177" s="1261"/>
      <c r="AY177" s="1261"/>
      <c r="AZ177" s="1261"/>
      <c r="BA177" s="1261"/>
      <c r="BB177" s="1261"/>
      <c r="BC177" s="1261"/>
      <c r="BD177" s="1261"/>
      <c r="BE177" s="1261"/>
    </row>
    <row customHeight="1" ht="19.89" hidden="1">
      <c r="E178" s="797">
        <v>20.4</v>
      </c>
      <c r="G178" s="922" cm="1" t="str">
        <f t="array" ref="G178:G178">G177</f>
        <v>0</v>
      </c>
      <c r="S178" s="1259" t="s">
        <v>111</v>
      </c>
      <c r="T178" s="1260" t="s">
        <v>112</v>
      </c>
      <c r="W178" s="819" cm="1" t="str">
        <f t="array" ref="W178:W178">W177</f>
        <v>false</v>
      </c>
      <c r="AB178" s="47"/>
      <c r="AC178" s="48"/>
      <c r="AD178" s="184" t="s">
        <v>324</v>
      </c>
      <c r="AE178" s="1117"/>
      <c r="AF178" s="1444"/>
      <c r="AO178" s="1268" cm="1" t="str">
        <f t="array" ref="AO178:AO178">AO177</f>
        <v>0</v>
      </c>
      <c r="AP178" s="1261"/>
      <c r="AQ178" s="1261"/>
      <c r="AR178" s="1261" t="s">
        <v>325</v>
      </c>
      <c r="AS178" s="1261"/>
      <c r="AT178" s="1261"/>
      <c r="AU178" s="1261"/>
      <c r="AV178" s="1261"/>
      <c r="AW178" s="1261"/>
      <c r="AX178" s="1261"/>
      <c r="AY178" s="1261"/>
      <c r="AZ178" s="1261"/>
      <c r="BA178" s="1261"/>
      <c r="BB178" s="1261"/>
      <c r="BC178" s="1261"/>
      <c r="BD178" s="1261"/>
      <c r="BE178" s="1261"/>
    </row>
    <row customHeight="1" ht="19.89" hidden="1">
      <c r="B179" s="957">
        <f>org_declaration="Заявление организации"</f>
        <v>1</v>
      </c>
      <c r="E179" s="797">
        <v>20.4</v>
      </c>
      <c r="G179" s="922" cm="1" t="str">
        <f t="array" ref="G179:G179">G178</f>
        <v>0</v>
      </c>
      <c r="S179" s="1259" t="s">
        <v>111</v>
      </c>
      <c r="T179" s="1260" t="s">
        <v>112</v>
      </c>
      <c r="W179" s="819" cm="1" t="str">
        <f t="array" ref="W179:W179">W178</f>
        <v>false</v>
      </c>
      <c r="AB179" s="47"/>
      <c r="AC179" s="48"/>
      <c r="AD179" s="449" t="s">
        <v>326</v>
      </c>
      <c r="AE179" s="52"/>
      <c r="AF179" s="1444"/>
      <c r="AO179" s="1268" cm="1" t="str">
        <f t="array" ref="AO179:AO179">AO178</f>
        <v>0</v>
      </c>
      <c r="AP179" s="1261"/>
      <c r="AQ179" s="1261"/>
      <c r="AR179" s="1261" t="s">
        <v>327</v>
      </c>
      <c r="AS179" s="1261"/>
      <c r="AT179" s="1261"/>
      <c r="AU179" s="1261"/>
      <c r="AV179" s="1261"/>
      <c r="AW179" s="1261"/>
      <c r="AX179" s="1261"/>
      <c r="AY179" s="1261"/>
      <c r="AZ179" s="1261"/>
      <c r="BA179" s="1261"/>
      <c r="BB179" s="1261"/>
      <c r="BC179" s="1261"/>
      <c r="BD179" s="1261"/>
      <c r="BE179" s="1261"/>
    </row>
    <row customHeight="1" ht="19.89" hidden="1">
      <c r="B180" s="957">
        <f>org_declaration="Заявление организации"</f>
        <v>1</v>
      </c>
      <c r="E180" s="797">
        <v>20.4</v>
      </c>
      <c r="G180" s="922" cm="1" t="str">
        <f t="array" ref="G180:G180">G179</f>
        <v>0</v>
      </c>
      <c r="S180" s="1259" t="s">
        <v>111</v>
      </c>
      <c r="T180" s="1260" t="s">
        <v>112</v>
      </c>
      <c r="W180" s="819" cm="1" t="str">
        <f t="array" ref="W180:W180">W179</f>
        <v>false</v>
      </c>
      <c r="AB180" s="47"/>
      <c r="AC180" s="48"/>
      <c r="AD180" s="449" t="s">
        <v>328</v>
      </c>
      <c r="AE180" s="53"/>
      <c r="AF180" s="1444"/>
      <c r="AO180" s="1268" cm="1" t="str">
        <f t="array" ref="AO180:AO180">AO179</f>
        <v>0</v>
      </c>
      <c r="AP180" s="1261"/>
      <c r="AQ180" s="1261"/>
      <c r="AR180" s="1261" t="s">
        <v>329</v>
      </c>
      <c r="AS180" s="1261"/>
      <c r="AT180" s="1261"/>
      <c r="AU180" s="1261"/>
      <c r="AV180" s="1261"/>
      <c r="AW180" s="1261"/>
      <c r="AX180" s="1261"/>
      <c r="AY180" s="1261"/>
      <c r="AZ180" s="1261"/>
      <c r="BA180" s="1261"/>
      <c r="BB180" s="1261"/>
      <c r="BC180" s="1261"/>
      <c r="BD180" s="1261"/>
      <c r="BE180" s="1261"/>
    </row>
    <row customHeight="1" ht="19.89" hidden="1">
      <c r="B181" s="957">
        <f>org_declaration="Заявление организации"</f>
        <v>1</v>
      </c>
      <c r="E181" s="797">
        <v>20.4</v>
      </c>
      <c r="G181" s="922" cm="1" t="str">
        <f t="array" ref="G181:G181">G180</f>
        <v>0</v>
      </c>
      <c r="S181" s="1259" t="s">
        <v>111</v>
      </c>
      <c r="T181" s="1260" t="s">
        <v>112</v>
      </c>
      <c r="W181" s="819" cm="1" t="str">
        <f t="array" ref="W181:W181">W180</f>
        <v>false</v>
      </c>
      <c r="AB181" s="47"/>
      <c r="AC181" s="48"/>
      <c r="AD181" s="449" t="s">
        <v>330</v>
      </c>
      <c r="AE181" s="52"/>
      <c r="AF181" s="1444"/>
      <c r="AO181" s="1268" cm="1" t="str">
        <f t="array" ref="AO181:AO181">AO180</f>
        <v>0</v>
      </c>
      <c r="AP181" s="1261"/>
      <c r="AQ181" s="1261"/>
      <c r="AR181" s="1261" t="s">
        <v>331</v>
      </c>
      <c r="AS181" s="1261"/>
      <c r="AT181" s="1261"/>
      <c r="AU181" s="1261"/>
      <c r="AV181" s="1261"/>
      <c r="AW181" s="1261"/>
      <c r="AX181" s="1261"/>
      <c r="AY181" s="1261"/>
      <c r="AZ181" s="1261"/>
      <c r="BA181" s="1261"/>
      <c r="BB181" s="1261"/>
      <c r="BC181" s="1261"/>
      <c r="BD181" s="1261"/>
      <c r="BE181" s="1261"/>
    </row>
    <row customHeight="1" ht="19.89" hidden="1">
      <c r="B182" s="957">
        <f>org_declaration="Заявление организации"</f>
        <v>1</v>
      </c>
      <c r="E182" s="797">
        <v>20.4</v>
      </c>
      <c r="G182" s="922" cm="1" t="str">
        <f t="array" ref="G182:G182">G181</f>
        <v>0</v>
      </c>
      <c r="S182" s="1259" t="s">
        <v>111</v>
      </c>
      <c r="T182" s="1260" t="s">
        <v>112</v>
      </c>
      <c r="W182" s="819" cm="1" t="str">
        <f t="array" ref="W182:W182">W181</f>
        <v>false</v>
      </c>
      <c r="AB182" s="47"/>
      <c r="AC182" s="48"/>
      <c r="AD182" s="449" t="s">
        <v>332</v>
      </c>
      <c r="AE182" s="906" t="str">
        <f>IF(AE$24="","",DATE(AE$24,1,1))</f>
        <v>46023</v>
      </c>
      <c r="AF182" s="1444"/>
      <c r="AO182" s="1268" cm="1" t="str">
        <f t="array" ref="AO182:AO182">AO181</f>
        <v>0</v>
      </c>
      <c r="AP182" s="1261"/>
      <c r="AQ182" s="1261"/>
      <c r="AR182" s="1261"/>
      <c r="AS182" s="1261"/>
      <c r="AT182" s="1261"/>
      <c r="AU182" s="1261"/>
      <c r="AV182" s="1261"/>
      <c r="AW182" s="1261"/>
      <c r="AX182" s="1261"/>
      <c r="AY182" s="1261"/>
      <c r="AZ182" s="1261" t="s">
        <v>333</v>
      </c>
      <c r="BA182" s="1261"/>
      <c r="BB182" s="1261"/>
      <c r="BC182" s="1261"/>
      <c r="BD182" s="1261"/>
      <c r="BE182" s="1261"/>
    </row>
    <row customHeight="1" ht="19.89" hidden="1">
      <c r="B183" s="957">
        <f>org_declaration="Заявление организации"</f>
        <v>1</v>
      </c>
      <c r="E183" s="797">
        <v>20.4</v>
      </c>
      <c r="G183" s="922" cm="1" t="str">
        <f t="array" ref="G183:G183">G181</f>
        <v>0</v>
      </c>
      <c r="S183" s="1259" t="s">
        <v>111</v>
      </c>
      <c r="T183" s="1260" t="s">
        <v>112</v>
      </c>
      <c r="W183" s="819" cm="1" t="str">
        <f t="array" ref="W183:W183">W181</f>
        <v>false</v>
      </c>
      <c r="AB183" s="47"/>
      <c r="AC183" s="48"/>
      <c r="AD183" s="449" t="s">
        <v>334</v>
      </c>
      <c r="AE183" s="54" cm="1" t="str">
        <f t="array" ref="AE183:AE183">IF(method_reg="","",method_reg)</f>
        <v>Метод индексации</v>
      </c>
      <c r="AF183" s="1444"/>
      <c r="AO183" s="1268" cm="1" t="str">
        <f t="array" ref="AO183:AO183">AO182</f>
        <v>0</v>
      </c>
      <c r="AP183" s="1261"/>
      <c r="AQ183" s="1261"/>
      <c r="AR183" s="1261" t="s">
        <v>335</v>
      </c>
      <c r="AS183" s="1261"/>
      <c r="AT183" s="1261"/>
      <c r="AU183" s="1261"/>
      <c r="AV183" s="1261"/>
      <c r="AW183" s="1261"/>
      <c r="AX183" s="1261"/>
      <c r="AY183" s="1261"/>
      <c r="AZ183" s="1261"/>
      <c r="BA183" s="1261"/>
      <c r="BB183" s="1261"/>
      <c r="BC183" s="1261"/>
      <c r="BD183" s="1261"/>
      <c r="BE183" s="1261"/>
    </row>
    <row customHeight="1" ht="22.23" hidden="1">
      <c r="B184" s="957">
        <f>AND(org_declaration="Заявление организации",AE183&lt;&gt;"Метод экономически обоснованных расходов")</f>
        <v>1</v>
      </c>
      <c r="E184" s="797">
        <v>22.8</v>
      </c>
      <c r="G184" s="922" cm="1" t="str">
        <f t="array" ref="G184:G184">G183</f>
        <v>0</v>
      </c>
      <c r="S184" s="1259" t="s">
        <v>119</v>
      </c>
      <c r="T184" s="1260" t="s">
        <v>120</v>
      </c>
      <c r="W184" s="819" cm="1" t="str">
        <f t="array" ref="W184:W184">W183</f>
        <v>false</v>
      </c>
      <c r="AB184" s="47"/>
      <c r="AC184" s="48"/>
      <c r="AD184" s="18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2016</v>
      </c>
      <c r="AF184" s="1444"/>
      <c r="AO184" s="1268" cm="1" t="str">
        <f t="array" ref="AO184:AO184">AO183</f>
        <v>0</v>
      </c>
      <c r="AP184" s="1261"/>
      <c r="AQ184" s="1261"/>
      <c r="AR184" s="1261" t="s">
        <v>335</v>
      </c>
      <c r="AS184" s="1261" t="s">
        <v>124</v>
      </c>
      <c r="AT184" s="1261"/>
      <c r="AU184" s="1261"/>
      <c r="AV184" s="1261"/>
      <c r="AW184" s="1261"/>
      <c r="AX184" s="1261"/>
      <c r="AY184" s="1261"/>
      <c r="AZ184" s="1261"/>
      <c r="BA184" s="1261"/>
      <c r="BB184" s="1261"/>
      <c r="BC184" s="1261"/>
      <c r="BD184" s="1261"/>
      <c r="BE184" s="1261"/>
    </row>
    <row customHeight="1" ht="19.89" hidden="1">
      <c r="B185" s="957">
        <f>AND(org_declaration="Заявление организации",AE183&lt;&gt;"Метод экономически обоснованных расходов")</f>
        <v>1</v>
      </c>
      <c r="E185" s="797">
        <v>20.4</v>
      </c>
      <c r="G185" s="922" cm="1" t="str">
        <f t="array" ref="G185:G185">G184</f>
        <v>0</v>
      </c>
      <c r="S185" s="1259" t="s">
        <v>125</v>
      </c>
      <c r="T185" s="1260" t="s">
        <v>126</v>
      </c>
      <c r="W185" s="819" cm="1" t="str">
        <f t="array" ref="W185:W185">W184</f>
        <v>false</v>
      </c>
      <c r="AB185" s="47"/>
      <c r="AC185" s="48"/>
      <c r="AD185" s="449" t="s">
        <v>127</v>
      </c>
      <c r="AE185" s="55" cm="1" t="str">
        <f t="array" ref="AE185:AE185">IF(PERIOD_LENGTH="","",PERIOD_LENGTH)</f>
        <v>10</v>
      </c>
      <c r="AF185" s="1444"/>
      <c r="AO185" s="1268" cm="1" t="str">
        <f t="array" ref="AO185:AO185">AO184</f>
        <v>0</v>
      </c>
      <c r="AP185" s="1261"/>
      <c r="AQ185" s="1261"/>
      <c r="AR185" s="1261" t="s">
        <v>335</v>
      </c>
      <c r="AS185" s="1261" t="s">
        <v>128</v>
      </c>
      <c r="AT185" s="1261"/>
      <c r="AU185" s="1261"/>
      <c r="AV185" s="1261"/>
      <c r="AW185" s="1261"/>
      <c r="AX185" s="1261"/>
      <c r="AY185" s="1261"/>
      <c r="AZ185" s="1261"/>
      <c r="BA185" s="1261"/>
      <c r="BB185" s="1261"/>
      <c r="BC185" s="1261"/>
      <c r="BD185" s="1261"/>
      <c r="BE185" s="1261"/>
    </row>
    <row s="1632" customFormat="1" customHeight="1" ht="19.5">
      <c r="A186" s="1443"/>
      <c r="B186" s="927"/>
      <c r="C186" s="1443"/>
      <c r="D186" s="1443"/>
      <c r="E186" s="797">
        <v>20.4</v>
      </c>
      <c r="F186" s="965"/>
      <c r="G186" s="922" cm="1" t="str">
        <f t="array" ref="G186:G186">Z186</f>
        <v>1</v>
      </c>
      <c r="H186" s="1443"/>
      <c r="I186" s="1443"/>
      <c r="J186" s="1443"/>
      <c r="K186" s="1443"/>
      <c r="L186" s="1443"/>
      <c r="M186" s="1443"/>
      <c r="N186" s="1443"/>
      <c r="O186" s="1443"/>
      <c r="P186" s="1443"/>
      <c r="Q186" s="1443"/>
      <c r="R186" s="1443"/>
      <c r="S186" s="1259" t="s">
        <v>111</v>
      </c>
      <c r="T186" s="1260" t="s">
        <v>112</v>
      </c>
      <c r="U186" s="1443"/>
      <c r="V186" s="1443"/>
      <c r="W186" s="819">
        <f>Z186&gt;0</f>
        <v>1</v>
      </c>
      <c r="X186" s="374"/>
      <c r="Y186" s="1443"/>
      <c r="Z186" s="159" t="s">
        <v>336</v>
      </c>
      <c r="AA186" s="820"/>
      <c r="AB186" s="1633"/>
      <c r="AC186" s="1634"/>
      <c r="AD186" s="453" t="str">
        <f>"Тариф "&amp;Z186</f>
        <v>Тариф 1</v>
      </c>
      <c r="AE186" s="454" t="s">
        <v>311</v>
      </c>
      <c r="AF186" s="1444" t="s">
        <v>218</v>
      </c>
      <c r="AG186" s="155" t="str">
        <f>AD186&amp;" ("&amp;AE186&amp;") - "&amp;AE188&amp;IF(AE194="",""," ("&amp;AE194&amp;")")</f>
        <v>Тариф 1 (Теплоснабжение) - Тариф на тепловую энергию (мощность), поставляемую потребителям (Не определено)</v>
      </c>
      <c r="AH186" s="155" cm="1" t="str">
        <f t="array" ref="AH186:AH186">AE192</f>
        <v>0</v>
      </c>
      <c r="AI186" s="237" cm="1" t="str">
        <f t="array" ref="AI186:AI186">AE189</f>
        <v>вода</v>
      </c>
      <c r="AJ186" s="155" cm="1" t="str">
        <f t="array" ref="AJ186:AJ186">AE194</f>
        <v>Не определено</v>
      </c>
      <c r="AK186" s="155" cm="1" t="str">
        <f t="array" ref="AK186:AK186">AE190</f>
        <v>одноставочный</v>
      </c>
      <c r="AL186" s="236"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7" cm="1" t="str">
        <f t="array" ref="AM186:AM186">AE188</f>
        <v>Тариф на тепловую энергию (мощность), поставляемую потребителям</v>
      </c>
      <c r="AN186" s="155">
        <f>_xlfn.IFERROR(FIND("производство тепловой энергии (мощности) в режиме комбинированной выработки",AL186)&gt;0,FALSE)</f>
        <v>0</v>
      </c>
      <c r="AO186" s="1268" cm="1" t="str">
        <f t="array" ref="AO186:AO186">AE187</f>
        <v>ТЭ.42.28873685.0002</v>
      </c>
      <c r="AP186" s="1261"/>
      <c r="AQ186" s="1261"/>
      <c r="AR186" s="1261"/>
      <c r="AS186" s="1261"/>
      <c r="AT186" s="1261"/>
      <c r="AU186" s="1261"/>
      <c r="AV186" s="1261"/>
      <c r="AW186" s="1261"/>
      <c r="AX186" s="1261"/>
      <c r="AY186" s="1261"/>
      <c r="AZ186" s="1261"/>
      <c r="BA186" s="1261"/>
      <c r="BB186" s="1261"/>
      <c r="BC186" s="1261"/>
      <c r="BD186" s="1261" t="s">
        <v>312</v>
      </c>
      <c r="BE186" s="1261"/>
    </row>
    <row s="1632" customFormat="1" customHeight="1" ht="19.5">
      <c r="A187" s="1443"/>
      <c r="B187" s="927"/>
      <c r="C187" s="1443"/>
      <c r="D187" s="1443"/>
      <c r="E187" s="797">
        <v>20.4</v>
      </c>
      <c r="F187" s="965"/>
      <c r="G187" s="922" cm="1" t="str">
        <f t="array" ref="G187:G187">G186</f>
        <v>1</v>
      </c>
      <c r="H187" s="1443"/>
      <c r="I187" s="1443"/>
      <c r="J187" s="1443"/>
      <c r="K187" s="1443"/>
      <c r="L187" s="1443"/>
      <c r="M187" s="1443"/>
      <c r="N187" s="950" cm="1" t="str">
        <f t="array" ref="N187:N187">AE187</f>
        <v>ТЭ.42.28873685.0002</v>
      </c>
      <c r="O187" s="1443"/>
      <c r="P187" s="1443"/>
      <c r="Q187" s="1443"/>
      <c r="R187" s="1443"/>
      <c r="S187" s="1259" t="s">
        <v>111</v>
      </c>
      <c r="T187" s="1260" t="s">
        <v>112</v>
      </c>
      <c r="U187" s="1443"/>
      <c r="V187" s="1443"/>
      <c r="W187" s="819" cm="1" t="str">
        <f t="array" ref="W187:W187">W186</f>
        <v>true</v>
      </c>
      <c r="X187" s="1443"/>
      <c r="Y187" s="1443"/>
      <c r="Z187" s="1443"/>
      <c r="AA187" s="820"/>
      <c r="AB187" s="1633"/>
      <c r="AC187" s="1634"/>
      <c r="AD187" s="449" t="s">
        <v>313</v>
      </c>
      <c r="AE187" s="443" t="s">
        <v>308</v>
      </c>
      <c r="AF187" s="1444"/>
      <c r="AG187" s="1535"/>
      <c r="AH187" s="1535"/>
      <c r="AI187" s="1535"/>
      <c r="AJ187" s="1535"/>
      <c r="AK187" s="1535"/>
      <c r="AL187" s="1535"/>
      <c r="AM187" s="1535"/>
      <c r="AN187" s="1535"/>
      <c r="AO187" s="1268" cm="1" t="str">
        <f t="array" ref="AO187:AO187">AO186</f>
        <v>ТЭ.42.28873685.0002</v>
      </c>
      <c r="AP187" s="1261"/>
      <c r="AQ187" s="1261"/>
      <c r="AR187" s="1261" t="s">
        <v>309</v>
      </c>
      <c r="AS187" s="1261"/>
      <c r="AT187" s="1261"/>
      <c r="AU187" s="1261"/>
      <c r="AV187" s="1261"/>
      <c r="AW187" s="1261"/>
      <c r="AX187" s="1261"/>
      <c r="AY187" s="1261"/>
      <c r="AZ187" s="1261"/>
      <c r="BA187" s="1261"/>
      <c r="BB187" s="1261"/>
      <c r="BC187" s="1261"/>
      <c r="BD187" s="1261"/>
      <c r="BE187" s="1261"/>
    </row>
    <row s="1632" customFormat="1" customHeight="1" ht="29.25">
      <c r="A188" s="1443"/>
      <c r="B188" s="927"/>
      <c r="C188" s="1443"/>
      <c r="D188" s="1443"/>
      <c r="E188" s="797">
        <v>30</v>
      </c>
      <c r="F188" s="965"/>
      <c r="G188" s="922" cm="1" t="str">
        <f t="array" ref="G188:G188">G187</f>
        <v>1</v>
      </c>
      <c r="H188" s="1443"/>
      <c r="I188" s="1443"/>
      <c r="J188" s="1443"/>
      <c r="K188" s="1443"/>
      <c r="L188" s="1443"/>
      <c r="M188" s="1443"/>
      <c r="N188" s="1443"/>
      <c r="O188" s="1443"/>
      <c r="P188" s="1443"/>
      <c r="Q188" s="1443"/>
      <c r="R188" s="1443"/>
      <c r="S188" s="1259" t="s">
        <v>111</v>
      </c>
      <c r="T188" s="1260" t="s">
        <v>112</v>
      </c>
      <c r="U188" s="1443"/>
      <c r="V188" s="1443"/>
      <c r="W188" s="819" cm="1" t="str">
        <f t="array" ref="W188:W188">W187</f>
        <v>true</v>
      </c>
      <c r="X188" s="1443"/>
      <c r="Y188" s="1443"/>
      <c r="Z188" s="1443"/>
      <c r="AA188" s="820"/>
      <c r="AB188" s="1633"/>
      <c r="AC188" s="1634"/>
      <c r="AD188" s="449" t="s">
        <v>314</v>
      </c>
      <c r="AE188" s="1635" t="s">
        <v>337</v>
      </c>
      <c r="AF188" s="1444"/>
      <c r="AG188" s="1535"/>
      <c r="AH188" s="1535"/>
      <c r="AI188" s="1535"/>
      <c r="AJ188" s="1535"/>
      <c r="AK188" s="1535"/>
      <c r="AL188" s="1535"/>
      <c r="AM188" s="1535"/>
      <c r="AN188" s="1535"/>
      <c r="AO188" s="1268" cm="1" t="str">
        <f t="array" ref="AO188:AO188">AO187</f>
        <v>ТЭ.42.28873685.0002</v>
      </c>
      <c r="AP188" s="1261"/>
      <c r="AQ188" s="1261"/>
      <c r="AR188" s="1261" t="s">
        <v>315</v>
      </c>
      <c r="AS188" s="1261"/>
      <c r="AT188" s="1261"/>
      <c r="AU188" s="1261"/>
      <c r="AV188" s="1261"/>
      <c r="AW188" s="1261"/>
      <c r="AX188" s="1261"/>
      <c r="AY188" s="1261"/>
      <c r="AZ188" s="1261"/>
      <c r="BA188" s="1261"/>
      <c r="BB188" s="1261"/>
      <c r="BC188" s="1261"/>
      <c r="BD188" s="1261"/>
      <c r="BE188" s="1261"/>
    </row>
    <row s="1632" customFormat="1" customHeight="1" ht="19.5">
      <c r="A189" s="1443"/>
      <c r="B189" s="927"/>
      <c r="C189" s="1443"/>
      <c r="D189" s="1443"/>
      <c r="E189" s="797">
        <v>20.4</v>
      </c>
      <c r="F189" s="965"/>
      <c r="G189" s="922" cm="1" t="str">
        <f t="array" ref="G189:G189">G188</f>
        <v>1</v>
      </c>
      <c r="H189" s="1443"/>
      <c r="I189" s="1443"/>
      <c r="J189" s="1443"/>
      <c r="K189" s="1443"/>
      <c r="L189" s="1443"/>
      <c r="M189" s="1443"/>
      <c r="N189" s="1443"/>
      <c r="O189" s="1443"/>
      <c r="P189" s="1443"/>
      <c r="Q189" s="1443"/>
      <c r="R189" s="1443"/>
      <c r="S189" s="1259" t="s">
        <v>111</v>
      </c>
      <c r="T189" s="1260" t="s">
        <v>112</v>
      </c>
      <c r="U189" s="1443"/>
      <c r="V189" s="1443"/>
      <c r="W189" s="819" cm="1" t="str">
        <f t="array" ref="W189:W189">W188</f>
        <v>true</v>
      </c>
      <c r="X189" s="1443"/>
      <c r="Y189" s="1443"/>
      <c r="Z189" s="1443"/>
      <c r="AA189" s="820"/>
      <c r="AB189" s="1633"/>
      <c r="AC189" s="1634"/>
      <c r="AD189" s="449" t="s">
        <v>316</v>
      </c>
      <c r="AE189" s="1636" t="s">
        <v>338</v>
      </c>
      <c r="AF189" s="1444"/>
      <c r="AG189" s="1535"/>
      <c r="AH189" s="1535"/>
      <c r="AI189" s="1535"/>
      <c r="AJ189" s="1535"/>
      <c r="AK189" s="1535"/>
      <c r="AL189" s="1535"/>
      <c r="AM189" s="1535"/>
      <c r="AN189" s="1535"/>
      <c r="AO189" s="1268" cm="1" t="str">
        <f t="array" ref="AO189:AO189">AO188</f>
        <v>ТЭ.42.28873685.0002</v>
      </c>
      <c r="AP189" s="1261"/>
      <c r="AQ189" s="1261"/>
      <c r="AR189" s="1261"/>
      <c r="AS189" s="1261"/>
      <c r="AT189" s="1261"/>
      <c r="AU189" s="1261"/>
      <c r="AV189" s="1261"/>
      <c r="AW189" s="1261"/>
      <c r="AX189" s="1261"/>
      <c r="AY189" s="1261"/>
      <c r="AZ189" s="1261"/>
      <c r="BA189" s="1261" t="s">
        <v>317</v>
      </c>
      <c r="BB189" s="1261"/>
      <c r="BC189" s="1261"/>
      <c r="BD189" s="1261"/>
      <c r="BE189" s="1261"/>
    </row>
    <row s="1632" customFormat="1" customHeight="1" ht="19.5">
      <c r="A190" s="1443"/>
      <c r="B190" s="927"/>
      <c r="C190" s="1443"/>
      <c r="D190" s="1443"/>
      <c r="E190" s="797">
        <v>20.4</v>
      </c>
      <c r="F190" s="965"/>
      <c r="G190" s="922" cm="1" t="str">
        <f t="array" ref="G190:G190">G189</f>
        <v>1</v>
      </c>
      <c r="H190" s="1443"/>
      <c r="I190" s="1443"/>
      <c r="J190" s="1443"/>
      <c r="K190" s="1443"/>
      <c r="L190" s="1443"/>
      <c r="M190" s="1443"/>
      <c r="N190" s="1443"/>
      <c r="O190" s="1443"/>
      <c r="P190" s="1443"/>
      <c r="Q190" s="1443"/>
      <c r="R190" s="1443"/>
      <c r="S190" s="1259" t="s">
        <v>111</v>
      </c>
      <c r="T190" s="1260" t="s">
        <v>112</v>
      </c>
      <c r="U190" s="1443"/>
      <c r="V190" s="1443"/>
      <c r="W190" s="819" cm="1" t="str">
        <f t="array" ref="W190:W190">W189</f>
        <v>true</v>
      </c>
      <c r="X190" s="1443"/>
      <c r="Y190" s="1443"/>
      <c r="Z190" s="1443"/>
      <c r="AA190" s="820"/>
      <c r="AB190" s="1633"/>
      <c r="AC190" s="1634"/>
      <c r="AD190" s="449" t="s">
        <v>318</v>
      </c>
      <c r="AE190" s="1637" t="s">
        <v>339</v>
      </c>
      <c r="AF190" s="1444"/>
      <c r="AG190" s="1535"/>
      <c r="AH190" s="1535"/>
      <c r="AI190" s="1535"/>
      <c r="AJ190" s="1535"/>
      <c r="AK190" s="1535"/>
      <c r="AL190" s="1535"/>
      <c r="AM190" s="1535"/>
      <c r="AN190" s="1535"/>
      <c r="AO190" s="1268" cm="1" t="str">
        <f t="array" ref="AO190:AO190">AO189</f>
        <v>ТЭ.42.28873685.0002</v>
      </c>
      <c r="AP190" s="1261"/>
      <c r="AQ190" s="1261"/>
      <c r="AR190" s="1261"/>
      <c r="AS190" s="1261"/>
      <c r="AT190" s="1261"/>
      <c r="AU190" s="1261"/>
      <c r="AV190" s="1261"/>
      <c r="AW190" s="1261"/>
      <c r="AX190" s="1261"/>
      <c r="AY190" s="1261"/>
      <c r="AZ190" s="1261"/>
      <c r="BA190" s="1261"/>
      <c r="BB190" s="1261" t="s">
        <v>319</v>
      </c>
      <c r="BC190" s="1261"/>
      <c r="BD190" s="1261"/>
      <c r="BE190" s="1261"/>
    </row>
    <row s="1632" customFormat="1" customHeight="1" ht="88.5">
      <c r="A191" s="1443"/>
      <c r="B191" s="927"/>
      <c r="C191" s="1443"/>
      <c r="D191" s="1443"/>
      <c r="E191" s="797">
        <v>91.5</v>
      </c>
      <c r="F191" s="965"/>
      <c r="G191" s="922" cm="1" t="str">
        <f t="array" ref="G191:G191">G190</f>
        <v>1</v>
      </c>
      <c r="H191" s="1443"/>
      <c r="I191" s="1443"/>
      <c r="J191" s="1443"/>
      <c r="K191" s="1443"/>
      <c r="L191" s="1443"/>
      <c r="M191" s="1443"/>
      <c r="N191" s="1443"/>
      <c r="O191" s="1443"/>
      <c r="P191" s="1443"/>
      <c r="Q191" s="1443"/>
      <c r="R191" s="1443"/>
      <c r="S191" s="1259" t="s">
        <v>111</v>
      </c>
      <c r="T191" s="1260" t="s">
        <v>112</v>
      </c>
      <c r="U191" s="1443"/>
      <c r="V191" s="1443"/>
      <c r="W191" s="819" cm="1" t="str">
        <f t="array" ref="W191:W191">W190</f>
        <v>true</v>
      </c>
      <c r="X191" s="1443"/>
      <c r="Y191" s="1443"/>
      <c r="Z191" s="1443"/>
      <c r="AA191" s="820"/>
      <c r="AB191" s="1633"/>
      <c r="AC191" s="1634"/>
      <c r="AD191" s="449" t="s">
        <v>320</v>
      </c>
      <c r="AE191" s="1117" t="s">
        <v>340</v>
      </c>
      <c r="AF191" s="1444"/>
      <c r="AG191" s="1535"/>
      <c r="AH191" s="1535"/>
      <c r="AI191" s="1535"/>
      <c r="AJ191" s="1535"/>
      <c r="AK191" s="1535"/>
      <c r="AL191" s="1535"/>
      <c r="AM191" s="1535"/>
      <c r="AN191" s="1535"/>
      <c r="AO191" s="1268" cm="1" t="str">
        <f t="array" ref="AO191:AO191">AO190</f>
        <v>ТЭ.42.28873685.0002</v>
      </c>
      <c r="AP191" s="1261"/>
      <c r="AQ191" s="1261"/>
      <c r="AR191" s="1261"/>
      <c r="AS191" s="1261"/>
      <c r="AT191" s="1261"/>
      <c r="AU191" s="1261"/>
      <c r="AV191" s="1261"/>
      <c r="AW191" s="1261"/>
      <c r="AX191" s="1261"/>
      <c r="AY191" s="1261"/>
      <c r="AZ191" s="1261"/>
      <c r="BA191" s="1261"/>
      <c r="BB191" s="1261"/>
      <c r="BC191" s="1261" t="s">
        <v>321</v>
      </c>
      <c r="BD191" s="1261"/>
      <c r="BE191" s="1261"/>
    </row>
    <row s="1632" customFormat="1" customHeight="1" ht="26.25" hidden="1">
      <c r="A192" s="1443"/>
      <c r="B192" s="927"/>
      <c r="C192" s="1443"/>
      <c r="D192" s="1443"/>
      <c r="E192" s="797">
        <v>0</v>
      </c>
      <c r="F192" s="965"/>
      <c r="G192" s="922" cm="1" t="str">
        <f t="array" ref="G192:G192">G191</f>
        <v>1</v>
      </c>
      <c r="H192" s="1443"/>
      <c r="I192" s="1443"/>
      <c r="J192" s="1443"/>
      <c r="K192" s="1443"/>
      <c r="L192" s="1443"/>
      <c r="M192" s="1443"/>
      <c r="N192" s="1443"/>
      <c r="O192" s="1443"/>
      <c r="P192" s="1443"/>
      <c r="Q192" s="1443"/>
      <c r="R192" s="1443"/>
      <c r="S192" s="1259" t="s">
        <v>111</v>
      </c>
      <c r="T192" s="1260" t="s">
        <v>112</v>
      </c>
      <c r="U192" s="1443"/>
      <c r="V192" s="1443"/>
      <c r="W192" s="819" t="b">
        <v>0</v>
      </c>
      <c r="X192" s="1443"/>
      <c r="Y192" s="1443"/>
      <c r="Z192" s="1443"/>
      <c r="AA192" s="820"/>
      <c r="AB192" s="47"/>
      <c r="AC192" s="48"/>
      <c r="AD192" s="184" t="s">
        <v>322</v>
      </c>
      <c r="AE192" s="475"/>
      <c r="AF192" s="1444"/>
      <c r="AG192" s="1535"/>
      <c r="AH192" s="1535"/>
      <c r="AI192" s="1535"/>
      <c r="AJ192" s="1535"/>
      <c r="AK192" s="1535"/>
      <c r="AL192" s="1535"/>
      <c r="AM192" s="1535"/>
      <c r="AN192" s="1535"/>
      <c r="AO192" s="1268" cm="1" t="str">
        <f t="array" ref="AO192:AO192">AO191</f>
        <v>ТЭ.42.28873685.0002</v>
      </c>
      <c r="AP192" s="1261"/>
      <c r="AQ192" s="1261"/>
      <c r="AR192" s="1261"/>
      <c r="AS192" s="1261"/>
      <c r="AT192" s="1261"/>
      <c r="AU192" s="1261"/>
      <c r="AV192" s="1261"/>
      <c r="AW192" s="1261"/>
      <c r="AX192" s="1261"/>
      <c r="AY192" s="1261"/>
      <c r="AZ192" s="1261"/>
      <c r="BA192" s="1261"/>
      <c r="BB192" s="1261"/>
      <c r="BC192" s="1261"/>
      <c r="BD192" s="1261"/>
      <c r="BE192" s="1261"/>
    </row>
    <row s="1632" customFormat="1" customHeight="1" ht="25.5">
      <c r="A193" s="1443"/>
      <c r="B193" s="927"/>
      <c r="C193" s="1443"/>
      <c r="D193" s="1443"/>
      <c r="E193" s="797">
        <v>26.3</v>
      </c>
      <c r="F193" s="965"/>
      <c r="G193" s="922" cm="1" t="str">
        <f t="array" ref="G193:G193">G192</f>
        <v>1</v>
      </c>
      <c r="H193" s="1443"/>
      <c r="I193" s="1443"/>
      <c r="J193" s="1443"/>
      <c r="K193" s="1443"/>
      <c r="L193" s="1443"/>
      <c r="M193" s="1443"/>
      <c r="N193" s="1443"/>
      <c r="O193" s="1443"/>
      <c r="P193" s="1443"/>
      <c r="Q193" s="1443"/>
      <c r="R193" s="1443"/>
      <c r="S193" s="1259" t="s">
        <v>215</v>
      </c>
      <c r="T193" s="1260" t="s">
        <v>216</v>
      </c>
      <c r="U193" s="1443"/>
      <c r="V193" s="1443"/>
      <c r="W193" s="819" cm="1" t="str">
        <f t="array" ref="W193:W193">W191</f>
        <v>true</v>
      </c>
      <c r="X193" s="1443"/>
      <c r="Y193" s="1443"/>
      <c r="Z193" s="1443"/>
      <c r="AA193" s="820"/>
      <c r="AB193" s="1633"/>
      <c r="AC193" s="1634"/>
      <c r="AD193" s="184" t="s">
        <v>323</v>
      </c>
      <c r="AE193" s="1626"/>
      <c r="AF193" s="1444"/>
      <c r="AG193" s="1535"/>
      <c r="AH193" s="1535"/>
      <c r="AI193" s="1535"/>
      <c r="AJ193" s="1535"/>
      <c r="AK193" s="1535"/>
      <c r="AL193" s="1535"/>
      <c r="AM193" s="1535"/>
      <c r="AN193" s="1535"/>
      <c r="AO193" s="1268" cm="1" t="str">
        <f t="array" ref="AO193:AO193">AO192</f>
        <v>ТЭ.42.28873685.0002</v>
      </c>
      <c r="AP193" s="1261"/>
      <c r="AQ193" s="1261"/>
      <c r="AR193" s="1261"/>
      <c r="AS193" s="1261"/>
      <c r="AT193" s="1261"/>
      <c r="AU193" s="1261"/>
      <c r="AV193" s="1261"/>
      <c r="AW193" s="1261"/>
      <c r="AX193" s="1261"/>
      <c r="AY193" s="1261"/>
      <c r="AZ193" s="1261"/>
      <c r="BA193" s="1261"/>
      <c r="BB193" s="1261"/>
      <c r="BC193" s="1261"/>
      <c r="BD193" s="1261"/>
      <c r="BE193" s="1261"/>
    </row>
    <row s="1632" customFormat="1" customHeight="1" ht="19.5">
      <c r="A194" s="1443"/>
      <c r="B194" s="927"/>
      <c r="C194" s="1443"/>
      <c r="D194" s="1443"/>
      <c r="E194" s="797">
        <v>20.4</v>
      </c>
      <c r="F194" s="965"/>
      <c r="G194" s="922" cm="1" t="str">
        <f t="array" ref="G194:G194">G193</f>
        <v>1</v>
      </c>
      <c r="H194" s="1443"/>
      <c r="I194" s="1443"/>
      <c r="J194" s="1443"/>
      <c r="K194" s="1443"/>
      <c r="L194" s="1443"/>
      <c r="M194" s="1443"/>
      <c r="N194" s="1443"/>
      <c r="O194" s="1443"/>
      <c r="P194" s="1443"/>
      <c r="Q194" s="1443"/>
      <c r="R194" s="1443"/>
      <c r="S194" s="1259" t="s">
        <v>111</v>
      </c>
      <c r="T194" s="1260" t="s">
        <v>112</v>
      </c>
      <c r="U194" s="1443"/>
      <c r="V194" s="1443"/>
      <c r="W194" s="819" cm="1" t="str">
        <f t="array" ref="W194:W194">W193</f>
        <v>true</v>
      </c>
      <c r="X194" s="1443"/>
      <c r="Y194" s="1443"/>
      <c r="Z194" s="1443"/>
      <c r="AA194" s="820"/>
      <c r="AB194" s="1633"/>
      <c r="AC194" s="1634"/>
      <c r="AD194" s="184" t="s">
        <v>324</v>
      </c>
      <c r="AE194" s="1117" t="s">
        <v>341</v>
      </c>
      <c r="AF194" s="1444"/>
      <c r="AG194" s="1535"/>
      <c r="AH194" s="1535"/>
      <c r="AI194" s="1535"/>
      <c r="AJ194" s="1535"/>
      <c r="AK194" s="1535"/>
      <c r="AL194" s="1535"/>
      <c r="AM194" s="1535"/>
      <c r="AN194" s="1535"/>
      <c r="AO194" s="1268" cm="1" t="str">
        <f t="array" ref="AO194:AO194">AO193</f>
        <v>ТЭ.42.28873685.0002</v>
      </c>
      <c r="AP194" s="1261"/>
      <c r="AQ194" s="1261"/>
      <c r="AR194" s="1261" t="s">
        <v>325</v>
      </c>
      <c r="AS194" s="1261"/>
      <c r="AT194" s="1261"/>
      <c r="AU194" s="1261"/>
      <c r="AV194" s="1261"/>
      <c r="AW194" s="1261"/>
      <c r="AX194" s="1261"/>
      <c r="AY194" s="1261"/>
      <c r="AZ194" s="1261"/>
      <c r="BA194" s="1261"/>
      <c r="BB194" s="1261"/>
      <c r="BC194" s="1261"/>
      <c r="BD194" s="1261"/>
      <c r="BE194" s="1261"/>
    </row>
    <row s="1632" customFormat="1" customHeight="1" ht="19.5">
      <c r="A195" s="1443"/>
      <c r="B195" s="957">
        <f>org_declaration="Заявление организации"</f>
        <v>1</v>
      </c>
      <c r="C195" s="1443"/>
      <c r="D195" s="1443"/>
      <c r="E195" s="797">
        <v>20.4</v>
      </c>
      <c r="F195" s="965"/>
      <c r="G195" s="922" cm="1" t="str">
        <f t="array" ref="G195:G195">G194</f>
        <v>1</v>
      </c>
      <c r="H195" s="1443"/>
      <c r="I195" s="1443"/>
      <c r="J195" s="1443"/>
      <c r="K195" s="1443"/>
      <c r="L195" s="1443"/>
      <c r="M195" s="1443"/>
      <c r="N195" s="1443"/>
      <c r="O195" s="1443"/>
      <c r="P195" s="1443"/>
      <c r="Q195" s="1443"/>
      <c r="R195" s="1443"/>
      <c r="S195" s="1259" t="s">
        <v>111</v>
      </c>
      <c r="T195" s="1260" t="s">
        <v>112</v>
      </c>
      <c r="U195" s="1443"/>
      <c r="V195" s="1443"/>
      <c r="W195" s="819" cm="1" t="str">
        <f t="array" ref="W195:W195">W194</f>
        <v>true</v>
      </c>
      <c r="X195" s="1443"/>
      <c r="Y195" s="1443"/>
      <c r="Z195" s="1443"/>
      <c r="AA195" s="820"/>
      <c r="AB195" s="1633"/>
      <c r="AC195" s="1634"/>
      <c r="AD195" s="449" t="s">
        <v>326</v>
      </c>
      <c r="AE195" s="1638">
        <v>2782</v>
      </c>
      <c r="AF195" s="1444"/>
      <c r="AG195" s="1535"/>
      <c r="AH195" s="1535"/>
      <c r="AI195" s="1535"/>
      <c r="AJ195" s="1535"/>
      <c r="AK195" s="1535"/>
      <c r="AL195" s="1535"/>
      <c r="AM195" s="1535"/>
      <c r="AN195" s="1535"/>
      <c r="AO195" s="1268" cm="1" t="str">
        <f t="array" ref="AO195:AO195">AO194</f>
        <v>ТЭ.42.28873685.0002</v>
      </c>
      <c r="AP195" s="1261"/>
      <c r="AQ195" s="1261"/>
      <c r="AR195" s="1261" t="s">
        <v>327</v>
      </c>
      <c r="AS195" s="1261"/>
      <c r="AT195" s="1261"/>
      <c r="AU195" s="1261"/>
      <c r="AV195" s="1261"/>
      <c r="AW195" s="1261"/>
      <c r="AX195" s="1261"/>
      <c r="AY195" s="1261"/>
      <c r="AZ195" s="1261"/>
      <c r="BA195" s="1261"/>
      <c r="BB195" s="1261"/>
      <c r="BC195" s="1261"/>
      <c r="BD195" s="1261"/>
      <c r="BE195" s="1261"/>
    </row>
    <row s="1632" customFormat="1" customHeight="1" ht="19.5">
      <c r="A196" s="1443"/>
      <c r="B196" s="957">
        <f>org_declaration="Заявление организации"</f>
        <v>1</v>
      </c>
      <c r="C196" s="1443"/>
      <c r="D196" s="1443"/>
      <c r="E196" s="797">
        <v>20.4</v>
      </c>
      <c r="F196" s="965"/>
      <c r="G196" s="922" cm="1" t="str">
        <f t="array" ref="G196:G196">G195</f>
        <v>1</v>
      </c>
      <c r="H196" s="1443"/>
      <c r="I196" s="1443"/>
      <c r="J196" s="1443"/>
      <c r="K196" s="1443"/>
      <c r="L196" s="1443"/>
      <c r="M196" s="1443"/>
      <c r="N196" s="1443"/>
      <c r="O196" s="1443"/>
      <c r="P196" s="1443"/>
      <c r="Q196" s="1443"/>
      <c r="R196" s="1443"/>
      <c r="S196" s="1259" t="s">
        <v>111</v>
      </c>
      <c r="T196" s="1260" t="s">
        <v>112</v>
      </c>
      <c r="U196" s="1443"/>
      <c r="V196" s="1443"/>
      <c r="W196" s="819" cm="1" t="str">
        <f t="array" ref="W196:W196">W195</f>
        <v>true</v>
      </c>
      <c r="X196" s="1443"/>
      <c r="Y196" s="1443"/>
      <c r="Z196" s="1443"/>
      <c r="AA196" s="820"/>
      <c r="AB196" s="1633"/>
      <c r="AC196" s="1634"/>
      <c r="AD196" s="449" t="s">
        <v>328</v>
      </c>
      <c r="AE196" s="1639">
        <v>45777</v>
      </c>
      <c r="AF196" s="1444"/>
      <c r="AG196" s="1535"/>
      <c r="AH196" s="1535"/>
      <c r="AI196" s="1535"/>
      <c r="AJ196" s="1535"/>
      <c r="AK196" s="1535"/>
      <c r="AL196" s="1535"/>
      <c r="AM196" s="1535"/>
      <c r="AN196" s="1535"/>
      <c r="AO196" s="1268" cm="1" t="str">
        <f t="array" ref="AO196:AO196">AO195</f>
        <v>ТЭ.42.28873685.0002</v>
      </c>
      <c r="AP196" s="1261"/>
      <c r="AQ196" s="1261"/>
      <c r="AR196" s="1261" t="s">
        <v>329</v>
      </c>
      <c r="AS196" s="1261"/>
      <c r="AT196" s="1261"/>
      <c r="AU196" s="1261"/>
      <c r="AV196" s="1261"/>
      <c r="AW196" s="1261"/>
      <c r="AX196" s="1261"/>
      <c r="AY196" s="1261"/>
      <c r="AZ196" s="1261"/>
      <c r="BA196" s="1261"/>
      <c r="BB196" s="1261"/>
      <c r="BC196" s="1261"/>
      <c r="BD196" s="1261"/>
      <c r="BE196" s="1261"/>
    </row>
    <row s="1632" customFormat="1" customHeight="1" ht="19.5">
      <c r="A197" s="1443"/>
      <c r="B197" s="957">
        <f>org_declaration="Заявление организации"</f>
        <v>1</v>
      </c>
      <c r="C197" s="1443"/>
      <c r="D197" s="1443"/>
      <c r="E197" s="797">
        <v>20.4</v>
      </c>
      <c r="F197" s="965"/>
      <c r="G197" s="922" cm="1" t="str">
        <f t="array" ref="G197:G197">G196</f>
        <v>1</v>
      </c>
      <c r="H197" s="1443"/>
      <c r="I197" s="1443"/>
      <c r="J197" s="1443"/>
      <c r="K197" s="1443"/>
      <c r="L197" s="1443"/>
      <c r="M197" s="1443"/>
      <c r="N197" s="1443"/>
      <c r="O197" s="1443"/>
      <c r="P197" s="1443"/>
      <c r="Q197" s="1443"/>
      <c r="R197" s="1443"/>
      <c r="S197" s="1259" t="s">
        <v>111</v>
      </c>
      <c r="T197" s="1260" t="s">
        <v>112</v>
      </c>
      <c r="U197" s="1443"/>
      <c r="V197" s="1443"/>
      <c r="W197" s="819" cm="1" t="str">
        <f t="array" ref="W197:W197">W196</f>
        <v>true</v>
      </c>
      <c r="X197" s="1443"/>
      <c r="Y197" s="1443"/>
      <c r="Z197" s="1443"/>
      <c r="AA197" s="820"/>
      <c r="AB197" s="1633"/>
      <c r="AC197" s="1634"/>
      <c r="AD197" s="449" t="s">
        <v>330</v>
      </c>
      <c r="AE197" s="1638"/>
      <c r="AF197" s="1444"/>
      <c r="AG197" s="1535"/>
      <c r="AH197" s="1535"/>
      <c r="AI197" s="1535"/>
      <c r="AJ197" s="1535"/>
      <c r="AK197" s="1535"/>
      <c r="AL197" s="1535"/>
      <c r="AM197" s="1535"/>
      <c r="AN197" s="1535"/>
      <c r="AO197" s="1268" cm="1" t="str">
        <f t="array" ref="AO197:AO197">AO196</f>
        <v>ТЭ.42.28873685.0002</v>
      </c>
      <c r="AP197" s="1261"/>
      <c r="AQ197" s="1261"/>
      <c r="AR197" s="1261" t="s">
        <v>331</v>
      </c>
      <c r="AS197" s="1261"/>
      <c r="AT197" s="1261"/>
      <c r="AU197" s="1261"/>
      <c r="AV197" s="1261"/>
      <c r="AW197" s="1261"/>
      <c r="AX197" s="1261"/>
      <c r="AY197" s="1261"/>
      <c r="AZ197" s="1261"/>
      <c r="BA197" s="1261"/>
      <c r="BB197" s="1261"/>
      <c r="BC197" s="1261"/>
      <c r="BD197" s="1261"/>
      <c r="BE197" s="1261"/>
    </row>
    <row s="1632" customFormat="1" customHeight="1" ht="19.5">
      <c r="A198" s="1443"/>
      <c r="B198" s="957">
        <f>org_declaration="Заявление организации"</f>
        <v>1</v>
      </c>
      <c r="C198" s="1443"/>
      <c r="D198" s="1443"/>
      <c r="E198" s="797">
        <v>20.4</v>
      </c>
      <c r="F198" s="965"/>
      <c r="G198" s="922" cm="1" t="str">
        <f t="array" ref="G198:G198">G197</f>
        <v>1</v>
      </c>
      <c r="H198" s="1443"/>
      <c r="I198" s="1443"/>
      <c r="J198" s="1443"/>
      <c r="K198" s="1443"/>
      <c r="L198" s="1443"/>
      <c r="M198" s="1443"/>
      <c r="N198" s="1443"/>
      <c r="O198" s="1443"/>
      <c r="P198" s="1443"/>
      <c r="Q198" s="1443"/>
      <c r="R198" s="1443"/>
      <c r="S198" s="1259" t="s">
        <v>111</v>
      </c>
      <c r="T198" s="1260" t="s">
        <v>112</v>
      </c>
      <c r="U198" s="1443"/>
      <c r="V198" s="1443"/>
      <c r="W198" s="819" cm="1" t="str">
        <f t="array" ref="W198:W198">W197</f>
        <v>true</v>
      </c>
      <c r="X198" s="1443"/>
      <c r="Y198" s="1443"/>
      <c r="Z198" s="1443"/>
      <c r="AA198" s="820"/>
      <c r="AB198" s="1633"/>
      <c r="AC198" s="1634"/>
      <c r="AD198" s="449" t="s">
        <v>332</v>
      </c>
      <c r="AE198" s="1625" t="str">
        <f>IF(AE$24="","",DATE(AE$24,1,1))</f>
        <v>46023</v>
      </c>
      <c r="AF198" s="1444"/>
      <c r="AG198" s="1535"/>
      <c r="AH198" s="1535"/>
      <c r="AI198" s="1535"/>
      <c r="AJ198" s="1535"/>
      <c r="AK198" s="1535"/>
      <c r="AL198" s="1535"/>
      <c r="AM198" s="1535"/>
      <c r="AN198" s="1535"/>
      <c r="AO198" s="1268" cm="1" t="str">
        <f t="array" ref="AO198:AO198">AO197</f>
        <v>ТЭ.42.28873685.0002</v>
      </c>
      <c r="AP198" s="1261"/>
      <c r="AQ198" s="1261"/>
      <c r="AR198" s="1261"/>
      <c r="AS198" s="1261"/>
      <c r="AT198" s="1261"/>
      <c r="AU198" s="1261"/>
      <c r="AV198" s="1261"/>
      <c r="AW198" s="1261"/>
      <c r="AX198" s="1261"/>
      <c r="AY198" s="1261"/>
      <c r="AZ198" s="1261" t="s">
        <v>333</v>
      </c>
      <c r="BA198" s="1261"/>
      <c r="BB198" s="1261"/>
      <c r="BC198" s="1261"/>
      <c r="BD198" s="1261"/>
      <c r="BE198" s="1261"/>
    </row>
    <row s="1632" customFormat="1" customHeight="1" ht="19.5">
      <c r="A199" s="1443"/>
      <c r="B199" s="957">
        <f>org_declaration="Заявление организации"</f>
        <v>1</v>
      </c>
      <c r="C199" s="1443"/>
      <c r="D199" s="1443"/>
      <c r="E199" s="797">
        <v>20.4</v>
      </c>
      <c r="F199" s="965"/>
      <c r="G199" s="922" cm="1" t="str">
        <f t="array" ref="G199:G199">G197</f>
        <v>1</v>
      </c>
      <c r="H199" s="1443"/>
      <c r="I199" s="1443"/>
      <c r="J199" s="1443"/>
      <c r="K199" s="1443"/>
      <c r="L199" s="1443"/>
      <c r="M199" s="1443"/>
      <c r="N199" s="1443"/>
      <c r="O199" s="1443"/>
      <c r="P199" s="1443"/>
      <c r="Q199" s="1443"/>
      <c r="R199" s="1443"/>
      <c r="S199" s="1259" t="s">
        <v>111</v>
      </c>
      <c r="T199" s="1260" t="s">
        <v>112</v>
      </c>
      <c r="U199" s="1443"/>
      <c r="V199" s="1443"/>
      <c r="W199" s="819" cm="1" t="str">
        <f t="array" ref="W199:W199">W197</f>
        <v>true</v>
      </c>
      <c r="X199" s="1443"/>
      <c r="Y199" s="1443"/>
      <c r="Z199" s="1443"/>
      <c r="AA199" s="820"/>
      <c r="AB199" s="1633"/>
      <c r="AC199" s="1634"/>
      <c r="AD199" s="449" t="s">
        <v>334</v>
      </c>
      <c r="AE199" s="1640" cm="1" t="str">
        <f t="array" ref="AE199:AE199">IF(method_reg="","",method_reg)</f>
        <v>Метод индексации</v>
      </c>
      <c r="AF199" s="1444"/>
      <c r="AG199" s="1535"/>
      <c r="AH199" s="1535"/>
      <c r="AI199" s="1535"/>
      <c r="AJ199" s="1535"/>
      <c r="AK199" s="1535"/>
      <c r="AL199" s="1535"/>
      <c r="AM199" s="1535"/>
      <c r="AN199" s="1535"/>
      <c r="AO199" s="1268" cm="1" t="str">
        <f t="array" ref="AO199:AO199">AO198</f>
        <v>ТЭ.42.28873685.0002</v>
      </c>
      <c r="AP199" s="1261"/>
      <c r="AQ199" s="1261"/>
      <c r="AR199" s="1261" t="s">
        <v>335</v>
      </c>
      <c r="AS199" s="1261"/>
      <c r="AT199" s="1261"/>
      <c r="AU199" s="1261"/>
      <c r="AV199" s="1261"/>
      <c r="AW199" s="1261"/>
      <c r="AX199" s="1261"/>
      <c r="AY199" s="1261"/>
      <c r="AZ199" s="1261"/>
      <c r="BA199" s="1261"/>
      <c r="BB199" s="1261"/>
      <c r="BC199" s="1261"/>
      <c r="BD199" s="1261"/>
      <c r="BE199" s="1261"/>
    </row>
    <row s="1632" customFormat="1" customHeight="1" ht="21.75">
      <c r="A200" s="1443"/>
      <c r="B200" s="957">
        <f>AND(org_declaration="Заявление организации",AE199&lt;&gt;"Метод экономически обоснованных расходов")</f>
        <v>1</v>
      </c>
      <c r="C200" s="1443"/>
      <c r="D200" s="1443"/>
      <c r="E200" s="797">
        <v>22.8</v>
      </c>
      <c r="F200" s="965"/>
      <c r="G200" s="922" cm="1" t="str">
        <f t="array" ref="G200:G200">G199</f>
        <v>1</v>
      </c>
      <c r="H200" s="1443"/>
      <c r="I200" s="1443"/>
      <c r="J200" s="1443"/>
      <c r="K200" s="1443"/>
      <c r="L200" s="1443"/>
      <c r="M200" s="1443"/>
      <c r="N200" s="1443"/>
      <c r="O200" s="1443"/>
      <c r="P200" s="1443"/>
      <c r="Q200" s="1443"/>
      <c r="R200" s="1443"/>
      <c r="S200" s="1259" t="s">
        <v>119</v>
      </c>
      <c r="T200" s="1260" t="s">
        <v>120</v>
      </c>
      <c r="U200" s="1443"/>
      <c r="V200" s="1443"/>
      <c r="W200" s="819" cm="1" t="str">
        <f t="array" ref="W200:W200">W199</f>
        <v>true</v>
      </c>
      <c r="X200" s="1443"/>
      <c r="Y200" s="1443"/>
      <c r="Z200" s="1443"/>
      <c r="AA200" s="820"/>
      <c r="AB200" s="1633"/>
      <c r="AC200" s="1634"/>
      <c r="AD200" s="18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1" cm="1" t="str">
        <f t="array" ref="AE200:AE200">IF(first_year="","",first_year)</f>
        <v>2016</v>
      </c>
      <c r="AF200" s="1444"/>
      <c r="AG200" s="1535"/>
      <c r="AH200" s="1535"/>
      <c r="AI200" s="1535"/>
      <c r="AJ200" s="1535"/>
      <c r="AK200" s="1535"/>
      <c r="AL200" s="1535"/>
      <c r="AM200" s="1535"/>
      <c r="AN200" s="1535"/>
      <c r="AO200" s="1268" cm="1" t="str">
        <f t="array" ref="AO200:AO200">AO199</f>
        <v>ТЭ.42.28873685.0002</v>
      </c>
      <c r="AP200" s="1261"/>
      <c r="AQ200" s="1261"/>
      <c r="AR200" s="1261" t="s">
        <v>335</v>
      </c>
      <c r="AS200" s="1261" t="s">
        <v>124</v>
      </c>
      <c r="AT200" s="1261"/>
      <c r="AU200" s="1261"/>
      <c r="AV200" s="1261"/>
      <c r="AW200" s="1261"/>
      <c r="AX200" s="1261"/>
      <c r="AY200" s="1261"/>
      <c r="AZ200" s="1261"/>
      <c r="BA200" s="1261"/>
      <c r="BB200" s="1261"/>
      <c r="BC200" s="1261"/>
      <c r="BD200" s="1261"/>
      <c r="BE200" s="1261"/>
    </row>
    <row s="1632" customFormat="1" customHeight="1" ht="19.5">
      <c r="A201" s="1443"/>
      <c r="B201" s="957">
        <f>AND(org_declaration="Заявление организации",AE199&lt;&gt;"Метод экономически обоснованных расходов")</f>
        <v>1</v>
      </c>
      <c r="C201" s="1443"/>
      <c r="D201" s="1443"/>
      <c r="E201" s="797">
        <v>20.4</v>
      </c>
      <c r="F201" s="965"/>
      <c r="G201" s="922" cm="1" t="str">
        <f t="array" ref="G201:G201">G200</f>
        <v>1</v>
      </c>
      <c r="H201" s="1443"/>
      <c r="I201" s="1443"/>
      <c r="J201" s="1443"/>
      <c r="K201" s="1443"/>
      <c r="L201" s="1443"/>
      <c r="M201" s="1443"/>
      <c r="N201" s="1443"/>
      <c r="O201" s="1443"/>
      <c r="P201" s="1443"/>
      <c r="Q201" s="1443"/>
      <c r="R201" s="1443"/>
      <c r="S201" s="1259" t="s">
        <v>125</v>
      </c>
      <c r="T201" s="1260" t="s">
        <v>126</v>
      </c>
      <c r="U201" s="1443"/>
      <c r="V201" s="1443"/>
      <c r="W201" s="819" cm="1" t="str">
        <f t="array" ref="W201:W201">W200</f>
        <v>true</v>
      </c>
      <c r="X201" s="1443"/>
      <c r="Y201" s="1443"/>
      <c r="Z201" s="1443"/>
      <c r="AA201" s="820"/>
      <c r="AB201" s="1633"/>
      <c r="AC201" s="1634"/>
      <c r="AD201" s="449" t="s">
        <v>127</v>
      </c>
      <c r="AE201" s="1641" cm="1" t="str">
        <f t="array" ref="AE201:AE201">IF(PERIOD_LENGTH="","",PERIOD_LENGTH)</f>
        <v>10</v>
      </c>
      <c r="AF201" s="1444"/>
      <c r="AG201" s="1535"/>
      <c r="AH201" s="1535"/>
      <c r="AI201" s="1535"/>
      <c r="AJ201" s="1535"/>
      <c r="AK201" s="1535"/>
      <c r="AL201" s="1535"/>
      <c r="AM201" s="1535"/>
      <c r="AN201" s="1535"/>
      <c r="AO201" s="1268" cm="1" t="str">
        <f t="array" ref="AO201:AO201">AO200</f>
        <v>ТЭ.42.28873685.0002</v>
      </c>
      <c r="AP201" s="1261"/>
      <c r="AQ201" s="1261"/>
      <c r="AR201" s="1261" t="s">
        <v>335</v>
      </c>
      <c r="AS201" s="1261" t="s">
        <v>128</v>
      </c>
      <c r="AT201" s="1261"/>
      <c r="AU201" s="1261"/>
      <c r="AV201" s="1261"/>
      <c r="AW201" s="1261"/>
      <c r="AX201" s="1261"/>
      <c r="AY201" s="1261"/>
      <c r="AZ201" s="1261"/>
      <c r="BA201" s="1261"/>
      <c r="BB201" s="1261"/>
      <c r="BC201" s="1261"/>
      <c r="BD201" s="1261"/>
      <c r="BE201" s="1261"/>
    </row>
    <row customHeight="1" ht="19.89">
      <c r="E202" s="797">
        <v>20.4</v>
      </c>
      <c r="X202" s="374" t="s">
        <v>342</v>
      </c>
      <c r="AB202" s="1418"/>
      <c r="AC202" s="1418"/>
      <c r="AD202" s="1124" t="s">
        <v>343</v>
      </c>
      <c r="AE202" s="340"/>
      <c r="AF202" s="427"/>
      <c r="AI202" s="237"/>
    </row>
    <row customHeight="1" ht="19.89">
      <c r="E203" s="797">
        <v>20.4</v>
      </c>
      <c r="S203" s="1259" t="s">
        <v>111</v>
      </c>
      <c r="T203" s="1260" t="s">
        <v>112</v>
      </c>
      <c r="AB203" s="1450" t="s">
        <v>344</v>
      </c>
      <c r="AC203" s="1451"/>
      <c r="AD203" s="449" t="s">
        <v>345</v>
      </c>
      <c r="AE203" s="423" t="s">
        <v>346</v>
      </c>
      <c r="AF203" s="432"/>
      <c r="AG203" s="155" t="s">
        <v>347</v>
      </c>
      <c r="AO203" s="1261"/>
      <c r="AP203" s="1261"/>
      <c r="AQ203" s="1261"/>
      <c r="AR203" s="1261"/>
      <c r="AS203" s="1261"/>
      <c r="AT203" s="1261"/>
      <c r="AU203" s="1261"/>
      <c r="AV203" s="1261"/>
      <c r="AW203" s="1261"/>
      <c r="AX203" s="1261"/>
      <c r="AY203" s="1261"/>
      <c r="AZ203" s="1261"/>
      <c r="BA203" s="1261"/>
      <c r="BB203" s="1261"/>
      <c r="BC203" s="1261"/>
      <c r="BD203" s="1261"/>
      <c r="BE203" s="1261" t="s">
        <v>348</v>
      </c>
    </row>
    <row customHeight="1" ht="19.89">
      <c r="E204" s="797">
        <v>20.4</v>
      </c>
      <c r="S204" s="1259" t="s">
        <v>111</v>
      </c>
      <c r="T204" s="1260" t="s">
        <v>112</v>
      </c>
      <c r="AB204" s="1450"/>
      <c r="AC204" s="1451"/>
      <c r="AD204" s="449" t="s">
        <v>349</v>
      </c>
      <c r="AE204" s="423" t="s">
        <v>350</v>
      </c>
      <c r="AF204" s="432"/>
      <c r="AG204" s="155" t="s">
        <v>351</v>
      </c>
      <c r="AO204" s="1261"/>
      <c r="AP204" s="1261"/>
      <c r="AQ204" s="1261"/>
      <c r="AR204" s="1261"/>
      <c r="AS204" s="1261"/>
      <c r="AT204" s="1261"/>
      <c r="AU204" s="1261"/>
      <c r="AV204" s="1261"/>
      <c r="AW204" s="1261"/>
      <c r="AX204" s="1261"/>
      <c r="AY204" s="1261"/>
      <c r="AZ204" s="1261"/>
      <c r="BA204" s="1261"/>
      <c r="BB204" s="1261"/>
      <c r="BC204" s="1261"/>
      <c r="BD204" s="1261"/>
      <c r="BE204" s="1261" t="s">
        <v>352</v>
      </c>
    </row>
    <row customHeight="1" ht="19.89">
      <c r="E205" s="797">
        <v>20.4</v>
      </c>
      <c r="S205" s="1259" t="s">
        <v>111</v>
      </c>
      <c r="T205" s="1260" t="s">
        <v>112</v>
      </c>
      <c r="AB205" s="1450"/>
      <c r="AC205" s="1451"/>
      <c r="AD205" s="449" t="s">
        <v>353</v>
      </c>
      <c r="AE205" s="423" t="s">
        <v>354</v>
      </c>
      <c r="AF205" s="432"/>
      <c r="AG205" s="155" t="s">
        <v>355</v>
      </c>
      <c r="AO205" s="1261"/>
      <c r="AP205" s="1261"/>
      <c r="AQ205" s="1261"/>
      <c r="AR205" s="1261"/>
      <c r="AS205" s="1261"/>
      <c r="AT205" s="1261"/>
      <c r="AU205" s="1261"/>
      <c r="AV205" s="1261"/>
      <c r="AW205" s="1261"/>
      <c r="AX205" s="1261"/>
      <c r="AY205" s="1261"/>
      <c r="AZ205" s="1261"/>
      <c r="BA205" s="1261"/>
      <c r="BB205" s="1261"/>
      <c r="BC205" s="1261"/>
      <c r="BD205" s="1261"/>
      <c r="BE205" s="1261" t="s">
        <v>356</v>
      </c>
    </row>
    <row customHeight="1" ht="19.89">
      <c r="E206" s="797">
        <v>20.4</v>
      </c>
      <c r="S206" s="1259" t="s">
        <v>111</v>
      </c>
      <c r="T206" s="1260" t="s">
        <v>112</v>
      </c>
      <c r="AB206" s="1450"/>
      <c r="AC206" s="1451"/>
      <c r="AD206" s="449" t="s">
        <v>357</v>
      </c>
      <c r="AE206" s="423" t="s">
        <v>358</v>
      </c>
      <c r="AF206" s="432"/>
      <c r="AG206" s="155" t="s">
        <v>359</v>
      </c>
      <c r="AO206" s="1261"/>
      <c r="AP206" s="1261"/>
      <c r="AQ206" s="1261"/>
      <c r="AR206" s="1261"/>
      <c r="AS206" s="1261"/>
      <c r="AT206" s="1261"/>
      <c r="AU206" s="1261"/>
      <c r="AV206" s="1261"/>
      <c r="AW206" s="1261"/>
      <c r="AX206" s="1261"/>
      <c r="AY206" s="1261"/>
      <c r="AZ206" s="1261"/>
      <c r="BA206" s="1261"/>
      <c r="BB206" s="1261"/>
      <c r="BC206" s="1261"/>
      <c r="BD206" s="1261"/>
      <c r="BE206" s="1261" t="s">
        <v>360</v>
      </c>
    </row>
    <row customHeight="1" ht="19.89">
      <c r="E207" s="797">
        <v>20.4</v>
      </c>
      <c r="S207" s="1259" t="s">
        <v>111</v>
      </c>
      <c r="T207" s="1260" t="s">
        <v>112</v>
      </c>
      <c r="AB207" s="1450"/>
      <c r="AC207" s="1451"/>
      <c r="AD207" s="449" t="s">
        <v>361</v>
      </c>
      <c r="AE207" s="423" t="s">
        <v>362</v>
      </c>
      <c r="AF207" s="432"/>
      <c r="AG207" s="155" t="s">
        <v>363</v>
      </c>
      <c r="AO207" s="1261"/>
      <c r="AP207" s="1261"/>
      <c r="AQ207" s="1261"/>
      <c r="AR207" s="1261"/>
      <c r="AS207" s="1261"/>
      <c r="AT207" s="1261"/>
      <c r="AU207" s="1261"/>
      <c r="AV207" s="1261"/>
      <c r="AW207" s="1261"/>
      <c r="AX207" s="1261"/>
      <c r="AY207" s="1261"/>
      <c r="AZ207" s="1261"/>
      <c r="BA207" s="1261"/>
      <c r="BB207" s="1261"/>
      <c r="BC207" s="1261"/>
      <c r="BD207" s="1261"/>
      <c r="BE207" s="1261" t="s">
        <v>364</v>
      </c>
    </row>
    <row customHeight="1" ht="19.89" hidden="1">
      <c r="A208" s="1443"/>
      <c r="B208" s="927"/>
      <c r="C208" s="1443"/>
      <c r="D208" s="1443"/>
      <c r="E208" s="797">
        <v>20.4</v>
      </c>
      <c r="F208" s="965"/>
      <c r="G208" s="1443"/>
      <c r="H208" s="1443"/>
      <c r="I208" s="1443"/>
      <c r="J208" s="1443"/>
      <c r="K208" s="1443"/>
      <c r="L208" s="1443"/>
      <c r="M208" s="1443"/>
      <c r="N208" s="1443"/>
      <c r="O208" s="1443"/>
      <c r="P208" s="1443"/>
      <c r="Q208" s="1443"/>
      <c r="R208" s="1443"/>
      <c r="S208" s="1259" t="s">
        <v>111</v>
      </c>
      <c r="T208" s="1260" t="s">
        <v>112</v>
      </c>
      <c r="U208" s="1443"/>
      <c r="V208" s="1443"/>
      <c r="W208" s="819">
        <f>ROW(X208)&gt;ROW(X$208)</f>
        <v>0</v>
      </c>
      <c r="X208" s="179" t="s">
        <v>310</v>
      </c>
      <c r="Y208" s="1443"/>
      <c r="Z208" s="1443"/>
      <c r="AA208" s="820"/>
      <c r="AB208" s="1450"/>
      <c r="AC208" s="1451"/>
      <c r="AD208" s="1644"/>
      <c r="AE208" s="1615"/>
      <c r="AF208" s="750" t="s">
        <v>218</v>
      </c>
      <c r="AG208" s="1535"/>
      <c r="AH208" s="1535"/>
      <c r="AI208" s="1535"/>
      <c r="AJ208" s="1535"/>
      <c r="AK208" s="1535"/>
      <c r="AL208" s="1535"/>
      <c r="AM208" s="1535"/>
      <c r="AN208" s="1535"/>
      <c r="AO208" s="1268" cm="1" t="str">
        <f t="array" ref="AO208:AO208">AD208</f>
        <v>0</v>
      </c>
      <c r="AP208" s="1261"/>
      <c r="AQ208" s="1261"/>
      <c r="AR208" s="1261"/>
      <c r="AS208" s="1261"/>
      <c r="AT208" s="1261"/>
      <c r="AU208" s="1261"/>
      <c r="AV208" s="1261"/>
      <c r="AW208" s="1261"/>
      <c r="AX208" s="1261"/>
      <c r="AY208" s="1261"/>
      <c r="AZ208" s="1261"/>
      <c r="BA208" s="1261"/>
      <c r="BB208" s="1261"/>
      <c r="BC208" s="1261"/>
      <c r="BD208" s="1261"/>
      <c r="BE208" s="1261" t="s">
        <v>365</v>
      </c>
    </row>
    <row customHeight="1" ht="14.625">
      <c r="E209" s="797">
        <v>15</v>
      </c>
      <c r="X209" s="374" t="s">
        <v>235</v>
      </c>
      <c r="AB209" s="1450"/>
      <c r="AC209" s="1451"/>
      <c r="AD209" s="450" t="s">
        <v>366</v>
      </c>
      <c r="AE209" s="417"/>
      <c r="AF209" s="432"/>
    </row>
    <row customHeight="1" ht="19.89">
      <c r="E210" s="797">
        <v>20.4</v>
      </c>
      <c r="AB210" s="1450"/>
      <c r="AC210" s="1451"/>
      <c r="AD210" s="449" t="s">
        <v>367</v>
      </c>
      <c r="AE210" s="451" cm="1" t="str">
        <f t="array" ref="AE210:AE210">IF(ISBLANK(method_reg),"",method_reg)</f>
        <v>Метод индексации</v>
      </c>
      <c r="AF210" s="432"/>
    </row>
    <row customHeight="1" ht="19.89">
      <c r="E211" s="797">
        <v>20.4</v>
      </c>
      <c r="AB211" s="1450"/>
      <c r="AC211" s="1451"/>
      <c r="AD211" s="449" t="s">
        <v>121</v>
      </c>
      <c r="AE211" s="452" cm="1" t="str">
        <f t="array" ref="AE211:AE211">IF(ISBLANK(god),"",god)</f>
        <v>2026</v>
      </c>
      <c r="AF211" s="432"/>
    </row>
    <row customHeight="1" ht="19.89">
      <c r="E212" s="797">
        <v>20.4</v>
      </c>
      <c r="AB212" s="1450"/>
      <c r="AC212" s="1451"/>
      <c r="AD212" s="449" t="s">
        <v>123</v>
      </c>
      <c r="AE212" s="452" cm="1" t="str">
        <f t="array" ref="AE212:AE212">IF(ISBLANK(first_year),"",first_year)</f>
        <v>2016</v>
      </c>
      <c r="AF212" s="432"/>
    </row>
    <row customHeight="1" ht="19.89">
      <c r="E213" s="797">
        <v>20.4</v>
      </c>
      <c r="AB213" s="1452"/>
      <c r="AC213" s="1453"/>
      <c r="AD213" s="449" t="s">
        <v>127</v>
      </c>
      <c r="AE213" s="452" cm="1" t="str">
        <f t="array" ref="AE213:AE213">IF(ISBLANK(PERIOD_LENGTH),"",PERIOD_LENGTH)</f>
        <v>10</v>
      </c>
      <c r="AF213" s="432"/>
    </row>
    <row customHeight="1" ht="23.985000000000003">
      <c r="E214" s="797">
        <v>24.6</v>
      </c>
      <c r="S214" s="1259" t="s">
        <v>186</v>
      </c>
      <c r="T214" s="1260" t="s">
        <v>187</v>
      </c>
      <c r="AB214" s="1445" t="s">
        <v>368</v>
      </c>
      <c r="AC214" s="1446"/>
      <c r="AD214" s="1447"/>
      <c r="AE214" s="442" t="s">
        <v>200</v>
      </c>
      <c r="AF214" s="437"/>
      <c r="AO214" s="1261"/>
      <c r="AP214" s="1261"/>
      <c r="AQ214" s="1261"/>
      <c r="AR214" s="1261" t="s">
        <v>369</v>
      </c>
      <c r="AS214" s="1261"/>
      <c r="AT214" s="1261"/>
      <c r="AU214" s="1261"/>
      <c r="AV214" s="1261"/>
      <c r="AW214" s="1261"/>
      <c r="AX214" s="1261"/>
      <c r="AY214" s="1261"/>
      <c r="AZ214" s="1261"/>
      <c r="BA214" s="1261"/>
      <c r="BB214" s="1261"/>
      <c r="BC214" s="1261"/>
      <c r="BD214" s="1261"/>
      <c r="BE214" s="1261"/>
    </row>
    <row customHeight="1" ht="11.700000000000001">
      <c r="E215" s="797">
        <v>12</v>
      </c>
    </row>
    <row customHeight="1" ht="19.89">
      <c r="E216" s="797">
        <v>20.4</v>
      </c>
      <c r="S216" s="1259" t="s">
        <v>111</v>
      </c>
      <c r="T216" s="1260" t="s">
        <v>112</v>
      </c>
      <c r="AB216" s="1445" t="s">
        <v>370</v>
      </c>
      <c r="AC216" s="1446"/>
      <c r="AD216" s="1447"/>
      <c r="AE216" s="457" t="s">
        <v>200</v>
      </c>
      <c r="AO216" s="1261"/>
      <c r="AP216" s="1261"/>
      <c r="AQ216" s="1261"/>
      <c r="AR216" s="1261" t="s">
        <v>371</v>
      </c>
      <c r="AS216" s="1261"/>
      <c r="AT216" s="1261"/>
      <c r="AU216" s="1261"/>
      <c r="AV216" s="1261"/>
      <c r="AW216" s="1261"/>
      <c r="AX216" s="1261"/>
      <c r="AY216" s="1261"/>
      <c r="AZ216" s="1261"/>
      <c r="BA216" s="1261"/>
      <c r="BB216" s="1261"/>
      <c r="BC216" s="1261"/>
      <c r="BD216" s="1261"/>
      <c r="BE216" s="1261"/>
    </row>
    <row customHeight="1" ht="11.25">
      <c r="AF217" s="214"/>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94297-E4D8-1009-42B8-0B5691821FCF}" mc:Ignorable="x14ac xr xr2 xr3">
  <sheetPr>
    <tabColor rgb="FFFFCC99"/>
  </sheetPr>
  <dimension ref="A1:B97"/>
  <sheetViews>
    <sheetView topLeftCell="A1" showGridLines="0" workbookViewId="0">
      <selection activeCell="A1" sqref="A1"/>
    </sheetView>
  </sheetViews>
  <sheetFormatPr customHeight="1" defaultRowHeight="11.25"/>
  <cols>
    <col min="1" max="1" style="1594" width="88.8515625" customWidth="1"/>
    <col min="2" max="2" style="1594" width="24.7109375" customWidth="1"/>
  </cols>
  <sheetData>
    <row customHeight="1" ht="11.25">
      <c r="A1" s="0" t="s">
        <v>4678</v>
      </c>
    </row>
    <row customHeight="1" ht="11.25">
      <c r="A2" s="0" t="s">
        <v>4679</v>
      </c>
      <c r="B2" s="0" t="s">
        <v>4680</v>
      </c>
    </row>
    <row customHeight="1" ht="11.25">
      <c r="A3" s="0" t="s">
        <v>4681</v>
      </c>
    </row>
    <row customHeight="1" ht="11.25">
      <c r="A4" s="0" t="s">
        <v>3409</v>
      </c>
    </row>
    <row customHeight="1" ht="11.25">
      <c r="A5" s="0" t="s">
        <v>3327</v>
      </c>
    </row>
    <row customHeight="1" ht="11.25">
      <c r="A6" s="0" t="s">
        <v>156</v>
      </c>
    </row>
    <row customHeight="1" ht="11.25">
      <c r="A7" s="0" t="s">
        <v>4682</v>
      </c>
    </row>
    <row customHeight="1" ht="11.25">
      <c r="A8" s="0" t="s">
        <v>4683</v>
      </c>
    </row>
    <row customHeight="1" ht="11.25">
      <c r="A9" s="0" t="s">
        <v>4684</v>
      </c>
    </row>
    <row customHeight="1" ht="11.25">
      <c r="A10" s="0" t="s">
        <v>4685</v>
      </c>
    </row>
    <row customHeight="1" ht="11.25">
      <c r="A11" s="0" t="s">
        <v>4686</v>
      </c>
    </row>
    <row customHeight="1" ht="11.25">
      <c r="A12" s="0" t="s">
        <v>4687</v>
      </c>
    </row>
    <row customHeight="1" ht="11.25">
      <c r="A13" s="0" t="s">
        <v>4688</v>
      </c>
    </row>
    <row customHeight="1" ht="11.25">
      <c r="A14" s="0" t="s">
        <v>4689</v>
      </c>
    </row>
    <row customHeight="1" ht="11.25">
      <c r="A15" s="0" t="s">
        <v>4690</v>
      </c>
    </row>
    <row customHeight="1" ht="11.25">
      <c r="A16" s="0" t="s">
        <v>4691</v>
      </c>
    </row>
    <row customHeight="1" ht="11.25">
      <c r="A17" s="0" t="s">
        <v>4692</v>
      </c>
    </row>
    <row customHeight="1" ht="11.25">
      <c r="A18" s="0" t="s">
        <v>4693</v>
      </c>
    </row>
    <row customHeight="1" ht="11.25">
      <c r="A19" s="0" t="s">
        <v>4694</v>
      </c>
    </row>
    <row customHeight="1" ht="11.25">
      <c r="A20" s="0" t="s">
        <v>4695</v>
      </c>
    </row>
    <row customHeight="1" ht="11.25">
      <c r="A21" s="0" t="s">
        <v>4696</v>
      </c>
    </row>
    <row customHeight="1" ht="11.25">
      <c r="A22" s="0" t="s">
        <v>4697</v>
      </c>
    </row>
    <row customHeight="1" ht="11.25">
      <c r="A23" s="0" t="s">
        <v>4698</v>
      </c>
    </row>
    <row customHeight="1" ht="11.25">
      <c r="A24" s="0" t="s">
        <v>4699</v>
      </c>
    </row>
    <row customHeight="1" ht="11.25">
      <c r="A25" s="0" t="s">
        <v>4700</v>
      </c>
    </row>
    <row customHeight="1" ht="11.25">
      <c r="A26" s="0" t="s">
        <v>4701</v>
      </c>
    </row>
    <row customHeight="1" ht="11.25">
      <c r="A27" s="0" t="s">
        <v>4702</v>
      </c>
    </row>
    <row customHeight="1" ht="11.25">
      <c r="A28" s="0" t="s">
        <v>4703</v>
      </c>
    </row>
    <row customHeight="1" ht="11.25">
      <c r="A29" s="0" t="s">
        <v>4704</v>
      </c>
    </row>
    <row customHeight="1" ht="11.25">
      <c r="A30" s="0" t="s">
        <v>4705</v>
      </c>
    </row>
    <row customHeight="1" ht="11.25">
      <c r="A31" s="0" t="s">
        <v>4706</v>
      </c>
    </row>
    <row customHeight="1" ht="11.25">
      <c r="A32" s="0" t="s">
        <v>4707</v>
      </c>
    </row>
    <row customHeight="1" ht="11.25">
      <c r="A33" s="0" t="s">
        <v>4708</v>
      </c>
    </row>
    <row customHeight="1" ht="11.25">
      <c r="A34" s="0" t="s">
        <v>4709</v>
      </c>
    </row>
    <row customHeight="1" ht="11.25">
      <c r="A35" s="0" t="s">
        <v>4710</v>
      </c>
    </row>
    <row customHeight="1" ht="11.25">
      <c r="A36" s="0" t="s">
        <v>4711</v>
      </c>
    </row>
    <row customHeight="1" ht="11.25">
      <c r="A37" s="0" t="s">
        <v>4712</v>
      </c>
    </row>
    <row customHeight="1" ht="11.25">
      <c r="A38" s="0" t="s">
        <v>4713</v>
      </c>
    </row>
    <row customHeight="1" ht="11.25">
      <c r="A39" s="0" t="s">
        <v>4714</v>
      </c>
    </row>
    <row customHeight="1" ht="11.25">
      <c r="A40" s="0" t="s">
        <v>4715</v>
      </c>
    </row>
    <row customHeight="1" ht="11.25">
      <c r="A41" s="0" t="s">
        <v>4716</v>
      </c>
    </row>
    <row customHeight="1" ht="11.25">
      <c r="A42" s="0" t="s">
        <v>4717</v>
      </c>
    </row>
    <row customHeight="1" ht="11.25">
      <c r="A43" s="0" t="s">
        <v>4718</v>
      </c>
    </row>
    <row customHeight="1" ht="11.25">
      <c r="A44" s="0" t="s">
        <v>4719</v>
      </c>
    </row>
    <row customHeight="1" ht="11.25">
      <c r="A45" s="0" t="s">
        <v>4720</v>
      </c>
    </row>
    <row customHeight="1" ht="11.25">
      <c r="A46" s="0" t="s">
        <v>4721</v>
      </c>
    </row>
    <row customHeight="1" ht="11.25">
      <c r="A47" s="0" t="s">
        <v>4722</v>
      </c>
    </row>
    <row customHeight="1" ht="11.25">
      <c r="A48" s="0" t="s">
        <v>4723</v>
      </c>
    </row>
    <row customHeight="1" ht="11.25">
      <c r="A49" s="0" t="s">
        <v>4724</v>
      </c>
    </row>
    <row customHeight="1" ht="11.25">
      <c r="A50" s="0" t="s">
        <v>4725</v>
      </c>
    </row>
    <row customHeight="1" ht="11.25">
      <c r="A51" s="0" t="s">
        <v>4726</v>
      </c>
    </row>
    <row customHeight="1" ht="11.25">
      <c r="A52" s="0" t="s">
        <v>4727</v>
      </c>
    </row>
    <row customHeight="1" ht="11.25">
      <c r="A53" s="0" t="s">
        <v>4728</v>
      </c>
    </row>
    <row customHeight="1" ht="11.25">
      <c r="A54" s="0" t="s">
        <v>4729</v>
      </c>
    </row>
    <row customHeight="1" ht="11.25">
      <c r="A55" s="0" t="s">
        <v>4730</v>
      </c>
    </row>
    <row customHeight="1" ht="11.25">
      <c r="A56" s="0" t="s">
        <v>4731</v>
      </c>
    </row>
    <row customHeight="1" ht="11.25">
      <c r="A57" s="0" t="s">
        <v>3847</v>
      </c>
    </row>
    <row customHeight="1" ht="11.25">
      <c r="A58" s="0" t="s">
        <v>4732</v>
      </c>
    </row>
    <row customHeight="1" ht="11.25">
      <c r="A59" s="0" t="s">
        <v>4733</v>
      </c>
    </row>
    <row customHeight="1" ht="11.25">
      <c r="A60" s="0" t="s">
        <v>4734</v>
      </c>
    </row>
    <row customHeight="1" ht="11.25">
      <c r="A61" s="0" t="s">
        <v>4735</v>
      </c>
    </row>
    <row customHeight="1" ht="11.25">
      <c r="A62" s="0" t="s">
        <v>4736</v>
      </c>
    </row>
    <row customHeight="1" ht="11.25">
      <c r="A63" s="0" t="s">
        <v>4737</v>
      </c>
    </row>
    <row customHeight="1" ht="11.25">
      <c r="A64" s="0" t="s">
        <v>4738</v>
      </c>
    </row>
    <row customHeight="1" ht="11.25">
      <c r="A65" s="0" t="s">
        <v>4739</v>
      </c>
    </row>
    <row customHeight="1" ht="11.25">
      <c r="A66" s="0" t="s">
        <v>4101</v>
      </c>
    </row>
    <row customHeight="1" ht="11.25">
      <c r="A67" s="0" t="s">
        <v>4740</v>
      </c>
    </row>
    <row customHeight="1" ht="11.25">
      <c r="A68" s="0" t="s">
        <v>4741</v>
      </c>
    </row>
    <row customHeight="1" ht="11.25">
      <c r="A69" s="0" t="s">
        <v>4742</v>
      </c>
    </row>
    <row customHeight="1" ht="11.25">
      <c r="A70" s="0" t="s">
        <v>4743</v>
      </c>
    </row>
    <row customHeight="1" ht="11.25">
      <c r="A71" s="0" t="s">
        <v>3466</v>
      </c>
    </row>
    <row customHeight="1" ht="11.25">
      <c r="A72" s="0" t="s">
        <v>4744</v>
      </c>
    </row>
    <row customHeight="1" ht="11.25">
      <c r="A73" s="0" t="s">
        <v>4745</v>
      </c>
    </row>
    <row customHeight="1" ht="11.25">
      <c r="A74" s="0" t="s">
        <v>3478</v>
      </c>
    </row>
    <row customHeight="1" ht="11.25">
      <c r="A75" s="0" t="s">
        <v>4746</v>
      </c>
    </row>
    <row customHeight="1" ht="11.25">
      <c r="A76" s="0" t="s">
        <v>4747</v>
      </c>
    </row>
    <row customHeight="1" ht="11.25">
      <c r="A77" s="0" t="s">
        <v>4748</v>
      </c>
    </row>
    <row customHeight="1" ht="11.25">
      <c r="A78" s="0" t="s">
        <v>4749</v>
      </c>
    </row>
    <row customHeight="1" ht="11.25">
      <c r="A79" s="0" t="s">
        <v>4750</v>
      </c>
    </row>
    <row customHeight="1" ht="11.25">
      <c r="A80" s="0" t="s">
        <v>4751</v>
      </c>
    </row>
    <row customHeight="1" ht="11.25">
      <c r="A81" s="0" t="s">
        <v>4752</v>
      </c>
    </row>
    <row customHeight="1" ht="11.25">
      <c r="A82" s="0" t="s">
        <v>4753</v>
      </c>
    </row>
    <row customHeight="1" ht="11.25">
      <c r="A83" s="0" t="s">
        <v>4754</v>
      </c>
    </row>
    <row customHeight="1" ht="11.25">
      <c r="A84" s="0" t="s">
        <v>4755</v>
      </c>
    </row>
    <row customHeight="1" ht="11.25">
      <c r="A85" s="0" t="s">
        <v>4671</v>
      </c>
    </row>
    <row customHeight="1" ht="11.25">
      <c r="A86" s="0" t="s">
        <v>3872</v>
      </c>
    </row>
    <row customHeight="1" ht="11.25">
      <c r="A87" s="0" t="s">
        <v>4756</v>
      </c>
    </row>
    <row customHeight="1" ht="11.25">
      <c r="A88" s="0" t="s">
        <v>4058</v>
      </c>
    </row>
    <row customHeight="1" ht="11.25">
      <c r="A89" s="0" t="s">
        <v>4757</v>
      </c>
    </row>
    <row customHeight="1" ht="11.25">
      <c r="A90" s="0" t="s">
        <v>4070</v>
      </c>
    </row>
    <row customHeight="1" ht="11.25">
      <c r="A91" s="0" t="s">
        <v>4758</v>
      </c>
    </row>
    <row customHeight="1" ht="11.25">
      <c r="A92" s="0" t="s">
        <v>4759</v>
      </c>
    </row>
    <row customHeight="1" ht="11.25">
      <c r="A93" s="0" t="s">
        <v>3917</v>
      </c>
    </row>
    <row customHeight="1" ht="11.25">
      <c r="A94" s="0" t="s">
        <v>4760</v>
      </c>
    </row>
    <row customHeight="1" ht="11.25">
      <c r="A95" s="0" t="s">
        <v>4761</v>
      </c>
    </row>
    <row customHeight="1" ht="11.25">
      <c r="A96" s="0" t="s">
        <v>4762</v>
      </c>
    </row>
    <row customHeight="1" ht="11.25">
      <c r="A97" s="0" t="s">
        <v>4763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3BFBA-6388-6BDD-9BD8-18A57DD1C9EF}"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4764</v>
      </c>
    </row>
    <row customHeight="1" ht="15">
      <c r="A2" s="0" t="s">
        <v>4765</v>
      </c>
    </row>
    <row customHeight="1" ht="15">
      <c r="A3" s="0" t="s">
        <v>4766</v>
      </c>
    </row>
    <row customHeight="1" ht="15">
      <c r="A4" s="0" t="s">
        <v>4767</v>
      </c>
    </row>
    <row customHeight="1" ht="15">
      <c r="A5" s="0" t="s">
        <v>4768</v>
      </c>
    </row>
    <row customHeight="1" ht="15">
      <c r="A6" s="0" t="s">
        <v>4769</v>
      </c>
    </row>
    <row customHeight="1" ht="15">
      <c r="A7" s="0" t="s">
        <v>4770</v>
      </c>
    </row>
    <row customHeight="1" ht="15">
      <c r="A8" s="0" t="s">
        <v>4771</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FA118-AAFE-0956-85D8-3AC29C63CD4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4772</v>
      </c>
    </row>
    <row customHeight="1" ht="15">
      <c r="A2" s="0" t="s">
        <v>341</v>
      </c>
    </row>
    <row customHeight="1" ht="15">
      <c r="A3" s="0" t="s">
        <v>4773</v>
      </c>
    </row>
    <row customHeight="1" ht="15">
      <c r="A4" s="0" t="s">
        <v>4774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4BAAD-68C5-3FD8-F763-DC4C88BEA70A}"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2" width="3.57421875" hidden="1" customWidth="1"/>
    <col min="2" max="2" style="1462" width="8.57421875" hidden="1" customWidth="1"/>
    <col min="3" max="4" style="1462" width="3.57421875" hidden="1" customWidth="1"/>
    <col min="5" max="5" style="344" width="8.421875" hidden="1" customWidth="1"/>
    <col min="6" max="6" style="1462" width="6.421875" hidden="1" customWidth="1"/>
    <col min="7" max="19" style="1462" width="3.57421875" hidden="1" customWidth="1"/>
    <col min="20" max="20" style="1582" width="3.57421875" hidden="1" customWidth="1"/>
    <col min="21" max="21" style="1462" width="7.421875" hidden="1" customWidth="1"/>
    <col min="22" max="23" style="1462" width="6.00390625" hidden="1" customWidth="1"/>
    <col min="24" max="24" style="1462" width="8.00390625" hidden="1" customWidth="1"/>
    <col min="25" max="25" style="1462" width="5.421875" hidden="1" customWidth="1"/>
    <col min="26" max="26" style="1462" width="5.00390625" hidden="1" customWidth="1"/>
    <col min="27" max="27" style="918" width="3.00390625" customWidth="1"/>
    <col min="28" max="28" style="194" width="5.6328125" customWidth="1"/>
    <col min="29" max="30" style="194" width="28.1328125" customWidth="1"/>
    <col min="31" max="31" style="200" width="14.75390625" customWidth="1"/>
    <col min="32" max="32" style="200" width="22.00390625" customWidth="1"/>
    <col min="33" max="33" style="194" width="31.50390625" customWidth="1"/>
    <col min="34" max="34" style="194" width="3.00390625" customWidth="1"/>
    <col min="35" max="35" style="194" width="9.140625" hidden="1"/>
    <col min="36" max="36" style="1197" width="6.7109375" hidden="1" customWidth="1"/>
    <col min="37" max="40" style="373" width="6.7109375" hidden="1" customWidth="1"/>
    <col min="41" max="42" style="882" width="6.7109375" hidden="1" customWidth="1"/>
  </cols>
  <sheetData>
    <row s="1443" customFormat="1" customHeight="1" ht="12" hidden="1">
      <c r="A1" s="175"/>
      <c r="B1" s="175"/>
      <c r="C1" s="175"/>
      <c r="D1" s="175"/>
      <c r="E1" s="175"/>
      <c r="F1" s="819" t="s">
        <v>83</v>
      </c>
      <c r="G1" s="175"/>
      <c r="H1" s="175"/>
      <c r="I1" s="175"/>
      <c r="J1" s="175"/>
      <c r="K1" s="175"/>
      <c r="L1" s="175"/>
      <c r="M1" s="175"/>
      <c r="N1" s="175"/>
      <c r="O1" s="175"/>
      <c r="P1" s="175"/>
      <c r="Q1" s="175"/>
      <c r="R1" s="175"/>
      <c r="S1" s="175"/>
      <c r="T1" s="175"/>
      <c r="U1" s="808" t="s">
        <v>86</v>
      </c>
      <c r="V1" s="808" t="s">
        <v>91</v>
      </c>
      <c r="W1" s="808" t="s">
        <v>87</v>
      </c>
      <c r="X1" s="808" t="s">
        <v>88</v>
      </c>
      <c r="Y1" s="808" t="s">
        <v>89</v>
      </c>
      <c r="Z1" s="808" t="s">
        <v>93</v>
      </c>
      <c r="AA1" s="819" t="s">
        <v>90</v>
      </c>
      <c r="AB1" s="819" t="s">
        <v>372</v>
      </c>
      <c r="AC1" s="819" t="s">
        <v>92</v>
      </c>
      <c r="AJ1" s="1197" t="s">
        <v>373</v>
      </c>
      <c r="AK1" s="403" t="s">
        <v>374</v>
      </c>
      <c r="AL1" s="403" t="s">
        <v>375</v>
      </c>
      <c r="AM1" s="403" t="s">
        <v>376</v>
      </c>
      <c r="AN1" s="403" t="s">
        <v>377</v>
      </c>
      <c r="AO1" s="1201" t="s">
        <v>378</v>
      </c>
      <c r="AP1" s="1201" t="s">
        <v>379</v>
      </c>
    </row>
    <row s="792" customFormat="1" customHeight="1" ht="12" hidden="1">
      <c r="A2" s="171"/>
      <c r="B2" s="809" t="s">
        <v>15</v>
      </c>
      <c r="C2" s="171"/>
      <c r="D2" s="171"/>
      <c r="E2" s="171"/>
      <c r="F2" s="171"/>
      <c r="G2" s="171"/>
      <c r="H2" s="171"/>
      <c r="I2" s="171"/>
      <c r="J2" s="171"/>
      <c r="K2" s="171"/>
      <c r="L2" s="171"/>
      <c r="M2" s="171"/>
      <c r="N2" s="171"/>
      <c r="O2" s="171"/>
      <c r="P2" s="171"/>
      <c r="Q2" s="171"/>
      <c r="R2" s="171"/>
      <c r="S2" s="171"/>
      <c r="T2" s="175"/>
      <c r="U2" s="171"/>
      <c r="V2" s="171"/>
      <c r="W2" s="171"/>
      <c r="X2" s="171"/>
      <c r="Y2" s="171"/>
      <c r="Z2" s="171"/>
      <c r="AJ2" s="1196"/>
      <c r="AK2" s="1202"/>
      <c r="AL2" s="1202"/>
      <c r="AM2" s="1202"/>
      <c r="AN2" s="1202"/>
      <c r="AO2" s="1203"/>
      <c r="AP2" s="1203"/>
    </row>
    <row s="960" customFormat="1" customHeight="1" ht="12" hidden="1">
      <c r="A3" s="171"/>
      <c r="B3" s="171"/>
      <c r="C3" s="175"/>
      <c r="D3" s="171"/>
      <c r="E3" s="171"/>
      <c r="F3" s="171"/>
      <c r="G3" s="171"/>
      <c r="H3" s="171"/>
      <c r="I3" s="171"/>
      <c r="J3" s="171"/>
      <c r="K3" s="171"/>
      <c r="L3" s="171"/>
      <c r="M3" s="171"/>
      <c r="N3" s="171"/>
      <c r="O3" s="171"/>
      <c r="P3" s="171"/>
      <c r="Q3" s="171"/>
      <c r="R3" s="171"/>
      <c r="S3" s="171"/>
      <c r="T3" s="175"/>
      <c r="U3" s="171"/>
      <c r="V3" s="171"/>
      <c r="W3" s="171"/>
      <c r="X3" s="171"/>
      <c r="Y3" s="171"/>
      <c r="Z3" s="171"/>
      <c r="AJ3" s="1197"/>
      <c r="AK3" s="373"/>
      <c r="AL3" s="373"/>
      <c r="AM3" s="373"/>
      <c r="AN3" s="373"/>
      <c r="AO3" s="343"/>
      <c r="AP3" s="343"/>
    </row>
    <row s="960" customFormat="1" customHeight="1" ht="12" hidden="1">
      <c r="A4" s="171"/>
      <c r="B4" s="171"/>
      <c r="C4" s="171"/>
      <c r="D4" s="171"/>
      <c r="E4" s="171"/>
      <c r="F4" s="171"/>
      <c r="G4" s="171"/>
      <c r="H4" s="171"/>
      <c r="I4" s="171"/>
      <c r="J4" s="171"/>
      <c r="K4" s="171"/>
      <c r="L4" s="171"/>
      <c r="M4" s="171"/>
      <c r="N4" s="171"/>
      <c r="O4" s="171"/>
      <c r="P4" s="171"/>
      <c r="Q4" s="171"/>
      <c r="R4" s="171"/>
      <c r="S4" s="171"/>
      <c r="T4" s="175"/>
      <c r="U4" s="171"/>
      <c r="V4" s="171"/>
      <c r="W4" s="171"/>
      <c r="X4" s="171"/>
      <c r="Y4" s="171"/>
      <c r="Z4" s="171"/>
      <c r="AJ4" s="1197"/>
      <c r="AK4" s="373"/>
      <c r="AL4" s="373"/>
      <c r="AM4" s="373"/>
      <c r="AN4" s="373"/>
      <c r="AO4" s="343"/>
      <c r="AP4" s="343"/>
    </row>
    <row s="803" customFormat="1" customHeight="1" ht="12" hidden="1">
      <c r="A5" s="171"/>
      <c r="B5" s="171"/>
      <c r="C5" s="171"/>
      <c r="D5" s="171"/>
      <c r="E5" s="344" t="s">
        <v>16</v>
      </c>
      <c r="F5" s="344"/>
      <c r="G5" s="344"/>
      <c r="H5" s="344"/>
      <c r="I5" s="344"/>
      <c r="J5" s="344"/>
      <c r="K5" s="344"/>
      <c r="L5" s="344"/>
      <c r="M5" s="344"/>
      <c r="N5" s="344"/>
      <c r="O5" s="344"/>
      <c r="P5" s="344"/>
      <c r="Q5" s="344"/>
      <c r="R5" s="344"/>
      <c r="S5" s="344"/>
      <c r="T5" s="807"/>
      <c r="U5" s="344"/>
      <c r="V5" s="344"/>
      <c r="W5" s="344"/>
      <c r="X5" s="344"/>
      <c r="Y5" s="344"/>
      <c r="Z5" s="344"/>
      <c r="AA5" s="803">
        <v>3</v>
      </c>
      <c r="AB5" s="803">
        <v>5.63</v>
      </c>
      <c r="AC5" s="803">
        <v>28.13</v>
      </c>
      <c r="AD5" s="803">
        <v>28.13</v>
      </c>
      <c r="AE5" s="803">
        <v>14.75</v>
      </c>
      <c r="AF5" s="803">
        <v>22</v>
      </c>
      <c r="AG5" s="803">
        <v>31.5</v>
      </c>
      <c r="AH5" s="803">
        <v>3</v>
      </c>
      <c r="AJ5" s="1196"/>
      <c r="AK5" s="1203"/>
      <c r="AL5" s="1203"/>
      <c r="AM5" s="1203"/>
      <c r="AN5" s="1203"/>
      <c r="AO5" s="1203"/>
      <c r="AP5" s="1203"/>
    </row>
    <row s="960" customFormat="1" customHeight="1" ht="12" hidden="1">
      <c r="A6" s="171"/>
      <c r="B6" s="171"/>
      <c r="C6" s="171"/>
      <c r="D6" s="171"/>
      <c r="E6" s="344"/>
      <c r="F6" s="171"/>
      <c r="G6" s="171"/>
      <c r="H6" s="171"/>
      <c r="I6" s="171"/>
      <c r="J6" s="171"/>
      <c r="K6" s="171"/>
      <c r="L6" s="171"/>
      <c r="M6" s="171"/>
      <c r="N6" s="171"/>
      <c r="O6" s="171"/>
      <c r="P6" s="171"/>
      <c r="Q6" s="171"/>
      <c r="R6" s="171"/>
      <c r="S6" s="171"/>
      <c r="T6" s="175"/>
      <c r="U6" s="171"/>
      <c r="V6" s="171"/>
      <c r="W6" s="171"/>
      <c r="X6" s="171"/>
      <c r="Y6" s="171"/>
      <c r="Z6" s="171"/>
      <c r="AC6" s="374" t="s">
        <v>380</v>
      </c>
      <c r="AD6" s="374" t="s">
        <v>381</v>
      </c>
      <c r="AE6" s="374" t="s">
        <v>382</v>
      </c>
      <c r="AJ6" s="1197"/>
      <c r="AK6" s="373"/>
      <c r="AL6" s="373"/>
      <c r="AM6" s="373"/>
      <c r="AN6" s="373"/>
      <c r="AO6" s="343"/>
      <c r="AP6" s="343"/>
    </row>
    <row s="918" customFormat="1" customHeight="1" ht="12" hidden="1">
      <c r="A7" s="171"/>
      <c r="B7" s="171"/>
      <c r="C7" s="171"/>
      <c r="D7" s="171"/>
      <c r="E7" s="344"/>
      <c r="F7" s="215"/>
      <c r="G7" s="215"/>
      <c r="H7" s="215"/>
      <c r="I7" s="215"/>
      <c r="J7" s="215"/>
      <c r="K7" s="215"/>
      <c r="L7" s="215"/>
      <c r="M7" s="215"/>
      <c r="N7" s="215"/>
      <c r="O7" s="215"/>
      <c r="P7" s="215"/>
      <c r="Q7" s="215"/>
      <c r="R7" s="215"/>
      <c r="S7" s="215"/>
      <c r="T7" s="213"/>
      <c r="U7" s="215"/>
      <c r="V7" s="215"/>
      <c r="W7" s="215"/>
      <c r="X7" s="215"/>
      <c r="Y7" s="215"/>
      <c r="Z7" s="215"/>
      <c r="AJ7" s="1197"/>
      <c r="AK7" s="373"/>
      <c r="AL7" s="373"/>
      <c r="AM7" s="373"/>
      <c r="AN7" s="373"/>
      <c r="AO7" s="343"/>
      <c r="AP7" s="343"/>
    </row>
    <row s="918" customFormat="1" customHeight="1" ht="12" hidden="1">
      <c r="A8" s="171"/>
      <c r="B8" s="171"/>
      <c r="C8" s="171"/>
      <c r="D8" s="171"/>
      <c r="E8" s="344"/>
      <c r="F8" s="215"/>
      <c r="G8" s="215"/>
      <c r="H8" s="215"/>
      <c r="I8" s="215"/>
      <c r="J8" s="215"/>
      <c r="K8" s="215"/>
      <c r="L8" s="215"/>
      <c r="M8" s="215"/>
      <c r="N8" s="215"/>
      <c r="O8" s="215"/>
      <c r="P8" s="215"/>
      <c r="Q8" s="215"/>
      <c r="R8" s="215"/>
      <c r="S8" s="215"/>
      <c r="T8" s="213"/>
      <c r="U8" s="215"/>
      <c r="V8" s="215"/>
      <c r="W8" s="215"/>
      <c r="X8" s="215"/>
      <c r="Y8" s="215"/>
      <c r="Z8" s="215"/>
      <c r="AJ8" s="1197"/>
      <c r="AK8" s="373"/>
      <c r="AL8" s="373"/>
      <c r="AM8" s="373"/>
      <c r="AN8" s="373"/>
      <c r="AO8" s="343"/>
      <c r="AP8" s="343"/>
    </row>
    <row s="1150" customFormat="1" customHeight="1" ht="12" hidden="1">
      <c r="A9" s="1148" t="s">
        <v>383</v>
      </c>
      <c r="B9" s="1149"/>
      <c r="C9" s="1149"/>
      <c r="D9" s="1149"/>
      <c r="E9" s="1149"/>
      <c r="F9" s="1149"/>
      <c r="G9" s="1149"/>
      <c r="H9" s="1149"/>
      <c r="I9" s="1149"/>
      <c r="J9" s="1149"/>
      <c r="K9" s="1149"/>
      <c r="L9" s="1149"/>
      <c r="M9" s="1149"/>
      <c r="N9" s="1149"/>
      <c r="O9" s="1149"/>
      <c r="P9" s="1149"/>
      <c r="Q9" s="1149"/>
      <c r="R9" s="1149"/>
      <c r="S9" s="1149"/>
      <c r="T9" s="1149"/>
      <c r="U9" s="1149"/>
      <c r="V9" s="1149"/>
      <c r="W9" s="1149"/>
      <c r="X9" s="1149"/>
      <c r="Y9" s="1149"/>
      <c r="Z9" s="1149"/>
      <c r="AF9" s="1150" cm="1" t="str">
        <f t="array" ref="AF9:AF9">AF24</f>
        <v>Тип муниципального образования </v>
      </c>
      <c r="AG9" s="1150" cm="1" t="str">
        <f t="array" ref="AG9:AG9">AG24</f>
        <v>Дополнительные сведения</v>
      </c>
      <c r="AJ9" s="1197"/>
      <c r="AK9" s="1197"/>
      <c r="AL9" s="1197"/>
      <c r="AM9" s="1197"/>
      <c r="AN9" s="1197"/>
      <c r="AO9" s="1201"/>
      <c r="AP9" s="1201"/>
    </row>
    <row s="1150" customFormat="1" customHeight="1" ht="12" hidden="1">
      <c r="A10" s="1148" t="s">
        <v>384</v>
      </c>
      <c r="B10" s="1149"/>
      <c r="C10" s="1149"/>
      <c r="D10" s="1149"/>
      <c r="E10" s="1149"/>
      <c r="F10" s="1149"/>
      <c r="G10" s="1149"/>
      <c r="H10" s="1149"/>
      <c r="I10" s="1149"/>
      <c r="J10" s="1149"/>
      <c r="K10" s="1149"/>
      <c r="L10" s="1149"/>
      <c r="M10" s="1149"/>
      <c r="N10" s="1149"/>
      <c r="O10" s="1149"/>
      <c r="P10" s="1149"/>
      <c r="Q10" s="1149"/>
      <c r="R10" s="1149"/>
      <c r="S10" s="1149"/>
      <c r="T10" s="1149"/>
      <c r="U10" s="1149"/>
      <c r="V10" s="1149"/>
      <c r="W10" s="1149"/>
      <c r="X10" s="1149"/>
      <c r="Y10" s="1149"/>
      <c r="Z10" s="1149"/>
      <c r="AC10" s="1150" t="s">
        <v>375</v>
      </c>
      <c r="AD10" s="1150" t="s">
        <v>376</v>
      </c>
      <c r="AE10" s="1150" t="s">
        <v>377</v>
      </c>
      <c r="AJ10" s="1197"/>
      <c r="AK10" s="1197"/>
      <c r="AL10" s="1197"/>
      <c r="AM10" s="1197"/>
      <c r="AN10" s="1197"/>
      <c r="AO10" s="1201"/>
      <c r="AP10" s="1201"/>
    </row>
    <row s="960" customFormat="1" customHeight="1" ht="12" hidden="1">
      <c r="A11" s="171"/>
      <c r="B11" s="171"/>
      <c r="C11" s="171"/>
      <c r="D11" s="171"/>
      <c r="E11" s="344"/>
      <c r="F11" s="171"/>
      <c r="G11" s="171"/>
      <c r="H11" s="171"/>
      <c r="I11" s="171"/>
      <c r="J11" s="171"/>
      <c r="K11" s="171"/>
      <c r="L11" s="171"/>
      <c r="M11" s="171"/>
      <c r="N11" s="171"/>
      <c r="O11" s="171"/>
      <c r="P11" s="171"/>
      <c r="Q11" s="171"/>
      <c r="R11" s="171"/>
      <c r="S11" s="171"/>
      <c r="T11" s="175"/>
      <c r="U11" s="171"/>
      <c r="V11" s="171"/>
      <c r="W11" s="171"/>
      <c r="X11" s="171"/>
      <c r="Y11" s="171"/>
      <c r="Z11" s="171"/>
      <c r="AJ11" s="1197"/>
      <c r="AK11" s="373"/>
      <c r="AL11" s="373"/>
      <c r="AM11" s="373"/>
      <c r="AN11" s="373"/>
      <c r="AO11" s="343"/>
      <c r="AP11" s="343"/>
    </row>
    <row s="960" customFormat="1" customHeight="1" ht="12" hidden="1">
      <c r="A12" s="171"/>
      <c r="B12" s="171"/>
      <c r="C12" s="171"/>
      <c r="D12" s="171"/>
      <c r="E12" s="344"/>
      <c r="F12" s="171"/>
      <c r="G12" s="171"/>
      <c r="H12" s="171"/>
      <c r="I12" s="171"/>
      <c r="J12" s="171"/>
      <c r="K12" s="171"/>
      <c r="L12" s="171"/>
      <c r="M12" s="171"/>
      <c r="N12" s="171"/>
      <c r="O12" s="171"/>
      <c r="P12" s="171"/>
      <c r="Q12" s="171"/>
      <c r="R12" s="171"/>
      <c r="S12" s="171"/>
      <c r="T12" s="175"/>
      <c r="U12" s="171"/>
      <c r="V12" s="171"/>
      <c r="W12" s="171"/>
      <c r="X12" s="171"/>
      <c r="Y12" s="171"/>
      <c r="Z12" s="171"/>
      <c r="AJ12" s="1197"/>
      <c r="AK12" s="373"/>
      <c r="AL12" s="373"/>
      <c r="AM12" s="373"/>
      <c r="AN12" s="373"/>
      <c r="AO12" s="343"/>
      <c r="AP12" s="343"/>
    </row>
    <row s="960" customFormat="1" customHeight="1" ht="12" hidden="1">
      <c r="A13" s="171"/>
      <c r="B13" s="171"/>
      <c r="C13" s="171"/>
      <c r="D13" s="171"/>
      <c r="E13" s="344"/>
      <c r="F13" s="171"/>
      <c r="G13" s="171"/>
      <c r="H13" s="171"/>
      <c r="I13" s="171"/>
      <c r="J13" s="171"/>
      <c r="K13" s="171"/>
      <c r="L13" s="171"/>
      <c r="M13" s="171"/>
      <c r="N13" s="171"/>
      <c r="O13" s="171"/>
      <c r="P13" s="171"/>
      <c r="Q13" s="171"/>
      <c r="R13" s="171"/>
      <c r="S13" s="171"/>
      <c r="T13" s="175"/>
      <c r="U13" s="171"/>
      <c r="V13" s="171"/>
      <c r="W13" s="171"/>
      <c r="X13" s="171"/>
      <c r="Y13" s="171"/>
      <c r="Z13" s="171"/>
      <c r="AJ13" s="1197"/>
      <c r="AK13" s="373"/>
      <c r="AL13" s="373"/>
      <c r="AM13" s="373"/>
      <c r="AN13" s="373"/>
      <c r="AO13" s="343"/>
      <c r="AP13" s="343"/>
    </row>
    <row s="960" customFormat="1" customHeight="1" ht="12" hidden="1">
      <c r="A14" s="171"/>
      <c r="B14" s="171"/>
      <c r="C14" s="171"/>
      <c r="D14" s="171"/>
      <c r="E14" s="344"/>
      <c r="F14" s="171"/>
      <c r="G14" s="171"/>
      <c r="H14" s="171"/>
      <c r="I14" s="171"/>
      <c r="J14" s="171"/>
      <c r="K14" s="171"/>
      <c r="L14" s="171"/>
      <c r="M14" s="171"/>
      <c r="N14" s="171"/>
      <c r="O14" s="171"/>
      <c r="P14" s="171"/>
      <c r="Q14" s="171"/>
      <c r="R14" s="171"/>
      <c r="S14" s="171"/>
      <c r="T14" s="175"/>
      <c r="U14" s="171"/>
      <c r="V14" s="171"/>
      <c r="W14" s="171"/>
      <c r="X14" s="171"/>
      <c r="Y14" s="171"/>
      <c r="Z14" s="171"/>
      <c r="AJ14" s="1197"/>
      <c r="AK14" s="373"/>
      <c r="AL14" s="373"/>
      <c r="AM14" s="373"/>
      <c r="AN14" s="373"/>
      <c r="AO14" s="343"/>
      <c r="AP14" s="343"/>
    </row>
    <row s="960" customFormat="1" customHeight="1" ht="12" hidden="1">
      <c r="A15" s="171"/>
      <c r="B15" s="171"/>
      <c r="C15" s="171"/>
      <c r="D15" s="171"/>
      <c r="E15" s="344"/>
      <c r="F15" s="171"/>
      <c r="G15" s="171"/>
      <c r="H15" s="171"/>
      <c r="I15" s="171"/>
      <c r="J15" s="171"/>
      <c r="K15" s="171"/>
      <c r="L15" s="171"/>
      <c r="M15" s="171"/>
      <c r="N15" s="171"/>
      <c r="O15" s="171"/>
      <c r="P15" s="171"/>
      <c r="Q15" s="171"/>
      <c r="R15" s="171"/>
      <c r="S15" s="171"/>
      <c r="T15" s="175"/>
      <c r="U15" s="171"/>
      <c r="V15" s="171"/>
      <c r="W15" s="171"/>
      <c r="X15" s="171"/>
      <c r="Y15" s="171"/>
      <c r="Z15" s="171"/>
      <c r="AJ15" s="1197"/>
      <c r="AK15" s="373"/>
      <c r="AL15" s="373"/>
      <c r="AM15" s="373"/>
      <c r="AN15" s="373"/>
      <c r="AO15" s="343"/>
      <c r="AP15" s="343"/>
    </row>
    <row s="960" customFormat="1" customHeight="1" ht="12" hidden="1">
      <c r="A16" s="171"/>
      <c r="B16" s="171"/>
      <c r="C16" s="171"/>
      <c r="D16" s="171"/>
      <c r="E16" s="344"/>
      <c r="F16" s="171"/>
      <c r="G16" s="171"/>
      <c r="H16" s="171"/>
      <c r="I16" s="171"/>
      <c r="J16" s="171"/>
      <c r="K16" s="171"/>
      <c r="L16" s="171"/>
      <c r="M16" s="171"/>
      <c r="N16" s="171"/>
      <c r="O16" s="171"/>
      <c r="P16" s="171"/>
      <c r="Q16" s="171"/>
      <c r="R16" s="171"/>
      <c r="S16" s="171"/>
      <c r="T16" s="175"/>
      <c r="U16" s="171"/>
      <c r="V16" s="171"/>
      <c r="W16" s="171"/>
      <c r="X16" s="171"/>
      <c r="Y16" s="171"/>
      <c r="Z16" s="171"/>
      <c r="AJ16" s="1197"/>
      <c r="AK16" s="373"/>
      <c r="AL16" s="373"/>
      <c r="AM16" s="373"/>
      <c r="AN16" s="373"/>
      <c r="AO16" s="343"/>
      <c r="AP16" s="343"/>
    </row>
    <row s="960" customFormat="1" customHeight="1" ht="12" hidden="1">
      <c r="A17" s="171"/>
      <c r="B17" s="171"/>
      <c r="C17" s="171"/>
      <c r="D17" s="171"/>
      <c r="E17" s="344"/>
      <c r="F17" s="171"/>
      <c r="G17" s="171"/>
      <c r="H17" s="171"/>
      <c r="I17" s="171"/>
      <c r="J17" s="171"/>
      <c r="K17" s="171"/>
      <c r="L17" s="171"/>
      <c r="M17" s="171"/>
      <c r="N17" s="171"/>
      <c r="O17" s="171"/>
      <c r="P17" s="171"/>
      <c r="Q17" s="171"/>
      <c r="R17" s="171"/>
      <c r="S17" s="171"/>
      <c r="T17" s="175"/>
      <c r="U17" s="171"/>
      <c r="V17" s="171"/>
      <c r="W17" s="171"/>
      <c r="X17" s="171"/>
      <c r="Y17" s="171"/>
      <c r="Z17" s="171"/>
      <c r="AJ17" s="1197"/>
      <c r="AK17" s="373"/>
      <c r="AL17" s="373"/>
      <c r="AM17" s="373"/>
      <c r="AN17" s="373"/>
      <c r="AO17" s="343"/>
      <c r="AP17" s="343"/>
    </row>
    <row s="960" customFormat="1" customHeight="1" ht="12" hidden="1">
      <c r="A18" s="171"/>
      <c r="B18" s="171"/>
      <c r="C18" s="171"/>
      <c r="D18" s="171"/>
      <c r="E18" s="344"/>
      <c r="F18" s="171"/>
      <c r="G18" s="171"/>
      <c r="H18" s="171"/>
      <c r="I18" s="171"/>
      <c r="J18" s="171"/>
      <c r="K18" s="171"/>
      <c r="L18" s="171"/>
      <c r="M18" s="171"/>
      <c r="N18" s="171"/>
      <c r="O18" s="171"/>
      <c r="P18" s="171"/>
      <c r="Q18" s="171"/>
      <c r="R18" s="171"/>
      <c r="S18" s="171"/>
      <c r="T18" s="175"/>
      <c r="U18" s="171"/>
      <c r="V18" s="171"/>
      <c r="W18" s="171"/>
      <c r="X18" s="171"/>
      <c r="Y18" s="171"/>
      <c r="Z18" s="171"/>
      <c r="AJ18" s="1197"/>
      <c r="AK18" s="373"/>
      <c r="AL18" s="373"/>
      <c r="AM18" s="373"/>
      <c r="AN18" s="373"/>
      <c r="AO18" s="343"/>
      <c r="AP18" s="343"/>
    </row>
    <row s="960" customFormat="1" customHeight="1" ht="12" hidden="1">
      <c r="A19" s="171"/>
      <c r="B19" s="171"/>
      <c r="C19" s="171"/>
      <c r="D19" s="171"/>
      <c r="E19" s="344"/>
      <c r="F19" s="171"/>
      <c r="G19" s="171"/>
      <c r="H19" s="171"/>
      <c r="I19" s="171"/>
      <c r="J19" s="171"/>
      <c r="K19" s="171"/>
      <c r="L19" s="171"/>
      <c r="M19" s="171"/>
      <c r="N19" s="171"/>
      <c r="O19" s="171"/>
      <c r="P19" s="171"/>
      <c r="Q19" s="171"/>
      <c r="R19" s="171"/>
      <c r="S19" s="171"/>
      <c r="T19" s="175"/>
      <c r="U19" s="171"/>
      <c r="V19" s="171"/>
      <c r="W19" s="171"/>
      <c r="X19" s="171"/>
      <c r="Y19" s="171"/>
      <c r="Z19" s="171"/>
      <c r="AJ19" s="1197"/>
      <c r="AK19" s="373"/>
      <c r="AL19" s="373"/>
      <c r="AM19" s="373"/>
      <c r="AN19" s="373"/>
      <c r="AO19" s="343"/>
      <c r="AP19" s="343"/>
    </row>
    <row s="960" customFormat="1" customHeight="1" ht="12" hidden="1">
      <c r="A20" s="171"/>
      <c r="B20" s="171"/>
      <c r="C20" s="171"/>
      <c r="D20" s="171"/>
      <c r="E20" s="344"/>
      <c r="F20" s="171"/>
      <c r="G20" s="171"/>
      <c r="H20" s="171"/>
      <c r="I20" s="171"/>
      <c r="J20" s="171"/>
      <c r="K20" s="171"/>
      <c r="L20" s="171"/>
      <c r="M20" s="171"/>
      <c r="N20" s="171"/>
      <c r="O20" s="171"/>
      <c r="P20" s="171"/>
      <c r="Q20" s="171"/>
      <c r="R20" s="171"/>
      <c r="S20" s="171"/>
      <c r="T20" s="175"/>
      <c r="U20" s="171"/>
      <c r="V20" s="171"/>
      <c r="W20" s="171"/>
      <c r="X20" s="171"/>
      <c r="Y20" s="171"/>
      <c r="Z20" s="171"/>
      <c r="AJ20" s="1197"/>
      <c r="AK20" s="373"/>
      <c r="AL20" s="373"/>
      <c r="AM20" s="373"/>
      <c r="AN20" s="373"/>
      <c r="AO20" s="343"/>
      <c r="AP20" s="343"/>
    </row>
    <row s="918" customFormat="1" customHeight="1" ht="14.625">
      <c r="A21" s="171"/>
      <c r="B21" s="171"/>
      <c r="C21" s="171"/>
      <c r="D21" s="171"/>
      <c r="E21" s="344">
        <v>15</v>
      </c>
      <c r="F21" s="171"/>
      <c r="G21" s="171"/>
      <c r="H21" s="171"/>
      <c r="I21" s="171"/>
      <c r="J21" s="171"/>
      <c r="K21" s="171"/>
      <c r="L21" s="171"/>
      <c r="M21" s="171"/>
      <c r="N21" s="171"/>
      <c r="O21" s="171"/>
      <c r="P21" s="171"/>
      <c r="Q21" s="171"/>
      <c r="R21" s="171"/>
      <c r="S21" s="171"/>
      <c r="T21" s="175"/>
      <c r="U21" s="175"/>
      <c r="V21" s="175"/>
      <c r="W21" s="175"/>
      <c r="X21" s="175"/>
      <c r="Y21" s="175"/>
      <c r="Z21" s="175"/>
      <c r="AA21" s="820"/>
      <c r="AB21" s="944"/>
      <c r="AC21" s="415" cm="1" t="str">
        <f t="array" ref="AC21:AC21">tpl_title</f>
        <v>Кемеровская область / 2026 / ООО "ВЕЛЕС" (ИНН:4212036655, КПП:421201001) / ДПР: 2016-2025</v>
      </c>
      <c r="AD21" s="944"/>
      <c r="AE21" s="944"/>
      <c r="AF21" s="944"/>
      <c r="AJ21" s="1197"/>
      <c r="AK21" s="373"/>
      <c r="AL21" s="373"/>
      <c r="AM21" s="373"/>
      <c r="AN21" s="373"/>
      <c r="AO21" s="343"/>
      <c r="AP21" s="343"/>
    </row>
    <row customHeight="1" ht="29.25">
      <c r="E22" s="344">
        <v>30</v>
      </c>
      <c r="S22" s="175"/>
      <c r="U22" s="175"/>
      <c r="V22" s="175"/>
      <c r="W22" s="175"/>
      <c r="X22" s="175"/>
      <c r="Y22" s="175"/>
      <c r="Z22" s="175"/>
      <c r="AA22" s="820"/>
      <c r="AB22" s="1459" t="s">
        <v>385</v>
      </c>
      <c r="AC22" s="1460"/>
      <c r="AD22" s="1460"/>
      <c r="AE22" s="1460"/>
      <c r="AF22" s="1460"/>
      <c r="AG22" s="1460"/>
    </row>
    <row customHeight="1" ht="11.115">
      <c r="E23" s="344">
        <v>11.4</v>
      </c>
      <c r="U23" s="177"/>
      <c r="V23" s="177"/>
      <c r="W23" s="177"/>
      <c r="X23" s="177"/>
      <c r="Y23" s="177"/>
      <c r="Z23" s="177"/>
      <c r="AA23" s="915"/>
      <c r="AB23" s="195"/>
      <c r="AC23" s="195"/>
      <c r="AD23" s="195"/>
      <c r="AE23" s="196"/>
      <c r="AF23" s="196"/>
      <c r="AG23" s="196"/>
    </row>
    <row customHeight="1" ht="27.787500000000005">
      <c r="E24" s="344">
        <v>28.5</v>
      </c>
      <c r="U24" s="177"/>
      <c r="V24" s="177"/>
      <c r="W24" s="177"/>
      <c r="X24" s="177"/>
      <c r="Y24" s="177"/>
      <c r="Z24" s="177"/>
      <c r="AA24" s="915"/>
      <c r="AB24" s="197" t="s">
        <v>386</v>
      </c>
      <c r="AC24" s="198" t="s">
        <v>387</v>
      </c>
      <c r="AD24" s="198" t="s">
        <v>388</v>
      </c>
      <c r="AE24" s="198" t="s">
        <v>389</v>
      </c>
      <c r="AF24" s="421" t="s">
        <v>390</v>
      </c>
      <c r="AG24" s="199" t="s">
        <v>330</v>
      </c>
    </row>
    <row customHeight="1" ht="28.5" hidden="1">
      <c r="E25" s="344">
        <v>0</v>
      </c>
      <c r="U25" s="177"/>
      <c r="V25" s="177"/>
      <c r="W25" s="177"/>
      <c r="X25" s="177"/>
      <c r="Y25" s="177"/>
      <c r="Z25" s="177"/>
      <c r="AA25" s="915"/>
      <c r="AB25" s="717"/>
      <c r="AC25" s="717"/>
      <c r="AD25" s="717"/>
      <c r="AE25" s="717"/>
      <c r="AF25" s="717"/>
      <c r="AG25" s="717"/>
    </row>
    <row customHeight="1" ht="11.115" hidden="1">
      <c r="E26" s="344">
        <v>11.4</v>
      </c>
      <c r="F26" s="175" cm="1" t="str">
        <f t="array" ref="F26:F26">Y26</f>
        <v>0</v>
      </c>
      <c r="U26" s="923">
        <f>Y26&gt;0</f>
        <v>0</v>
      </c>
      <c r="W26" s="171" t="s">
        <v>310</v>
      </c>
      <c r="Y26" s="171">
        <v>0</v>
      </c>
      <c r="AB26" s="260" cm="1" t="str">
        <f t="array" ref="AB26:AB26">INDEX('Общие сведения'!$AG$169:$AG$202,MATCH(Y26,'Общие сведения'!$Z$169:$Z$202,0))</f>
        <v>Тариф 0 (Теплоснабжение) - </v>
      </c>
      <c r="AC26" s="254"/>
      <c r="AD26" s="254"/>
      <c r="AE26" s="254"/>
      <c r="AF26" s="254"/>
      <c r="AG26" s="254"/>
    </row>
    <row customHeight="1" ht="23.400000000000002" hidden="1">
      <c r="E27" s="344">
        <v>24</v>
      </c>
      <c r="F27" s="175" cm="1" t="str">
        <f t="array" ref="F27:F27">OFFSET(G27,-1,-1)</f>
        <v>0</v>
      </c>
      <c r="U27" s="923">
        <f>AND(OFFSET(V27,1,-1),AB27&gt;1)</f>
        <v>0</v>
      </c>
      <c r="X27" s="171" t="s">
        <v>234</v>
      </c>
      <c r="AA27" s="917" t="s">
        <v>218</v>
      </c>
      <c r="AB27" s="810">
        <v>0</v>
      </c>
      <c r="AC27" s="259"/>
      <c r="AD27" s="259"/>
      <c r="AE27" s="259"/>
      <c r="AF27" s="56"/>
      <c r="AG27" s="56"/>
      <c r="AJ27" s="1198" t="s">
        <v>391</v>
      </c>
      <c r="AK27" s="373" t="s">
        <v>392</v>
      </c>
      <c r="AL27" s="196" cm="1" t="str">
        <f t="array" ref="AL27:AL27">AC27</f>
        <v>0</v>
      </c>
      <c r="AM27" s="196" cm="1" t="str">
        <f t="array" ref="AM27:AM27">AD27</f>
        <v>0</v>
      </c>
      <c r="AN27" s="196" cm="1" t="str">
        <f t="array" ref="AN27:AN27">AE27</f>
        <v>0</v>
      </c>
      <c r="AP27" s="343" t="b">
        <v>1</v>
      </c>
    </row>
    <row customHeight="1" ht="11.115" hidden="1">
      <c r="E28" s="344">
        <v>11.4</v>
      </c>
      <c r="F28" s="175" cm="1" t="str">
        <f t="array" ref="F28:F28">OFFSET(G28,-1,-1)</f>
        <v>0</v>
      </c>
      <c r="U28" s="923" cm="1" t="str">
        <f t="array" ref="U28:U28">U26</f>
        <v>false</v>
      </c>
      <c r="X28" s="171" t="s">
        <v>393</v>
      </c>
      <c r="AB28" s="255"/>
      <c r="AC28" s="337" t="s">
        <v>394</v>
      </c>
      <c r="AD28" s="256"/>
      <c r="AE28" s="256"/>
      <c r="AF28" s="256"/>
      <c r="AG28" s="257"/>
      <c r="AO28" s="343" t="s">
        <v>392</v>
      </c>
    </row>
    <row s="1632" customFormat="1" customHeight="1" ht="10.5">
      <c r="A29" s="1462"/>
      <c r="B29" s="1462"/>
      <c r="C29" s="1462"/>
      <c r="D29" s="1462"/>
      <c r="E29" s="344">
        <v>11.4</v>
      </c>
      <c r="F29" s="175" cm="1" t="str">
        <f t="array" ref="F29:F29">Y29</f>
        <v>1</v>
      </c>
      <c r="G29" s="1462"/>
      <c r="H29" s="1462"/>
      <c r="I29" s="1462"/>
      <c r="J29" s="1462"/>
      <c r="K29" s="1462"/>
      <c r="L29" s="1462"/>
      <c r="M29" s="1462"/>
      <c r="N29" s="1462"/>
      <c r="O29" s="1462"/>
      <c r="P29" s="1462"/>
      <c r="Q29" s="1462"/>
      <c r="R29" s="1462"/>
      <c r="S29" s="1462"/>
      <c r="T29" s="1582"/>
      <c r="U29" s="923">
        <f>Y29&gt;0</f>
        <v>1</v>
      </c>
      <c r="V29" s="1462"/>
      <c r="W29" s="171" cm="1" t="str">
        <f t="array" ref="W29:W29">'Общие сведения'!$AG$186</f>
        <v>Тариф 1 (Теплоснабжение) - Тариф на тепловую энергию (мощность), поставляемую потребителям (Не определено)</v>
      </c>
      <c r="X29" s="1462"/>
      <c r="Y29" s="171" t="s">
        <v>336</v>
      </c>
      <c r="Z29" s="1462"/>
      <c r="AA29" s="918"/>
      <c r="AB29" s="260"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4"/>
      <c r="AD29" s="254"/>
      <c r="AE29" s="254"/>
      <c r="AF29" s="254"/>
      <c r="AG29" s="254"/>
      <c r="AH29" s="194"/>
      <c r="AI29" s="194"/>
      <c r="AJ29" s="1197"/>
      <c r="AK29" s="373"/>
      <c r="AL29" s="373"/>
      <c r="AM29" s="373"/>
      <c r="AN29" s="373"/>
      <c r="AO29" s="882"/>
      <c r="AP29" s="882"/>
    </row>
    <row s="1632" customFormat="1" customHeight="1" ht="23.25" hidden="1">
      <c r="E30" s="344">
        <v>24</v>
      </c>
      <c r="F30" s="175" cm="1" t="str">
        <f t="array" ref="F30:F30">OFFSET(G30,-1,-1)</f>
        <v>1</v>
      </c>
      <c r="U30" s="923">
        <f>AND(OFFSET(V30,1,-1),AB30&gt;1)</f>
        <v>0</v>
      </c>
      <c r="X30" s="171" t="s">
        <v>234</v>
      </c>
      <c r="AA30" s="917" t="s">
        <v>218</v>
      </c>
      <c r="AB30" s="810">
        <v>0</v>
      </c>
      <c r="AC30" s="259"/>
      <c r="AD30" s="259"/>
      <c r="AE30" s="259"/>
      <c r="AF30" s="56"/>
      <c r="AG30" s="56"/>
      <c r="AJ30" s="1198" t="s">
        <v>391</v>
      </c>
      <c r="AK30" s="373" t="s">
        <v>392</v>
      </c>
      <c r="AL30" s="196" cm="1" t="str">
        <f t="array" ref="AL30:AL30">AC30</f>
        <v>0</v>
      </c>
      <c r="AM30" s="196" cm="1" t="str">
        <f t="array" ref="AM30:AM30">AD30</f>
        <v>0</v>
      </c>
      <c r="AN30" s="196" cm="1" t="str">
        <f t="array" ref="AN30:AN30">AE30</f>
        <v>0</v>
      </c>
      <c r="AO30" s="343"/>
      <c r="AP30" s="343" t="b">
        <v>1</v>
      </c>
    </row>
    <row s="1632" customFormat="1" customHeight="1" ht="23.25">
      <c r="A31" s="1632"/>
      <c r="B31" s="1632"/>
      <c r="C31" s="1632"/>
      <c r="D31" s="1632"/>
      <c r="E31" s="344">
        <v>24</v>
      </c>
      <c r="F31" s="175" cm="1" t="str">
        <f t="array" ref="F31:F31">OFFSET(G31,-1,-1)</f>
        <v>1</v>
      </c>
      <c r="G31" s="1632"/>
      <c r="H31" s="1632"/>
      <c r="I31" s="1632"/>
      <c r="J31" s="1632"/>
      <c r="K31" s="1632"/>
      <c r="L31" s="1632"/>
      <c r="M31" s="1632"/>
      <c r="N31" s="1632"/>
      <c r="O31" s="1632"/>
      <c r="P31" s="1632"/>
      <c r="Q31" s="1632"/>
      <c r="R31" s="1632"/>
      <c r="S31" s="1632"/>
      <c r="T31" s="1632"/>
      <c r="U31" s="923">
        <f>AND(OFFSET(V31,1,-1),AB31&gt;1)</f>
        <v>1</v>
      </c>
      <c r="V31" s="1632"/>
      <c r="W31" s="1632"/>
      <c r="X31" s="171"/>
      <c r="Y31" s="1632"/>
      <c r="Z31" s="1632"/>
      <c r="AA31" s="917" t="s">
        <v>218</v>
      </c>
      <c r="AB31" s="810" t="s">
        <v>336</v>
      </c>
      <c r="AC31" s="259" t="s">
        <v>395</v>
      </c>
      <c r="AD31" s="259" t="s">
        <v>395</v>
      </c>
      <c r="AE31" s="259" t="s">
        <v>396</v>
      </c>
      <c r="AF31" s="1646"/>
      <c r="AG31" s="1646"/>
      <c r="AH31" s="1632"/>
      <c r="AI31" s="1632"/>
      <c r="AJ31" s="1198" t="s">
        <v>391</v>
      </c>
      <c r="AK31" s="373" t="s">
        <v>392</v>
      </c>
      <c r="AL31" s="196" cm="1" t="str">
        <f t="array" ref="AL31:AL31">AC31</f>
        <v>Ленинск-Кузнецкий муниципальный округ</v>
      </c>
      <c r="AM31" s="196" cm="1" t="str">
        <f t="array" ref="AM31:AM31">AD31</f>
        <v>Ленинск-Кузнецкий муниципальный округ</v>
      </c>
      <c r="AN31" s="196" cm="1" t="str">
        <f t="array" ref="AN31:AN31">AE31</f>
        <v>32513000</v>
      </c>
      <c r="AO31" s="343"/>
      <c r="AP31" s="343" t="b">
        <v>1</v>
      </c>
    </row>
    <row s="1632" customFormat="1" customHeight="1" ht="10.5">
      <c r="A32" s="1462"/>
      <c r="B32" s="1462"/>
      <c r="C32" s="1462"/>
      <c r="D32" s="1462"/>
      <c r="E32" s="344">
        <v>11.4</v>
      </c>
      <c r="F32" s="175" cm="1" t="str">
        <f t="array" ref="F32:F32">OFFSET(G32,-1,-1)</f>
        <v>1</v>
      </c>
      <c r="G32" s="1462"/>
      <c r="H32" s="1462"/>
      <c r="I32" s="1462"/>
      <c r="J32" s="1462"/>
      <c r="K32" s="1462"/>
      <c r="L32" s="1462"/>
      <c r="M32" s="1462"/>
      <c r="N32" s="1462"/>
      <c r="O32" s="1462"/>
      <c r="P32" s="1462"/>
      <c r="Q32" s="1462"/>
      <c r="R32" s="1462"/>
      <c r="S32" s="1462"/>
      <c r="T32" s="1582"/>
      <c r="U32" s="923" cm="1" t="str">
        <f t="array" ref="U32:U32">U29</f>
        <v>true</v>
      </c>
      <c r="V32" s="1462"/>
      <c r="W32" s="1462"/>
      <c r="X32" s="171" t="s">
        <v>393</v>
      </c>
      <c r="Y32" s="1462"/>
      <c r="Z32" s="1462"/>
      <c r="AA32" s="918"/>
      <c r="AB32" s="255"/>
      <c r="AC32" s="337" t="s">
        <v>394</v>
      </c>
      <c r="AD32" s="256"/>
      <c r="AE32" s="256"/>
      <c r="AF32" s="256"/>
      <c r="AG32" s="257"/>
      <c r="AH32" s="194"/>
      <c r="AI32" s="194"/>
      <c r="AJ32" s="1197"/>
      <c r="AK32" s="373"/>
      <c r="AL32" s="373"/>
      <c r="AM32" s="373"/>
      <c r="AN32" s="373"/>
      <c r="AO32" s="343" t="s">
        <v>392</v>
      </c>
      <c r="AP32" s="882"/>
    </row>
    <row customHeight="1" ht="11.115">
      <c r="E33" s="344">
        <v>11.4</v>
      </c>
      <c r="V33" s="175" t="s">
        <v>236</v>
      </c>
      <c r="W33" s="171" t="s">
        <v>397</v>
      </c>
      <c r="AH33" s="972"/>
    </row>
    <row customHeight="1" ht="11.25" hidden="1">
      <c r="V34" s="17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A40F4-C9EC-2F78-0A68-B03AF6C9B628}" mc:Ignorable="x14ac xr xr2 xr3">
  <sheetPr>
    <tabColor theme="3" tint="0.6"/>
    <outlinePr summaryRight="0" summaryBelow="0"/>
    <pageSetUpPr fitToPage="1"/>
  </sheetPr>
  <dimension ref="A1:AS39"/>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0" width="3.57421875" hidden="1" customWidth="1"/>
    <col min="2" max="2" style="792" width="8.57421875" hidden="1" customWidth="1"/>
    <col min="3" max="4" style="960" width="3.57421875" hidden="1" customWidth="1"/>
    <col min="5" max="5" style="803" width="8.421875" hidden="1" customWidth="1"/>
    <col min="6" max="6" style="960" width="6.421875" hidden="1" customWidth="1"/>
    <col min="7" max="18" style="918" width="3.57421875" hidden="1" customWidth="1"/>
    <col min="19" max="20" style="965" width="3.57421875" hidden="1" customWidth="1"/>
    <col min="21" max="21" style="1443" width="8.28125" hidden="1" customWidth="1"/>
    <col min="22" max="22" style="1443" width="6.00390625" hidden="1" customWidth="1"/>
    <col min="23" max="24" style="1443" width="6.28125" hidden="1" customWidth="1"/>
    <col min="25" max="25" style="1443" width="5.7109375" hidden="1" customWidth="1"/>
    <col min="26" max="26" style="1443" width="5.421875" hidden="1" customWidth="1"/>
    <col min="27" max="27" style="918" width="3.00390625" customWidth="1"/>
    <col min="28" max="28" style="194" width="6.1328125" customWidth="1"/>
    <col min="29" max="29" style="194" width="63.75390625" customWidth="1"/>
    <col min="30" max="30" style="194" width="15.1328125" customWidth="1"/>
    <col min="31" max="31" style="194" width="20.1328125" customWidth="1"/>
    <col min="32" max="32" style="200" width="20.1328125" customWidth="1"/>
    <col min="33" max="34" style="194" width="20.1328125" customWidth="1"/>
    <col min="35" max="35" style="194" width="3.00390625" customWidth="1"/>
    <col min="36" max="36" style="194" width="8.7109375" hidden="1"/>
    <col min="37" max="37" style="1171" width="6.7109375" hidden="1" customWidth="1"/>
    <col min="38" max="43" style="1204" width="6.7109375" hidden="1" customWidth="1"/>
    <col min="44" max="45" style="882" width="6.7109375" hidden="1" customWidth="1"/>
  </cols>
  <sheetData>
    <row s="960" customFormat="1" customHeight="1" ht="12" hidden="1">
      <c r="B1" s="792"/>
      <c r="E1" s="792"/>
      <c r="F1" s="819" t="s">
        <v>83</v>
      </c>
      <c r="G1" s="218"/>
      <c r="H1" s="218"/>
      <c r="I1" s="218"/>
      <c r="J1" s="218"/>
      <c r="K1" s="218"/>
      <c r="L1" s="218"/>
      <c r="M1" s="218"/>
      <c r="N1" s="218"/>
      <c r="O1" s="218"/>
      <c r="P1" s="218"/>
      <c r="Q1" s="218"/>
      <c r="R1" s="218"/>
      <c r="S1" s="214"/>
      <c r="T1" s="214"/>
      <c r="U1" s="808" t="s">
        <v>86</v>
      </c>
      <c r="V1" s="808" t="s">
        <v>91</v>
      </c>
      <c r="W1" s="808" t="s">
        <v>87</v>
      </c>
      <c r="X1" s="808" t="s">
        <v>88</v>
      </c>
      <c r="Y1" s="808" t="s">
        <v>89</v>
      </c>
      <c r="Z1" s="808" t="s">
        <v>93</v>
      </c>
      <c r="AA1" s="819" t="s">
        <v>90</v>
      </c>
      <c r="AB1" s="819" t="s">
        <v>372</v>
      </c>
      <c r="AC1" s="819" t="s">
        <v>92</v>
      </c>
      <c r="AK1" s="1158" t="s">
        <v>373</v>
      </c>
      <c r="AL1" s="1204" t="s">
        <v>374</v>
      </c>
      <c r="AM1" s="1204" t="s">
        <v>375</v>
      </c>
      <c r="AN1" s="1204" t="s">
        <v>398</v>
      </c>
      <c r="AO1" s="1204" t="s">
        <v>399</v>
      </c>
      <c r="AP1" s="1204" t="s">
        <v>400</v>
      </c>
      <c r="AQ1" s="1204" t="s">
        <v>401</v>
      </c>
      <c r="AR1" s="343" t="s">
        <v>378</v>
      </c>
      <c r="AS1" s="343" t="s">
        <v>379</v>
      </c>
    </row>
    <row s="792" customFormat="1" customHeight="1" ht="12" hidden="1">
      <c r="B2" s="910" t="s">
        <v>15</v>
      </c>
      <c r="G2" s="966"/>
      <c r="H2" s="966"/>
      <c r="I2" s="966"/>
      <c r="J2" s="966"/>
      <c r="K2" s="966"/>
      <c r="L2" s="966"/>
      <c r="M2" s="966"/>
      <c r="N2" s="966"/>
      <c r="O2" s="966"/>
      <c r="P2" s="966"/>
      <c r="Q2" s="966"/>
      <c r="R2" s="966"/>
      <c r="S2" s="930"/>
      <c r="T2" s="930"/>
      <c r="U2" s="788"/>
      <c r="V2" s="788"/>
      <c r="W2" s="788"/>
      <c r="X2" s="788"/>
      <c r="Y2" s="788"/>
      <c r="Z2" s="788"/>
      <c r="AK2" s="1160"/>
      <c r="AL2" s="1205"/>
      <c r="AM2" s="1205"/>
      <c r="AN2" s="1205"/>
      <c r="AO2" s="1205"/>
      <c r="AP2" s="1205"/>
      <c r="AQ2" s="1205"/>
      <c r="AR2" s="1203"/>
      <c r="AS2" s="1203"/>
    </row>
    <row s="960" customFormat="1" customHeight="1" ht="12" hidden="1">
      <c r="B3" s="792"/>
      <c r="C3" s="179"/>
      <c r="E3" s="792"/>
      <c r="G3" s="218"/>
      <c r="H3" s="218"/>
      <c r="I3" s="218"/>
      <c r="J3" s="218"/>
      <c r="K3" s="218"/>
      <c r="L3" s="218"/>
      <c r="M3" s="218"/>
      <c r="N3" s="218"/>
      <c r="O3" s="218"/>
      <c r="P3" s="218"/>
      <c r="Q3" s="218"/>
      <c r="R3" s="218"/>
      <c r="S3" s="214"/>
      <c r="T3" s="214"/>
      <c r="U3" s="179"/>
      <c r="V3" s="179"/>
      <c r="W3" s="179"/>
      <c r="X3" s="179"/>
      <c r="Y3" s="179"/>
      <c r="Z3" s="179"/>
      <c r="AK3" s="1158"/>
      <c r="AL3" s="1204"/>
      <c r="AM3" s="1204"/>
      <c r="AN3" s="1204"/>
      <c r="AO3" s="1204"/>
      <c r="AP3" s="1204"/>
      <c r="AQ3" s="1204"/>
      <c r="AR3" s="343"/>
      <c r="AS3" s="343"/>
    </row>
    <row s="960" customFormat="1" customHeight="1" ht="12" hidden="1">
      <c r="B4" s="792"/>
      <c r="E4" s="792"/>
      <c r="G4" s="218"/>
      <c r="H4" s="218"/>
      <c r="I4" s="218"/>
      <c r="J4" s="218"/>
      <c r="K4" s="218"/>
      <c r="L4" s="218"/>
      <c r="M4" s="218"/>
      <c r="N4" s="218"/>
      <c r="O4" s="218"/>
      <c r="P4" s="218"/>
      <c r="Q4" s="218"/>
      <c r="R4" s="218"/>
      <c r="S4" s="214"/>
      <c r="T4" s="214"/>
      <c r="U4" s="179"/>
      <c r="V4" s="179"/>
      <c r="W4" s="179"/>
      <c r="X4" s="179"/>
      <c r="Y4" s="179"/>
      <c r="Z4" s="179"/>
      <c r="AK4" s="1158"/>
      <c r="AL4" s="1204"/>
      <c r="AM4" s="1204"/>
      <c r="AN4" s="1204"/>
      <c r="AO4" s="1204"/>
      <c r="AP4" s="1204"/>
      <c r="AQ4" s="1204"/>
      <c r="AR4" s="343"/>
      <c r="AS4" s="343"/>
    </row>
    <row s="803" customFormat="1" customHeight="1" ht="12" hidden="1">
      <c r="A5" s="792"/>
      <c r="B5" s="792"/>
      <c r="C5" s="792"/>
      <c r="D5" s="792"/>
      <c r="E5" s="803" t="s">
        <v>16</v>
      </c>
      <c r="G5" s="967"/>
      <c r="H5" s="967"/>
      <c r="I5" s="967"/>
      <c r="J5" s="967"/>
      <c r="K5" s="967"/>
      <c r="L5" s="967"/>
      <c r="M5" s="967"/>
      <c r="N5" s="967"/>
      <c r="O5" s="967"/>
      <c r="P5" s="967"/>
      <c r="Q5" s="967"/>
      <c r="R5" s="967"/>
      <c r="S5" s="931"/>
      <c r="T5" s="931"/>
      <c r="U5" s="797"/>
      <c r="V5" s="797"/>
      <c r="W5" s="797"/>
      <c r="X5" s="797"/>
      <c r="Y5" s="797"/>
      <c r="Z5" s="797"/>
      <c r="AA5" s="803">
        <v>3</v>
      </c>
      <c r="AB5" s="803">
        <v>6.13</v>
      </c>
      <c r="AC5" s="803">
        <v>63.75</v>
      </c>
      <c r="AD5" s="803">
        <v>15.13</v>
      </c>
      <c r="AE5" s="803">
        <v>20.13</v>
      </c>
      <c r="AF5" s="803">
        <v>20.13</v>
      </c>
      <c r="AG5" s="803">
        <v>20.13</v>
      </c>
      <c r="AH5" s="803">
        <v>20.13</v>
      </c>
      <c r="AI5" s="803">
        <v>3</v>
      </c>
      <c r="AK5" s="1160"/>
      <c r="AL5" s="1205"/>
      <c r="AM5" s="1205"/>
      <c r="AN5" s="1205"/>
      <c r="AO5" s="1205"/>
      <c r="AP5" s="1205"/>
      <c r="AQ5" s="1205"/>
      <c r="AR5" s="1203"/>
      <c r="AS5" s="1203"/>
    </row>
    <row s="960" customFormat="1" customHeight="1" ht="12" hidden="1">
      <c r="B6" s="792"/>
      <c r="E6" s="803"/>
      <c r="G6" s="218"/>
      <c r="H6" s="218"/>
      <c r="I6" s="218"/>
      <c r="J6" s="218"/>
      <c r="K6" s="218"/>
      <c r="L6" s="218"/>
      <c r="M6" s="218"/>
      <c r="N6" s="218"/>
      <c r="O6" s="218"/>
      <c r="P6" s="218"/>
      <c r="Q6" s="218"/>
      <c r="R6" s="218"/>
      <c r="S6" s="214"/>
      <c r="T6" s="214"/>
      <c r="U6" s="179"/>
      <c r="V6" s="179"/>
      <c r="W6" s="179"/>
      <c r="X6" s="179"/>
      <c r="Y6" s="179"/>
      <c r="Z6" s="179"/>
      <c r="AE6" s="374">
        <f>god-2</f>
        <v>2024</v>
      </c>
      <c r="AF6" s="374">
        <f>god-1</f>
        <v>2025</v>
      </c>
      <c r="AG6" s="374" cm="1" t="str">
        <f t="array" ref="AG6:AG6">god</f>
        <v>2026</v>
      </c>
      <c r="AH6" s="374" cm="1" t="str">
        <f t="array" ref="AH6:AH6">god</f>
        <v>2026</v>
      </c>
      <c r="AK6" s="1158"/>
      <c r="AL6" s="1204"/>
      <c r="AM6" s="1204"/>
      <c r="AN6" s="1204"/>
      <c r="AO6" s="1204"/>
      <c r="AP6" s="1204"/>
      <c r="AQ6" s="1204"/>
      <c r="AR6" s="343"/>
      <c r="AS6" s="343"/>
    </row>
    <row s="918" customFormat="1" customHeight="1" ht="12" hidden="1">
      <c r="A7" s="374"/>
      <c r="B7" s="792"/>
      <c r="C7" s="374"/>
      <c r="D7" s="374"/>
      <c r="E7" s="803"/>
      <c r="S7" s="214"/>
      <c r="T7" s="214"/>
      <c r="U7" s="214"/>
      <c r="V7" s="214"/>
      <c r="W7" s="214"/>
      <c r="X7" s="214"/>
      <c r="Y7" s="214"/>
      <c r="Z7" s="214"/>
      <c r="AE7" s="965" t="s">
        <v>341</v>
      </c>
      <c r="AF7" s="965" t="s">
        <v>402</v>
      </c>
      <c r="AG7" s="736" t="s">
        <v>403</v>
      </c>
      <c r="AH7" s="736" t="s">
        <v>402</v>
      </c>
      <c r="AK7" s="1158"/>
      <c r="AL7" s="1204"/>
      <c r="AM7" s="1204"/>
      <c r="AN7" s="1204"/>
      <c r="AO7" s="1204"/>
      <c r="AP7" s="1204"/>
      <c r="AQ7" s="1204"/>
      <c r="AR7" s="343"/>
      <c r="AS7" s="343"/>
    </row>
    <row s="918" customFormat="1" customHeight="1" ht="12" hidden="1">
      <c r="A8" s="374"/>
      <c r="B8" s="792"/>
      <c r="C8" s="374"/>
      <c r="D8" s="374"/>
      <c r="E8" s="803"/>
      <c r="S8" s="214"/>
      <c r="T8" s="214"/>
      <c r="U8" s="214"/>
      <c r="V8" s="214"/>
      <c r="W8" s="214"/>
      <c r="X8" s="214"/>
      <c r="Y8" s="214"/>
      <c r="Z8" s="214"/>
      <c r="AK8" s="1158"/>
      <c r="AL8" s="1204"/>
      <c r="AM8" s="1204"/>
      <c r="AN8" s="1204"/>
      <c r="AO8" s="1204"/>
      <c r="AP8" s="1204"/>
      <c r="AQ8" s="1204"/>
      <c r="AR8" s="343"/>
      <c r="AS8" s="343"/>
    </row>
    <row s="1172" customFormat="1" customHeight="1" ht="12" hidden="1">
      <c r="A9" s="1158" t="s">
        <v>404</v>
      </c>
      <c r="B9" s="1154"/>
      <c r="E9" s="1154"/>
      <c r="AH9" s="1152" cm="1" t="str">
        <f t="array" ref="AH9:AH9">AH24</f>
        <v>Срок действия</v>
      </c>
      <c r="AK9" s="1158"/>
      <c r="AL9" s="1158"/>
      <c r="AM9" s="1158"/>
      <c r="AN9" s="1158"/>
      <c r="AO9" s="1158"/>
      <c r="AP9" s="1158"/>
      <c r="AQ9" s="1158"/>
      <c r="AR9" s="1201"/>
      <c r="AS9" s="1201"/>
    </row>
    <row s="1172" customFormat="1" customHeight="1" ht="12" hidden="1">
      <c r="A10" s="1158" t="s">
        <v>384</v>
      </c>
      <c r="B10" s="1154"/>
      <c r="E10" s="1154"/>
      <c r="AC10" s="1152" t="s">
        <v>375</v>
      </c>
      <c r="AD10" s="1152" t="s">
        <v>398</v>
      </c>
      <c r="AE10" s="1152" t="s">
        <v>399</v>
      </c>
      <c r="AF10" s="1152" t="s">
        <v>400</v>
      </c>
      <c r="AG10" s="1152" t="s">
        <v>401</v>
      </c>
      <c r="AK10" s="1158"/>
      <c r="AL10" s="1158"/>
      <c r="AM10" s="1158"/>
      <c r="AN10" s="1158"/>
      <c r="AO10" s="1158"/>
      <c r="AP10" s="1158"/>
      <c r="AQ10" s="1158"/>
      <c r="AR10" s="1201"/>
      <c r="AS10" s="1201"/>
    </row>
    <row s="960" customFormat="1" customHeight="1" ht="12" hidden="1">
      <c r="B11" s="792"/>
      <c r="E11" s="803"/>
      <c r="G11" s="218"/>
      <c r="H11" s="218"/>
      <c r="I11" s="218"/>
      <c r="J11" s="218"/>
      <c r="K11" s="218"/>
      <c r="L11" s="218"/>
      <c r="M11" s="218"/>
      <c r="N11" s="218"/>
      <c r="O11" s="218"/>
      <c r="P11" s="218"/>
      <c r="Q11" s="218"/>
      <c r="R11" s="218"/>
      <c r="S11" s="214"/>
      <c r="T11" s="214"/>
      <c r="U11" s="179"/>
      <c r="V11" s="179"/>
      <c r="W11" s="179"/>
      <c r="X11" s="179"/>
      <c r="Y11" s="179"/>
      <c r="Z11" s="179"/>
      <c r="AK11" s="1158"/>
      <c r="AL11" s="1204"/>
      <c r="AM11" s="1204"/>
      <c r="AN11" s="1204"/>
      <c r="AO11" s="1204"/>
      <c r="AP11" s="1204"/>
      <c r="AQ11" s="1204"/>
      <c r="AR11" s="343"/>
      <c r="AS11" s="343"/>
    </row>
    <row s="960" customFormat="1" customHeight="1" ht="12" hidden="1">
      <c r="B12" s="792"/>
      <c r="E12" s="803"/>
      <c r="G12" s="218"/>
      <c r="H12" s="218"/>
      <c r="I12" s="218"/>
      <c r="J12" s="218"/>
      <c r="K12" s="218"/>
      <c r="L12" s="218"/>
      <c r="M12" s="218"/>
      <c r="N12" s="218"/>
      <c r="O12" s="218"/>
      <c r="P12" s="218"/>
      <c r="Q12" s="218"/>
      <c r="R12" s="218"/>
      <c r="S12" s="214"/>
      <c r="T12" s="214"/>
      <c r="U12" s="179"/>
      <c r="V12" s="179"/>
      <c r="W12" s="179"/>
      <c r="X12" s="179"/>
      <c r="Y12" s="179"/>
      <c r="Z12" s="179"/>
      <c r="AA12" s="179"/>
      <c r="AB12" s="179"/>
      <c r="AK12" s="1158"/>
      <c r="AL12" s="1204"/>
      <c r="AM12" s="1204"/>
      <c r="AN12" s="1204"/>
      <c r="AO12" s="1204"/>
      <c r="AP12" s="1204"/>
      <c r="AQ12" s="1204"/>
      <c r="AR12" s="343"/>
      <c r="AS12" s="343"/>
    </row>
    <row s="960" customFormat="1" customHeight="1" ht="12" hidden="1">
      <c r="B13" s="792"/>
      <c r="E13" s="803"/>
      <c r="G13" s="218"/>
      <c r="H13" s="218"/>
      <c r="I13" s="218"/>
      <c r="J13" s="218"/>
      <c r="K13" s="218"/>
      <c r="L13" s="218"/>
      <c r="M13" s="218"/>
      <c r="N13" s="218"/>
      <c r="O13" s="218"/>
      <c r="P13" s="218"/>
      <c r="Q13" s="218"/>
      <c r="R13" s="218"/>
      <c r="S13" s="214"/>
      <c r="T13" s="214"/>
      <c r="U13" s="179"/>
      <c r="V13" s="179"/>
      <c r="W13" s="179"/>
      <c r="X13" s="179"/>
      <c r="Y13" s="179"/>
      <c r="Z13" s="179"/>
      <c r="AA13" s="179"/>
      <c r="AB13" s="179"/>
      <c r="AK13" s="1158"/>
      <c r="AL13" s="1204"/>
      <c r="AM13" s="1204"/>
      <c r="AN13" s="1204"/>
      <c r="AO13" s="1204"/>
      <c r="AP13" s="1204"/>
      <c r="AQ13" s="1204"/>
      <c r="AR13" s="343"/>
      <c r="AS13" s="343"/>
    </row>
    <row s="960" customFormat="1" customHeight="1" ht="12" hidden="1">
      <c r="B14" s="792"/>
      <c r="E14" s="803"/>
      <c r="G14" s="218"/>
      <c r="H14" s="218"/>
      <c r="I14" s="218"/>
      <c r="J14" s="218"/>
      <c r="K14" s="218"/>
      <c r="L14" s="218"/>
      <c r="M14" s="218"/>
      <c r="N14" s="218"/>
      <c r="O14" s="218"/>
      <c r="P14" s="218"/>
      <c r="Q14" s="218"/>
      <c r="R14" s="218"/>
      <c r="S14" s="214"/>
      <c r="T14" s="214"/>
      <c r="U14" s="179"/>
      <c r="V14" s="179"/>
      <c r="W14" s="179"/>
      <c r="X14" s="179"/>
      <c r="Y14" s="179"/>
      <c r="Z14" s="179"/>
      <c r="AA14" s="179"/>
      <c r="AB14" s="179"/>
      <c r="AK14" s="1158"/>
      <c r="AL14" s="1204"/>
      <c r="AM14" s="1204"/>
      <c r="AN14" s="1204"/>
      <c r="AO14" s="1204"/>
      <c r="AP14" s="1204"/>
      <c r="AQ14" s="1204"/>
      <c r="AR14" s="343"/>
      <c r="AS14" s="343"/>
    </row>
    <row s="960" customFormat="1" customHeight="1" ht="12" hidden="1">
      <c r="B15" s="792"/>
      <c r="E15" s="803"/>
      <c r="G15" s="218"/>
      <c r="H15" s="218"/>
      <c r="I15" s="218"/>
      <c r="J15" s="218"/>
      <c r="K15" s="218"/>
      <c r="L15" s="218"/>
      <c r="M15" s="218"/>
      <c r="N15" s="218"/>
      <c r="O15" s="218"/>
      <c r="P15" s="218"/>
      <c r="Q15" s="218"/>
      <c r="R15" s="218"/>
      <c r="S15" s="214"/>
      <c r="T15" s="214"/>
      <c r="U15" s="179"/>
      <c r="V15" s="179"/>
      <c r="W15" s="179"/>
      <c r="X15" s="179"/>
      <c r="Y15" s="179"/>
      <c r="Z15" s="179"/>
      <c r="AA15" s="179"/>
      <c r="AB15" s="179"/>
      <c r="AK15" s="1158"/>
      <c r="AL15" s="1204"/>
      <c r="AM15" s="1204"/>
      <c r="AN15" s="1204"/>
      <c r="AO15" s="1204"/>
      <c r="AP15" s="1204"/>
      <c r="AQ15" s="1204"/>
      <c r="AR15" s="343"/>
      <c r="AS15" s="343"/>
    </row>
    <row s="960" customFormat="1" customHeight="1" ht="12" hidden="1">
      <c r="B16" s="792"/>
      <c r="E16" s="803"/>
      <c r="G16" s="218"/>
      <c r="H16" s="218"/>
      <c r="I16" s="218"/>
      <c r="J16" s="218"/>
      <c r="K16" s="218"/>
      <c r="L16" s="218"/>
      <c r="M16" s="218"/>
      <c r="N16" s="218"/>
      <c r="O16" s="218"/>
      <c r="P16" s="218"/>
      <c r="Q16" s="218"/>
      <c r="R16" s="218"/>
      <c r="S16" s="214"/>
      <c r="T16" s="214"/>
      <c r="U16" s="179"/>
      <c r="V16" s="179"/>
      <c r="W16" s="179"/>
      <c r="X16" s="179"/>
      <c r="Y16" s="179"/>
      <c r="Z16" s="179"/>
      <c r="AA16" s="179"/>
      <c r="AB16" s="179"/>
      <c r="AK16" s="1158"/>
      <c r="AL16" s="1204"/>
      <c r="AM16" s="1204"/>
      <c r="AN16" s="1204"/>
      <c r="AO16" s="1204"/>
      <c r="AP16" s="1204"/>
      <c r="AQ16" s="1204"/>
      <c r="AR16" s="343"/>
      <c r="AS16" s="343"/>
    </row>
    <row s="960" customFormat="1" customHeight="1" ht="12" hidden="1">
      <c r="B17" s="792"/>
      <c r="E17" s="803"/>
      <c r="G17" s="218"/>
      <c r="H17" s="218"/>
      <c r="I17" s="218"/>
      <c r="J17" s="218"/>
      <c r="K17" s="218"/>
      <c r="L17" s="218"/>
      <c r="M17" s="218"/>
      <c r="N17" s="218"/>
      <c r="O17" s="218"/>
      <c r="P17" s="218"/>
      <c r="Q17" s="218"/>
      <c r="R17" s="218"/>
      <c r="S17" s="214"/>
      <c r="T17" s="214"/>
      <c r="U17" s="179"/>
      <c r="V17" s="179"/>
      <c r="W17" s="179"/>
      <c r="X17" s="179"/>
      <c r="Y17" s="179"/>
      <c r="Z17" s="179"/>
      <c r="AA17" s="179"/>
      <c r="AB17" s="179"/>
      <c r="AK17" s="1158"/>
      <c r="AL17" s="1204"/>
      <c r="AM17" s="1204"/>
      <c r="AN17" s="1204"/>
      <c r="AO17" s="1204"/>
      <c r="AP17" s="1204"/>
      <c r="AQ17" s="1204"/>
      <c r="AR17" s="343"/>
      <c r="AS17" s="343"/>
    </row>
    <row s="960" customFormat="1" customHeight="1" ht="12" hidden="1">
      <c r="B18" s="792"/>
      <c r="E18" s="803"/>
      <c r="G18" s="218"/>
      <c r="H18" s="218"/>
      <c r="I18" s="218"/>
      <c r="J18" s="218"/>
      <c r="K18" s="218"/>
      <c r="L18" s="218"/>
      <c r="M18" s="218"/>
      <c r="N18" s="218"/>
      <c r="O18" s="218"/>
      <c r="P18" s="218"/>
      <c r="Q18" s="218"/>
      <c r="R18" s="218"/>
      <c r="S18" s="214"/>
      <c r="T18" s="214"/>
      <c r="U18" s="179"/>
      <c r="V18" s="179"/>
      <c r="W18" s="179"/>
      <c r="X18" s="179"/>
      <c r="Y18" s="179"/>
      <c r="Z18" s="179"/>
      <c r="AA18" s="179"/>
      <c r="AB18" s="179"/>
      <c r="AK18" s="1158"/>
      <c r="AL18" s="1204"/>
      <c r="AM18" s="1204"/>
      <c r="AN18" s="1204"/>
      <c r="AO18" s="1204"/>
      <c r="AP18" s="1204"/>
      <c r="AQ18" s="1204"/>
      <c r="AR18" s="343"/>
      <c r="AS18" s="343"/>
    </row>
    <row s="960" customFormat="1" customHeight="1" ht="12" hidden="1">
      <c r="B19" s="792"/>
      <c r="E19" s="803"/>
      <c r="G19" s="218"/>
      <c r="H19" s="218"/>
      <c r="I19" s="218"/>
      <c r="J19" s="218"/>
      <c r="K19" s="218"/>
      <c r="L19" s="218"/>
      <c r="M19" s="218"/>
      <c r="N19" s="218"/>
      <c r="O19" s="218"/>
      <c r="P19" s="218"/>
      <c r="Q19" s="218"/>
      <c r="R19" s="218"/>
      <c r="S19" s="214"/>
      <c r="T19" s="214"/>
      <c r="U19" s="179"/>
      <c r="V19" s="179"/>
      <c r="W19" s="179"/>
      <c r="X19" s="179"/>
      <c r="Y19" s="179"/>
      <c r="Z19" s="179"/>
      <c r="AA19" s="179"/>
      <c r="AB19" s="179"/>
      <c r="AK19" s="1158"/>
      <c r="AL19" s="1204"/>
      <c r="AM19" s="1204"/>
      <c r="AN19" s="1204"/>
      <c r="AO19" s="1204"/>
      <c r="AP19" s="1204"/>
      <c r="AQ19" s="1204"/>
      <c r="AR19" s="343"/>
      <c r="AS19" s="343"/>
    </row>
    <row s="960" customFormat="1" customHeight="1" ht="12" hidden="1">
      <c r="B20" s="792"/>
      <c r="E20" s="803"/>
      <c r="G20" s="218"/>
      <c r="H20" s="218"/>
      <c r="I20" s="218"/>
      <c r="J20" s="218"/>
      <c r="K20" s="218"/>
      <c r="L20" s="218"/>
      <c r="M20" s="218"/>
      <c r="N20" s="218"/>
      <c r="O20" s="218"/>
      <c r="P20" s="218"/>
      <c r="Q20" s="218"/>
      <c r="R20" s="218"/>
      <c r="S20" s="214"/>
      <c r="T20" s="214"/>
      <c r="U20" s="179"/>
      <c r="V20" s="179"/>
      <c r="W20" s="179"/>
      <c r="X20" s="179"/>
      <c r="Y20" s="179"/>
      <c r="Z20" s="179"/>
      <c r="AA20" s="179"/>
      <c r="AB20" s="179"/>
      <c r="AK20" s="1158"/>
      <c r="AL20" s="1204"/>
      <c r="AM20" s="1204"/>
      <c r="AN20" s="1204"/>
      <c r="AO20" s="1204"/>
      <c r="AP20" s="1204"/>
      <c r="AQ20" s="1204"/>
      <c r="AR20" s="343"/>
      <c r="AS20" s="343"/>
    </row>
    <row s="918" customFormat="1" customHeight="1" ht="14.625">
      <c r="A21" s="374"/>
      <c r="B21" s="792"/>
      <c r="C21" s="374"/>
      <c r="D21" s="374"/>
      <c r="E21" s="803">
        <v>15</v>
      </c>
      <c r="F21" s="374"/>
      <c r="S21" s="214"/>
      <c r="T21" s="214"/>
      <c r="U21" s="179"/>
      <c r="V21" s="179"/>
      <c r="W21" s="179"/>
      <c r="X21" s="179"/>
      <c r="Y21" s="179"/>
      <c r="Z21" s="179"/>
      <c r="AA21" s="820"/>
      <c r="AC21" s="415" cm="1" t="str">
        <f t="array" ref="AC21:AC21">tpl_title</f>
        <v>Кемеровская область / 2026 / ООО "ВЕЛЕС" (ИНН:4212036655, КПП:421201001) / ДПР: 2016-2025</v>
      </c>
      <c r="AK21" s="1158"/>
      <c r="AL21" s="1204"/>
      <c r="AM21" s="1204"/>
      <c r="AN21" s="1204"/>
      <c r="AO21" s="1204"/>
      <c r="AP21" s="1204"/>
      <c r="AQ21" s="1204"/>
      <c r="AR21" s="343"/>
      <c r="AS21" s="343"/>
    </row>
    <row customHeight="1" ht="20.475">
      <c r="E22" s="803">
        <v>21</v>
      </c>
      <c r="R22" s="214"/>
      <c r="AA22" s="820"/>
      <c r="AB22" s="1459" t="s">
        <v>405</v>
      </c>
      <c r="AC22" s="1460"/>
      <c r="AD22" s="1460"/>
      <c r="AE22" s="1460"/>
      <c r="AF22" s="1460"/>
      <c r="AG22" s="1460"/>
      <c r="AH22" s="1460"/>
    </row>
    <row customHeight="1" ht="8.775">
      <c r="E23" s="803">
        <v>9</v>
      </c>
      <c r="AA23" s="915"/>
      <c r="AB23" s="195"/>
      <c r="AC23" s="195"/>
      <c r="AD23" s="195"/>
      <c r="AE23" s="195"/>
      <c r="AF23" s="1463"/>
      <c r="AG23" s="1463"/>
      <c r="AH23" s="176"/>
    </row>
    <row customHeight="1" ht="30.712500000000002">
      <c r="E24" s="803">
        <v>31.5</v>
      </c>
      <c r="AA24" s="915"/>
      <c r="AB24" s="264" t="s">
        <v>386</v>
      </c>
      <c r="AC24" s="811" t="s">
        <v>406</v>
      </c>
      <c r="AD24" s="264" t="s">
        <v>407</v>
      </c>
      <c r="AE24" s="264" t="s">
        <v>408</v>
      </c>
      <c r="AF24" s="264" t="s">
        <v>409</v>
      </c>
      <c r="AG24" s="264" t="s">
        <v>410</v>
      </c>
      <c r="AH24" s="264" t="s">
        <v>411</v>
      </c>
    </row>
    <row customHeight="1" ht="31.5" hidden="1">
      <c r="E25" s="803">
        <v>0</v>
      </c>
      <c r="AA25" s="915"/>
      <c r="AB25" s="812"/>
      <c r="AC25" s="718"/>
      <c r="AD25" s="719"/>
      <c r="AE25" s="719"/>
      <c r="AF25" s="719"/>
      <c r="AG25" s="719"/>
      <c r="AH25" s="719"/>
    </row>
    <row s="220" customFormat="1" customHeight="1" ht="16.672500000000003" hidden="1">
      <c r="E26" s="797">
        <v>17.1</v>
      </c>
      <c r="F26" s="175" cm="1" t="str">
        <f t="array" ref="F26:F26">Y26</f>
        <v>0</v>
      </c>
      <c r="U26" s="923">
        <f>Y26&gt;0</f>
        <v>0</v>
      </c>
      <c r="W26" s="171" t="s">
        <v>310</v>
      </c>
      <c r="Y26" s="171">
        <v>0</v>
      </c>
      <c r="AB26" s="263" cm="1" t="str">
        <f t="array" ref="AB26:AB26">INDEX('Общие сведения'!$AG$169:$AG$202,MATCH(Y26,'Общие сведения'!$Z$169:$Z$202,0))</f>
        <v>Тариф 0 (Теплоснабжение) - </v>
      </c>
      <c r="AC26" s="260"/>
      <c r="AD26" s="254"/>
      <c r="AE26" s="254"/>
      <c r="AF26" s="254"/>
      <c r="AG26" s="254"/>
      <c r="AH26" s="254"/>
      <c r="AK26" s="1206"/>
      <c r="AL26" s="1206"/>
      <c r="AM26" s="1206"/>
      <c r="AN26" s="1206"/>
      <c r="AO26" s="1206"/>
      <c r="AP26" s="1206"/>
      <c r="AQ26" s="1206"/>
      <c r="AR26" s="1207"/>
      <c r="AS26" s="1207"/>
    </row>
    <row s="220" customFormat="1" customHeight="1" ht="10.5" hidden="1">
      <c r="E27" s="797">
        <v>0</v>
      </c>
      <c r="F27" s="175" cm="1" t="str">
        <f t="array" ref="F27:F27">OFFSET(G27,-1,-1)</f>
        <v>0</v>
      </c>
      <c r="AB27" s="263"/>
      <c r="AC27" s="260"/>
      <c r="AD27" s="254"/>
      <c r="AE27" s="254"/>
      <c r="AF27" s="254"/>
      <c r="AG27" s="254"/>
      <c r="AH27" s="254"/>
      <c r="AK27" s="1206"/>
      <c r="AL27" s="1206"/>
      <c r="AM27" s="1206"/>
      <c r="AN27" s="1206"/>
      <c r="AO27" s="1206"/>
      <c r="AP27" s="1206"/>
      <c r="AQ27" s="1206"/>
      <c r="AR27" s="1207"/>
      <c r="AS27" s="1207"/>
    </row>
    <row s="937" customFormat="1" customHeight="1" ht="16.672500000000003" hidden="1">
      <c r="E28" s="797">
        <v>17.1</v>
      </c>
      <c r="F28" s="175" cm="1" t="str">
        <f t="array" ref="F28:F28">OFFSET(G28,-1,-1)</f>
        <v>0</v>
      </c>
      <c r="I28" s="214" t="s">
        <v>412</v>
      </c>
      <c r="K28" s="214" t="s">
        <v>413</v>
      </c>
      <c r="U28" s="923">
        <f>AND(F28&gt;0,AB28&gt;0)</f>
        <v>0</v>
      </c>
      <c r="X28" s="171" t="s">
        <v>234</v>
      </c>
      <c r="AA28" s="917" t="s">
        <v>218</v>
      </c>
      <c r="AB28" s="154">
        <v>0</v>
      </c>
      <c r="AC28" s="467" t="str">
        <f>I28&amp;" :: "&amp;K28</f>
        <v>Наименование объекта :: адрес</v>
      </c>
      <c r="AD28" s="463"/>
      <c r="AE28" s="463"/>
      <c r="AF28" s="479"/>
      <c r="AG28" s="479"/>
      <c r="AH28" s="57"/>
      <c r="AK28" s="1206" t="s">
        <v>414</v>
      </c>
      <c r="AL28" s="1208" t="s">
        <v>415</v>
      </c>
      <c r="AM28" s="1208" cm="1" t="str">
        <f t="array" ref="AM28:AM28">AC28</f>
        <v>Наименование объекта :: адрес</v>
      </c>
      <c r="AN28" s="1208" cm="1" t="str">
        <f t="array" ref="AN28:AN28">AD28</f>
        <v>0</v>
      </c>
      <c r="AO28" s="1208" cm="1" t="str">
        <f t="array" ref="AO28:AO28">AE28</f>
        <v>0</v>
      </c>
      <c r="AP28" s="1208" cm="1" t="str">
        <f t="array" ref="AP28:AP28">AF28</f>
        <v>0</v>
      </c>
      <c r="AQ28" s="1208" cm="1" t="str">
        <f t="array" ref="AQ28:AQ28">AG28</f>
        <v>0</v>
      </c>
      <c r="AR28" s="1209"/>
      <c r="AS28" s="1209" t="b">
        <v>1</v>
      </c>
    </row>
    <row s="220" customFormat="1" customHeight="1" ht="16.672500000000003" hidden="1">
      <c r="E29" s="797">
        <v>17.1</v>
      </c>
      <c r="F29" s="175" cm="1" t="str">
        <f t="array" ref="F29:F29">OFFSET(G29,-1,-1)</f>
        <v>0</v>
      </c>
      <c r="U29" s="923">
        <f>F29&gt;0</f>
        <v>0</v>
      </c>
      <c r="X29" s="171" t="s">
        <v>416</v>
      </c>
      <c r="AB29" s="255"/>
      <c r="AC29" s="258" t="s">
        <v>417</v>
      </c>
      <c r="AD29" s="256"/>
      <c r="AE29" s="256"/>
      <c r="AF29" s="256"/>
      <c r="AG29" s="256"/>
      <c r="AH29" s="265"/>
      <c r="AK29" s="1206"/>
      <c r="AL29" s="1206"/>
      <c r="AM29" s="1206"/>
      <c r="AN29" s="1206"/>
      <c r="AO29" s="1206"/>
      <c r="AP29" s="1206"/>
      <c r="AQ29" s="1206"/>
      <c r="AR29" s="1207" t="s">
        <v>415</v>
      </c>
      <c r="AS29" s="1207"/>
    </row>
    <row s="1647" customFormat="1" customHeight="1" ht="16.5">
      <c r="A30" s="220"/>
      <c r="B30" s="220"/>
      <c r="C30" s="220"/>
      <c r="D30" s="220"/>
      <c r="E30" s="797">
        <v>17.1</v>
      </c>
      <c r="F30" s="175" cm="1" t="str">
        <f t="array" ref="F30:F30">Y30</f>
        <v>1</v>
      </c>
      <c r="G30" s="220"/>
      <c r="H30" s="220"/>
      <c r="I30" s="220"/>
      <c r="J30" s="220"/>
      <c r="K30" s="220"/>
      <c r="L30" s="220"/>
      <c r="M30" s="220"/>
      <c r="N30" s="220"/>
      <c r="O30" s="220"/>
      <c r="P30" s="220"/>
      <c r="Q30" s="220"/>
      <c r="R30" s="220"/>
      <c r="S30" s="220"/>
      <c r="T30" s="220"/>
      <c r="U30" s="923">
        <f>Y30&gt;0</f>
        <v>1</v>
      </c>
      <c r="V30" s="220"/>
      <c r="W30" s="171" cm="1" t="str">
        <f t="array" ref="W30:W30">'Список территорий'!$AB$29</f>
        <v>Тариф 1 (Теплоснабжение) - Тариф на тепловую энергию (мощность), поставляемую потребителям (Не определено)</v>
      </c>
      <c r="X30" s="220"/>
      <c r="Y30" s="171" t="s">
        <v>336</v>
      </c>
      <c r="Z30" s="220"/>
      <c r="AA30" s="220"/>
      <c r="AB30" s="263"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0"/>
      <c r="AD30" s="254"/>
      <c r="AE30" s="254"/>
      <c r="AF30" s="254"/>
      <c r="AG30" s="254"/>
      <c r="AH30" s="254"/>
      <c r="AI30" s="220"/>
      <c r="AJ30" s="220"/>
      <c r="AK30" s="1206"/>
      <c r="AL30" s="1206"/>
      <c r="AM30" s="1206"/>
      <c r="AN30" s="1206"/>
      <c r="AO30" s="1206"/>
      <c r="AP30" s="1206"/>
      <c r="AQ30" s="1206"/>
      <c r="AR30" s="1207"/>
      <c r="AS30" s="1207"/>
    </row>
    <row s="1648" customFormat="1" customHeight="1" ht="10.5" hidden="1">
      <c r="A31" s="220"/>
      <c r="B31" s="220"/>
      <c r="C31" s="220"/>
      <c r="D31" s="220"/>
      <c r="E31" s="797">
        <v>0</v>
      </c>
      <c r="F31" s="175" cm="1" t="str">
        <f t="array" ref="F31:F31">OFFSET(G31,-1,-1)</f>
        <v>1</v>
      </c>
      <c r="G31" s="220"/>
      <c r="H31" s="220"/>
      <c r="I31" s="220"/>
      <c r="J31" s="220"/>
      <c r="K31" s="220"/>
      <c r="L31" s="220"/>
      <c r="M31" s="220"/>
      <c r="N31" s="220"/>
      <c r="O31" s="220"/>
      <c r="P31" s="220"/>
      <c r="Q31" s="220"/>
      <c r="R31" s="220"/>
      <c r="S31" s="220"/>
      <c r="T31" s="220"/>
      <c r="U31" s="220"/>
      <c r="V31" s="220"/>
      <c r="W31" s="220"/>
      <c r="X31" s="220"/>
      <c r="Y31" s="220"/>
      <c r="Z31" s="220"/>
      <c r="AA31" s="220"/>
      <c r="AB31" s="263"/>
      <c r="AC31" s="260"/>
      <c r="AD31" s="254"/>
      <c r="AE31" s="254"/>
      <c r="AF31" s="254"/>
      <c r="AG31" s="254"/>
      <c r="AH31" s="254"/>
      <c r="AI31" s="220"/>
      <c r="AJ31" s="220"/>
      <c r="AK31" s="1206"/>
      <c r="AL31" s="1206"/>
      <c r="AM31" s="1206"/>
      <c r="AN31" s="1206"/>
      <c r="AO31" s="1206"/>
      <c r="AP31" s="1206"/>
      <c r="AQ31" s="1206"/>
      <c r="AR31" s="1207"/>
      <c r="AS31" s="1207"/>
    </row>
    <row s="937" customFormat="1" customHeight="1" ht="16.5" hidden="1">
      <c r="E32" s="797">
        <v>17.1</v>
      </c>
      <c r="F32" s="175" cm="1" t="str">
        <f t="array" ref="F32:F32">OFFSET(G32,-1,-1)</f>
        <v>1</v>
      </c>
      <c r="I32" s="214" t="s">
        <v>412</v>
      </c>
      <c r="K32" s="214" t="s">
        <v>413</v>
      </c>
      <c r="U32" s="923">
        <f>AND(F32&gt;0,AB32&gt;0)</f>
        <v>0</v>
      </c>
      <c r="X32" s="171" t="s">
        <v>234</v>
      </c>
      <c r="AA32" s="917" t="s">
        <v>218</v>
      </c>
      <c r="AB32" s="154">
        <v>0</v>
      </c>
      <c r="AC32" s="467" t="str">
        <f>I32&amp;" :: "&amp;K32</f>
        <v>Наименование объекта :: адрес</v>
      </c>
      <c r="AD32" s="463"/>
      <c r="AE32" s="463"/>
      <c r="AF32" s="479"/>
      <c r="AG32" s="479"/>
      <c r="AH32" s="57"/>
      <c r="AK32" s="1206" t="s">
        <v>414</v>
      </c>
      <c r="AL32" s="1208" t="s">
        <v>415</v>
      </c>
      <c r="AM32" s="1208" cm="1" t="str">
        <f t="array" ref="AM32:AM32">AC32</f>
        <v>Наименование объекта :: адрес</v>
      </c>
      <c r="AN32" s="1208" cm="1" t="str">
        <f t="array" ref="AN32:AN32">AD32</f>
        <v>0</v>
      </c>
      <c r="AO32" s="1208" cm="1" t="str">
        <f t="array" ref="AO32:AO32">AE32</f>
        <v>0</v>
      </c>
      <c r="AP32" s="1208" cm="1" t="str">
        <f t="array" ref="AP32:AP32">AF32</f>
        <v>0</v>
      </c>
      <c r="AQ32" s="1208" cm="1" t="str">
        <f t="array" ref="AQ32:AQ32">AG32</f>
        <v>0</v>
      </c>
      <c r="AR32" s="1209"/>
      <c r="AS32" s="1209" t="b">
        <v>1</v>
      </c>
    </row>
    <row s="937" customFormat="1" customHeight="1" ht="16.5">
      <c r="A33" s="937"/>
      <c r="B33" s="937"/>
      <c r="C33" s="937"/>
      <c r="D33" s="937"/>
      <c r="E33" s="797">
        <v>17.1</v>
      </c>
      <c r="F33" s="175" cm="1" t="str">
        <f t="array" ref="F33:F33">OFFSET(G33,-1,-1)</f>
        <v>1</v>
      </c>
      <c r="G33" s="937"/>
      <c r="H33" s="937"/>
      <c r="I33" s="214" t="s">
        <v>418</v>
      </c>
      <c r="J33" s="937"/>
      <c r="K33" s="214" t="s">
        <v>419</v>
      </c>
      <c r="L33" s="937"/>
      <c r="M33" s="937"/>
      <c r="N33" s="937"/>
      <c r="O33" s="937"/>
      <c r="P33" s="937"/>
      <c r="Q33" s="937"/>
      <c r="R33" s="937"/>
      <c r="S33" s="937"/>
      <c r="T33" s="937"/>
      <c r="U33" s="923">
        <f>AND(F33&gt;0,AB33&gt;0)</f>
        <v>1</v>
      </c>
      <c r="V33" s="937"/>
      <c r="W33" s="937"/>
      <c r="X33" s="171"/>
      <c r="Y33" s="937"/>
      <c r="Z33" s="937"/>
      <c r="AA33" s="917" t="s">
        <v>218</v>
      </c>
      <c r="AB33" s="154" t="s">
        <v>336</v>
      </c>
      <c r="AC33" s="467" t="str">
        <f>I33&amp;" :: "&amp;K33</f>
        <v>Котельная д.Красноярка :: д Красноярка, ул.Центральная, 6</v>
      </c>
      <c r="AD33" s="463" t="s">
        <v>420</v>
      </c>
      <c r="AE33" s="463" t="s">
        <v>421</v>
      </c>
      <c r="AF33" s="479" t="s">
        <v>422</v>
      </c>
      <c r="AG33" s="479" t="s">
        <v>423</v>
      </c>
      <c r="AH33" s="1649"/>
      <c r="AI33" s="937"/>
      <c r="AJ33" s="937"/>
      <c r="AK33" s="1206" t="s">
        <v>414</v>
      </c>
      <c r="AL33" s="1208" t="s">
        <v>415</v>
      </c>
      <c r="AM33" s="1208" cm="1" t="str">
        <f t="array" ref="AM33:AM33">AC33</f>
        <v>Котельная д.Красноярка :: д Красноярка, ул.Центральная, 6</v>
      </c>
      <c r="AN33" s="1208" cm="1" t="str">
        <f t="array" ref="AN33:AN33">AD33</f>
        <v>концессионное соглашение</v>
      </c>
      <c r="AO33" s="1208" cm="1" t="str">
        <f t="array" ref="AO33:AO33">AE33</f>
        <v>соглашение</v>
      </c>
      <c r="AP33" s="1208" cm="1" t="str">
        <f t="array" ref="AP33:AP33">AF33</f>
        <v>б/н</v>
      </c>
      <c r="AQ33" s="1208" cm="1" t="str">
        <f t="array" ref="AQ33:AQ33">AG33</f>
        <v>05.02.2016</v>
      </c>
      <c r="AR33" s="1209"/>
      <c r="AS33" s="1209" t="b">
        <v>1</v>
      </c>
    </row>
    <row s="937" customFormat="1" customHeight="1" ht="16.5">
      <c r="A34" s="937"/>
      <c r="B34" s="937"/>
      <c r="C34" s="937"/>
      <c r="D34" s="937"/>
      <c r="E34" s="797">
        <v>17.1</v>
      </c>
      <c r="F34" s="175" cm="1" t="str">
        <f t="array" ref="F34:F34">OFFSET(G34,-1,-1)</f>
        <v>1</v>
      </c>
      <c r="G34" s="937"/>
      <c r="H34" s="937"/>
      <c r="I34" s="214" t="s">
        <v>424</v>
      </c>
      <c r="J34" s="937"/>
      <c r="K34" s="214" t="s">
        <v>425</v>
      </c>
      <c r="L34" s="937"/>
      <c r="M34" s="937"/>
      <c r="N34" s="937"/>
      <c r="O34" s="937"/>
      <c r="P34" s="937"/>
      <c r="Q34" s="937"/>
      <c r="R34" s="937"/>
      <c r="S34" s="937"/>
      <c r="T34" s="937"/>
      <c r="U34" s="923">
        <f>AND(F34&gt;0,AB34&gt;0)</f>
        <v>1</v>
      </c>
      <c r="V34" s="937"/>
      <c r="W34" s="937"/>
      <c r="X34" s="171"/>
      <c r="Y34" s="937"/>
      <c r="Z34" s="937"/>
      <c r="AA34" s="917" t="s">
        <v>218</v>
      </c>
      <c r="AB34" s="154" t="s">
        <v>426</v>
      </c>
      <c r="AC34" s="467" t="str">
        <f>I34&amp;" :: "&amp;K34</f>
        <v>Котельная д.Новогеоргиевка :: д Новогеоргиевка, ул.Молодежная, 29 а</v>
      </c>
      <c r="AD34" s="463" t="s">
        <v>420</v>
      </c>
      <c r="AE34" s="463" t="s">
        <v>421</v>
      </c>
      <c r="AF34" s="479" t="s">
        <v>422</v>
      </c>
      <c r="AG34" s="479" t="s">
        <v>423</v>
      </c>
      <c r="AH34" s="1649"/>
      <c r="AI34" s="937"/>
      <c r="AJ34" s="937"/>
      <c r="AK34" s="1206" t="s">
        <v>414</v>
      </c>
      <c r="AL34" s="1208" t="s">
        <v>415</v>
      </c>
      <c r="AM34" s="1208" cm="1" t="str">
        <f t="array" ref="AM34:AM34">AC34</f>
        <v>Котельная д.Новогеоргиевка :: д Новогеоргиевка, ул.Молодежная, 29 а</v>
      </c>
      <c r="AN34" s="1208" cm="1" t="str">
        <f t="array" ref="AN34:AN34">AD34</f>
        <v>концессионное соглашение</v>
      </c>
      <c r="AO34" s="1208" cm="1" t="str">
        <f t="array" ref="AO34:AO34">AE34</f>
        <v>соглашение</v>
      </c>
      <c r="AP34" s="1208" cm="1" t="str">
        <f t="array" ref="AP34:AP34">AF34</f>
        <v>б/н</v>
      </c>
      <c r="AQ34" s="1208" cm="1" t="str">
        <f t="array" ref="AQ34:AQ34">AG34</f>
        <v>05.02.2016</v>
      </c>
      <c r="AR34" s="1209"/>
      <c r="AS34" s="1209" t="b">
        <v>1</v>
      </c>
    </row>
    <row s="937" customFormat="1" customHeight="1" ht="16.5">
      <c r="A35" s="937"/>
      <c r="B35" s="937"/>
      <c r="C35" s="937"/>
      <c r="D35" s="937"/>
      <c r="E35" s="797">
        <v>17.1</v>
      </c>
      <c r="F35" s="175" cm="1" t="str">
        <f t="array" ref="F35:F35">OFFSET(G35,-1,-1)</f>
        <v>1</v>
      </c>
      <c r="G35" s="937"/>
      <c r="H35" s="937"/>
      <c r="I35" s="214" t="s">
        <v>427</v>
      </c>
      <c r="J35" s="937"/>
      <c r="K35" s="214" t="s">
        <v>428</v>
      </c>
      <c r="L35" s="937"/>
      <c r="M35" s="937"/>
      <c r="N35" s="937"/>
      <c r="O35" s="937"/>
      <c r="P35" s="937"/>
      <c r="Q35" s="937"/>
      <c r="R35" s="937"/>
      <c r="S35" s="937"/>
      <c r="T35" s="937"/>
      <c r="U35" s="923">
        <f>AND(F35&gt;0,AB35&gt;0)</f>
        <v>1</v>
      </c>
      <c r="V35" s="937"/>
      <c r="W35" s="937"/>
      <c r="X35" s="171"/>
      <c r="Y35" s="937"/>
      <c r="Z35" s="937"/>
      <c r="AA35" s="917" t="s">
        <v>218</v>
      </c>
      <c r="AB35" s="154" t="s">
        <v>429</v>
      </c>
      <c r="AC35" s="467" t="str">
        <f>I35&amp;" :: "&amp;K35</f>
        <v>Котельная п.Восходящий :: п Восходящий, ул.Промзона, 2</v>
      </c>
      <c r="AD35" s="463" t="s">
        <v>420</v>
      </c>
      <c r="AE35" s="463" t="s">
        <v>421</v>
      </c>
      <c r="AF35" s="479" t="s">
        <v>422</v>
      </c>
      <c r="AG35" s="479" t="s">
        <v>423</v>
      </c>
      <c r="AH35" s="1649"/>
      <c r="AI35" s="937"/>
      <c r="AJ35" s="937"/>
      <c r="AK35" s="1206" t="s">
        <v>414</v>
      </c>
      <c r="AL35" s="1208" t="s">
        <v>415</v>
      </c>
      <c r="AM35" s="1208" cm="1" t="str">
        <f t="array" ref="AM35:AM35">AC35</f>
        <v>Котельная п.Восходящий :: п Восходящий, ул.Промзона, 2</v>
      </c>
      <c r="AN35" s="1208" cm="1" t="str">
        <f t="array" ref="AN35:AN35">AD35</f>
        <v>концессионное соглашение</v>
      </c>
      <c r="AO35" s="1208" cm="1" t="str">
        <f t="array" ref="AO35:AO35">AE35</f>
        <v>соглашение</v>
      </c>
      <c r="AP35" s="1208" cm="1" t="str">
        <f t="array" ref="AP35:AP35">AF35</f>
        <v>б/н</v>
      </c>
      <c r="AQ35" s="1208" cm="1" t="str">
        <f t="array" ref="AQ35:AQ35">AG35</f>
        <v>05.02.2016</v>
      </c>
      <c r="AR35" s="1209"/>
      <c r="AS35" s="1209" t="b">
        <v>1</v>
      </c>
    </row>
    <row s="937" customFormat="1" customHeight="1" ht="16.5">
      <c r="A36" s="937"/>
      <c r="B36" s="937"/>
      <c r="C36" s="937"/>
      <c r="D36" s="937"/>
      <c r="E36" s="797">
        <v>17.1</v>
      </c>
      <c r="F36" s="175" cm="1" t="str">
        <f t="array" ref="F36:F36">OFFSET(G36,-1,-1)</f>
        <v>1</v>
      </c>
      <c r="G36" s="937"/>
      <c r="H36" s="937"/>
      <c r="I36" s="214" t="s">
        <v>430</v>
      </c>
      <c r="J36" s="937"/>
      <c r="K36" s="214" t="s">
        <v>431</v>
      </c>
      <c r="L36" s="937"/>
      <c r="M36" s="937"/>
      <c r="N36" s="937"/>
      <c r="O36" s="937"/>
      <c r="P36" s="937"/>
      <c r="Q36" s="937"/>
      <c r="R36" s="937"/>
      <c r="S36" s="937"/>
      <c r="T36" s="937"/>
      <c r="U36" s="923">
        <f>AND(F36&gt;0,AB36&gt;0)</f>
        <v>1</v>
      </c>
      <c r="V36" s="937"/>
      <c r="W36" s="937"/>
      <c r="X36" s="171"/>
      <c r="Y36" s="937"/>
      <c r="Z36" s="937"/>
      <c r="AA36" s="917" t="s">
        <v>218</v>
      </c>
      <c r="AB36" s="154" t="s">
        <v>432</v>
      </c>
      <c r="AC36" s="467" t="str">
        <f>I36&amp;" :: "&amp;K36</f>
        <v>Котельная п.Демьяновка :: п Демьяновка, ул.Чкалова, 6 а</v>
      </c>
      <c r="AD36" s="463" t="s">
        <v>420</v>
      </c>
      <c r="AE36" s="463" t="s">
        <v>421</v>
      </c>
      <c r="AF36" s="479" t="s">
        <v>422</v>
      </c>
      <c r="AG36" s="479" t="s">
        <v>423</v>
      </c>
      <c r="AH36" s="1649"/>
      <c r="AI36" s="937"/>
      <c r="AJ36" s="937"/>
      <c r="AK36" s="1206" t="s">
        <v>414</v>
      </c>
      <c r="AL36" s="1208" t="s">
        <v>415</v>
      </c>
      <c r="AM36" s="1208" cm="1" t="str">
        <f t="array" ref="AM36:AM36">AC36</f>
        <v>Котельная п.Демьяновка :: п Демьяновка, ул.Чкалова, 6 а</v>
      </c>
      <c r="AN36" s="1208" cm="1" t="str">
        <f t="array" ref="AN36:AN36">AD36</f>
        <v>концессионное соглашение</v>
      </c>
      <c r="AO36" s="1208" cm="1" t="str">
        <f t="array" ref="AO36:AO36">AE36</f>
        <v>соглашение</v>
      </c>
      <c r="AP36" s="1208" cm="1" t="str">
        <f t="array" ref="AP36:AP36">AF36</f>
        <v>б/н</v>
      </c>
      <c r="AQ36" s="1208" cm="1" t="str">
        <f t="array" ref="AQ36:AQ36">AG36</f>
        <v>05.02.2016</v>
      </c>
      <c r="AR36" s="1209"/>
      <c r="AS36" s="1209" t="b">
        <v>1</v>
      </c>
    </row>
    <row s="937" customFormat="1" customHeight="1" ht="16.5">
      <c r="A37" s="937"/>
      <c r="B37" s="937"/>
      <c r="C37" s="937"/>
      <c r="D37" s="937"/>
      <c r="E37" s="797">
        <v>17.1</v>
      </c>
      <c r="F37" s="175" cm="1" t="str">
        <f t="array" ref="F37:F37">OFFSET(G37,-1,-1)</f>
        <v>1</v>
      </c>
      <c r="G37" s="937"/>
      <c r="H37" s="937"/>
      <c r="I37" s="214" t="s">
        <v>433</v>
      </c>
      <c r="J37" s="937"/>
      <c r="K37" s="214" t="s">
        <v>434</v>
      </c>
      <c r="L37" s="937"/>
      <c r="M37" s="937"/>
      <c r="N37" s="937"/>
      <c r="O37" s="937"/>
      <c r="P37" s="937"/>
      <c r="Q37" s="937"/>
      <c r="R37" s="937"/>
      <c r="S37" s="937"/>
      <c r="T37" s="937"/>
      <c r="U37" s="923">
        <f>AND(F37&gt;0,AB37&gt;0)</f>
        <v>1</v>
      </c>
      <c r="V37" s="937"/>
      <c r="W37" s="937"/>
      <c r="X37" s="171"/>
      <c r="Y37" s="937"/>
      <c r="Z37" s="937"/>
      <c r="AA37" s="917" t="s">
        <v>218</v>
      </c>
      <c r="AB37" s="154" t="s">
        <v>435</v>
      </c>
      <c r="AC37" s="467" t="str">
        <f>I37&amp;" :: "&amp;K37</f>
        <v>Котельная п.Клейзавода :: п Клейзавода, ул.Заводская, 7 а</v>
      </c>
      <c r="AD37" s="463" t="s">
        <v>420</v>
      </c>
      <c r="AE37" s="463" t="s">
        <v>421</v>
      </c>
      <c r="AF37" s="479" t="s">
        <v>422</v>
      </c>
      <c r="AG37" s="479" t="s">
        <v>423</v>
      </c>
      <c r="AH37" s="1649"/>
      <c r="AI37" s="937"/>
      <c r="AJ37" s="937"/>
      <c r="AK37" s="1206" t="s">
        <v>414</v>
      </c>
      <c r="AL37" s="1208" t="s">
        <v>415</v>
      </c>
      <c r="AM37" s="1208" cm="1" t="str">
        <f t="array" ref="AM37:AM37">AC37</f>
        <v>Котельная п.Клейзавода :: п Клейзавода, ул.Заводская, 7 а</v>
      </c>
      <c r="AN37" s="1208" cm="1" t="str">
        <f t="array" ref="AN37:AN37">AD37</f>
        <v>концессионное соглашение</v>
      </c>
      <c r="AO37" s="1208" cm="1" t="str">
        <f t="array" ref="AO37:AO37">AE37</f>
        <v>соглашение</v>
      </c>
      <c r="AP37" s="1208" cm="1" t="str">
        <f t="array" ref="AP37:AP37">AF37</f>
        <v>б/н</v>
      </c>
      <c r="AQ37" s="1208" cm="1" t="str">
        <f t="array" ref="AQ37:AQ37">AG37</f>
        <v>05.02.2016</v>
      </c>
      <c r="AR37" s="1209"/>
      <c r="AS37" s="1209" t="b">
        <v>1</v>
      </c>
    </row>
    <row s="1650" customFormat="1" customHeight="1" ht="16.5">
      <c r="A38" s="220"/>
      <c r="B38" s="220"/>
      <c r="C38" s="220"/>
      <c r="D38" s="220"/>
      <c r="E38" s="797">
        <v>17.1</v>
      </c>
      <c r="F38" s="175" cm="1" t="str">
        <f t="array" ref="F38:F38">OFFSET(G38,-1,-1)</f>
        <v>1</v>
      </c>
      <c r="G38" s="220"/>
      <c r="H38" s="220"/>
      <c r="I38" s="220"/>
      <c r="J38" s="220"/>
      <c r="K38" s="220"/>
      <c r="L38" s="220"/>
      <c r="M38" s="220"/>
      <c r="N38" s="220"/>
      <c r="O38" s="220"/>
      <c r="P38" s="220"/>
      <c r="Q38" s="220"/>
      <c r="R38" s="220"/>
      <c r="S38" s="220"/>
      <c r="T38" s="220"/>
      <c r="U38" s="923">
        <f>F38&gt;0</f>
        <v>1</v>
      </c>
      <c r="V38" s="220"/>
      <c r="W38" s="220"/>
      <c r="X38" s="171" t="s">
        <v>416</v>
      </c>
      <c r="Y38" s="220"/>
      <c r="Z38" s="220"/>
      <c r="AA38" s="220"/>
      <c r="AB38" s="255"/>
      <c r="AC38" s="258" t="s">
        <v>417</v>
      </c>
      <c r="AD38" s="256"/>
      <c r="AE38" s="256"/>
      <c r="AF38" s="256"/>
      <c r="AG38" s="256"/>
      <c r="AH38" s="265"/>
      <c r="AI38" s="220"/>
      <c r="AJ38" s="220"/>
      <c r="AK38" s="1206"/>
      <c r="AL38" s="1206"/>
      <c r="AM38" s="1206"/>
      <c r="AN38" s="1206"/>
      <c r="AO38" s="1206"/>
      <c r="AP38" s="1206"/>
      <c r="AQ38" s="1206"/>
      <c r="AR38" s="1207" t="s">
        <v>415</v>
      </c>
      <c r="AS38" s="1207"/>
    </row>
    <row customHeight="1" ht="11.25">
      <c r="U39" s="171"/>
      <c r="V39" s="175" t="s">
        <v>236</v>
      </c>
      <c r="W39" s="171" t="s">
        <v>436</v>
      </c>
      <c r="X39" s="171"/>
      <c r="Y39" s="171"/>
      <c r="AI39" s="972"/>
    </row>
  </sheetData>
  <sheetProtection formatColumns="0" formatRows="0" insertRows="0" deleteColumns="0" deleteRows="0" sort="0" autoFilter="0" insertColumns="1"/>
  <mergeCells count="6">
    <mergeCell ref="AB22:AH22"/>
    <mergeCell ref="AF23:AG23"/>
    <mergeCell ref="Y26:Y29"/>
    <mergeCell ref="Z26:Z29"/>
    <mergeCell ref="Y30:Y38"/>
    <mergeCell ref="Z30:Z38"/>
  </mergeCells>
  <dataValidations count="1">
    <dataValidation type="list" showDropDown="1" errorTitle="Ошибка" error="Выберите значение из списка" prompt="Выберите значение из списка" sqref="AD29 AD3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300EB-236E-9568-F0B8-797E38AEEBF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60" width="3.57421875" hidden="1" customWidth="1"/>
    <col min="2" max="2" style="792" width="8.57421875" hidden="1" customWidth="1"/>
    <col min="3" max="4" style="960" width="3.57421875" hidden="1" customWidth="1"/>
    <col min="5" max="5" style="803" width="8.421875" hidden="1" customWidth="1"/>
    <col min="6" max="6" style="960" width="6.421875" hidden="1" customWidth="1"/>
    <col min="7" max="18" style="918" width="3.57421875" hidden="1" customWidth="1"/>
    <col min="19" max="20" style="965" width="3.57421875" hidden="1" customWidth="1"/>
    <col min="21" max="21" style="1443" width="7.28125" hidden="1" customWidth="1"/>
    <col min="22" max="22" style="1443" width="6.00390625" hidden="1" customWidth="1"/>
    <col min="23" max="24" style="1443" width="6.28125" hidden="1" customWidth="1"/>
    <col min="25" max="25" style="1443" width="5.7109375" hidden="1" customWidth="1"/>
    <col min="26" max="26" style="1443" width="5.421875" hidden="1" customWidth="1"/>
    <col min="27" max="27" style="918" width="3.00390625" customWidth="1"/>
    <col min="28" max="28" style="194" width="6.1328125" customWidth="1"/>
    <col min="29" max="29" style="194" width="63.75390625" customWidth="1"/>
    <col min="30" max="30" style="194" width="15.1328125" customWidth="1"/>
    <col min="31" max="31" style="200" width="20.1328125" customWidth="1"/>
    <col min="32" max="32" style="194" width="20.1328125" customWidth="1"/>
    <col min="33" max="41" style="194" width="20.1328125" hidden="1" customWidth="1"/>
    <col min="42" max="42" style="194" width="20.1328125" customWidth="1"/>
    <col min="43" max="51" style="194" width="20.1328125" hidden="1" customWidth="1"/>
    <col min="52" max="52" style="200" width="20.1328125" customWidth="1"/>
    <col min="53" max="53" style="194" width="3.00390625" customWidth="1"/>
    <col min="54" max="54" style="194" width="8.7109375" hidden="1"/>
    <col min="55" max="55" style="1171" width="8.7109375" hidden="1"/>
  </cols>
  <sheetData>
    <row s="960" customFormat="1" customHeight="1" ht="12" hidden="1">
      <c r="B1" s="792"/>
      <c r="E1" s="792"/>
      <c r="F1" s="819" t="s">
        <v>83</v>
      </c>
      <c r="G1" s="218"/>
      <c r="H1" s="218"/>
      <c r="I1" s="218"/>
      <c r="J1" s="218"/>
      <c r="K1" s="218"/>
      <c r="L1" s="218"/>
      <c r="M1" s="218"/>
      <c r="N1" s="218"/>
      <c r="O1" s="218"/>
      <c r="P1" s="218"/>
      <c r="Q1" s="218"/>
      <c r="R1" s="218"/>
      <c r="S1" s="214"/>
      <c r="T1" s="214"/>
      <c r="U1" s="808" t="s">
        <v>86</v>
      </c>
      <c r="V1" s="808" t="s">
        <v>91</v>
      </c>
      <c r="W1" s="808" t="s">
        <v>87</v>
      </c>
      <c r="X1" s="788"/>
      <c r="Y1" s="808" t="s">
        <v>89</v>
      </c>
      <c r="Z1" s="808" t="s">
        <v>93</v>
      </c>
      <c r="AF1" s="960"/>
      <c r="AG1" s="960"/>
      <c r="AH1" s="960"/>
      <c r="AI1" s="960"/>
      <c r="AJ1" s="960"/>
      <c r="AK1" s="960"/>
      <c r="AL1" s="960"/>
      <c r="AM1" s="960"/>
      <c r="AN1" s="960"/>
      <c r="AO1" s="960"/>
      <c r="AP1" s="960"/>
      <c r="AQ1" s="960"/>
      <c r="AR1" s="960"/>
      <c r="AS1" s="960"/>
      <c r="AT1" s="960"/>
      <c r="AU1" s="960"/>
      <c r="AV1" s="960"/>
      <c r="AW1" s="960"/>
      <c r="AX1" s="960"/>
      <c r="AY1" s="960"/>
      <c r="BC1" s="1158" t="s">
        <v>373</v>
      </c>
    </row>
    <row s="792" customFormat="1" customHeight="1" ht="12" hidden="1">
      <c r="B2" s="910" t="s">
        <v>15</v>
      </c>
      <c r="G2" s="966"/>
      <c r="H2" s="966"/>
      <c r="I2" s="966"/>
      <c r="J2" s="966"/>
      <c r="K2" s="966"/>
      <c r="L2" s="966"/>
      <c r="M2" s="966"/>
      <c r="N2" s="966"/>
      <c r="O2" s="966"/>
      <c r="P2" s="966"/>
      <c r="Q2" s="966"/>
      <c r="R2" s="966"/>
      <c r="S2" s="930"/>
      <c r="T2" s="930"/>
      <c r="U2" s="788"/>
      <c r="V2" s="788"/>
      <c r="W2" s="788"/>
      <c r="X2" s="788"/>
      <c r="Y2" s="788"/>
      <c r="Z2" s="788"/>
      <c r="AE2" s="788"/>
      <c r="AF2" s="809">
        <f>AF6&lt;=last_year_vis</f>
        <v>1</v>
      </c>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0</v>
      </c>
      <c r="AP2" s="809">
        <f>AP6&lt;=last_year_vis</f>
        <v>1</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AY2" s="809">
        <f>AY6&lt;=last_year_vis</f>
        <v>0</v>
      </c>
      <c r="BC2" s="1160"/>
    </row>
    <row s="960" customFormat="1" customHeight="1" ht="12" hidden="1">
      <c r="B3" s="792"/>
      <c r="C3" s="179"/>
      <c r="E3" s="792"/>
      <c r="G3" s="218"/>
      <c r="H3" s="218"/>
      <c r="I3" s="218"/>
      <c r="J3" s="218"/>
      <c r="K3" s="218"/>
      <c r="L3" s="218"/>
      <c r="M3" s="218"/>
      <c r="N3" s="218"/>
      <c r="O3" s="218"/>
      <c r="P3" s="218"/>
      <c r="Q3" s="218"/>
      <c r="R3" s="218"/>
      <c r="S3" s="214"/>
      <c r="T3" s="214"/>
      <c r="U3" s="179"/>
      <c r="V3" s="179"/>
      <c r="W3" s="179"/>
      <c r="X3" s="179"/>
      <c r="Y3" s="179"/>
      <c r="Z3" s="179"/>
      <c r="AF3" s="960"/>
      <c r="AG3" s="960"/>
      <c r="AH3" s="960"/>
      <c r="AI3" s="960"/>
      <c r="AJ3" s="960"/>
      <c r="AK3" s="960"/>
      <c r="AL3" s="960"/>
      <c r="AM3" s="960"/>
      <c r="AN3" s="960"/>
      <c r="AO3" s="960"/>
      <c r="AP3" s="960"/>
      <c r="AQ3" s="960"/>
      <c r="AR3" s="960"/>
      <c r="AS3" s="960"/>
      <c r="AT3" s="960"/>
      <c r="AU3" s="960"/>
      <c r="AV3" s="960"/>
      <c r="AW3" s="960"/>
      <c r="AX3" s="960"/>
      <c r="AY3" s="960"/>
      <c r="BC3" s="1158"/>
    </row>
    <row s="960" customFormat="1" customHeight="1" ht="12" hidden="1">
      <c r="B4" s="792"/>
      <c r="E4" s="792"/>
      <c r="G4" s="218"/>
      <c r="H4" s="218"/>
      <c r="I4" s="218"/>
      <c r="J4" s="218"/>
      <c r="K4" s="218"/>
      <c r="L4" s="218"/>
      <c r="M4" s="218"/>
      <c r="N4" s="218"/>
      <c r="O4" s="218"/>
      <c r="P4" s="218"/>
      <c r="Q4" s="218"/>
      <c r="R4" s="218"/>
      <c r="S4" s="214"/>
      <c r="T4" s="214"/>
      <c r="U4" s="179"/>
      <c r="V4" s="179"/>
      <c r="W4" s="179"/>
      <c r="X4" s="179"/>
      <c r="Y4" s="179"/>
      <c r="Z4" s="179"/>
      <c r="AF4" s="960"/>
      <c r="AG4" s="960"/>
      <c r="AH4" s="960"/>
      <c r="AI4" s="960"/>
      <c r="AJ4" s="960"/>
      <c r="AK4" s="960"/>
      <c r="AL4" s="960"/>
      <c r="AM4" s="960"/>
      <c r="AN4" s="960"/>
      <c r="AO4" s="960"/>
      <c r="AP4" s="960"/>
      <c r="AQ4" s="960"/>
      <c r="AR4" s="960"/>
      <c r="AS4" s="960"/>
      <c r="AT4" s="960"/>
      <c r="AU4" s="960"/>
      <c r="AV4" s="960"/>
      <c r="AW4" s="960"/>
      <c r="AX4" s="960"/>
      <c r="AY4" s="960"/>
      <c r="BC4" s="1158"/>
    </row>
    <row s="803" customFormat="1" customHeight="1" ht="12" hidden="1">
      <c r="A5" s="792"/>
      <c r="B5" s="792"/>
      <c r="C5" s="792"/>
      <c r="D5" s="792"/>
      <c r="E5" s="803" t="s">
        <v>16</v>
      </c>
      <c r="G5" s="967"/>
      <c r="H5" s="967"/>
      <c r="I5" s="967"/>
      <c r="J5" s="967"/>
      <c r="K5" s="967"/>
      <c r="L5" s="967"/>
      <c r="M5" s="967"/>
      <c r="N5" s="967"/>
      <c r="O5" s="967"/>
      <c r="P5" s="967"/>
      <c r="Q5" s="967"/>
      <c r="R5" s="967"/>
      <c r="S5" s="931"/>
      <c r="T5" s="931"/>
      <c r="U5" s="797"/>
      <c r="V5" s="797"/>
      <c r="W5" s="797"/>
      <c r="X5" s="797"/>
      <c r="Y5" s="797"/>
      <c r="Z5" s="797"/>
      <c r="AA5" s="803">
        <v>3</v>
      </c>
      <c r="AB5" s="803">
        <v>6.13</v>
      </c>
      <c r="AC5" s="803">
        <v>63.75</v>
      </c>
      <c r="AD5" s="803">
        <v>15.13</v>
      </c>
      <c r="AE5" s="803">
        <v>20.13</v>
      </c>
      <c r="AF5" s="803">
        <v>20.13</v>
      </c>
      <c r="AG5" s="803">
        <v>20.13</v>
      </c>
      <c r="AH5" s="803">
        <v>20.13</v>
      </c>
      <c r="AI5" s="803">
        <v>20.13</v>
      </c>
      <c r="AJ5" s="803">
        <v>20.13</v>
      </c>
      <c r="AK5" s="803">
        <v>20.13</v>
      </c>
      <c r="AL5" s="803">
        <v>20.13</v>
      </c>
      <c r="AM5" s="803">
        <v>20.13</v>
      </c>
      <c r="AN5" s="803">
        <v>20.13</v>
      </c>
      <c r="AO5" s="803">
        <v>20.13</v>
      </c>
      <c r="AP5" s="803">
        <v>20.13</v>
      </c>
      <c r="AQ5" s="803">
        <v>20.13</v>
      </c>
      <c r="AR5" s="803">
        <v>20.13</v>
      </c>
      <c r="AS5" s="803">
        <v>20.13</v>
      </c>
      <c r="AT5" s="803">
        <v>20.13</v>
      </c>
      <c r="AU5" s="803">
        <v>20.13</v>
      </c>
      <c r="AV5" s="803">
        <v>20.13</v>
      </c>
      <c r="AW5" s="803">
        <v>20.13</v>
      </c>
      <c r="AX5" s="803">
        <v>20.13</v>
      </c>
      <c r="AY5" s="803">
        <v>20.13</v>
      </c>
      <c r="AZ5" s="803">
        <v>20.13</v>
      </c>
      <c r="BA5" s="803">
        <v>3</v>
      </c>
      <c r="BC5" s="1160"/>
    </row>
    <row s="960" customFormat="1" customHeight="1" ht="12" hidden="1">
      <c r="B6" s="792"/>
      <c r="E6" s="803"/>
      <c r="G6" s="218"/>
      <c r="H6" s="218"/>
      <c r="I6" s="218"/>
      <c r="J6" s="218"/>
      <c r="K6" s="218"/>
      <c r="L6" s="218"/>
      <c r="M6" s="218"/>
      <c r="N6" s="218"/>
      <c r="O6" s="218"/>
      <c r="P6" s="218"/>
      <c r="Q6" s="218"/>
      <c r="R6" s="218"/>
      <c r="S6" s="214"/>
      <c r="T6" s="214"/>
      <c r="U6" s="179"/>
      <c r="V6" s="179"/>
      <c r="W6" s="179"/>
      <c r="X6" s="179"/>
      <c r="Y6" s="179"/>
      <c r="Z6" s="179"/>
      <c r="AE6" s="175">
        <f>god-1</f>
        <v>2025</v>
      </c>
      <c r="AF6" s="175" cm="1" t="str">
        <f t="array" ref="AF6:AF6">god</f>
        <v>2026</v>
      </c>
      <c r="AG6" s="175">
        <f>god+1</f>
        <v>2027</v>
      </c>
      <c r="AH6" s="175">
        <f>god+2</f>
        <v>2028</v>
      </c>
      <c r="AI6" s="175">
        <f>god+3</f>
        <v>2029</v>
      </c>
      <c r="AJ6" s="175">
        <f>god+4</f>
        <v>2030</v>
      </c>
      <c r="AK6" s="175">
        <f>god+5</f>
        <v>2031</v>
      </c>
      <c r="AL6" s="175">
        <f>god+6</f>
        <v>2032</v>
      </c>
      <c r="AM6" s="175">
        <f>god+7</f>
        <v>2033</v>
      </c>
      <c r="AN6" s="175">
        <f>god+8</f>
        <v>2034</v>
      </c>
      <c r="AO6" s="175">
        <f>god+9</f>
        <v>2035</v>
      </c>
      <c r="AP6" s="175" cm="1" t="str">
        <f t="array" ref="AP6:AP6">god</f>
        <v>2026</v>
      </c>
      <c r="AQ6" s="175">
        <f>god+1</f>
        <v>2027</v>
      </c>
      <c r="AR6" s="175">
        <f>god+2</f>
        <v>2028</v>
      </c>
      <c r="AS6" s="175">
        <f>god+3</f>
        <v>2029</v>
      </c>
      <c r="AT6" s="175">
        <f>god+4</f>
        <v>2030</v>
      </c>
      <c r="AU6" s="175">
        <f>god+5</f>
        <v>2031</v>
      </c>
      <c r="AV6" s="175">
        <f>god+6</f>
        <v>2032</v>
      </c>
      <c r="AW6" s="175">
        <f>god+7</f>
        <v>2033</v>
      </c>
      <c r="AX6" s="175">
        <f>god+8</f>
        <v>2034</v>
      </c>
      <c r="AY6" s="175">
        <f>god+9</f>
        <v>2035</v>
      </c>
      <c r="BC6" s="1158"/>
    </row>
    <row s="918" customFormat="1" customHeight="1" ht="12" hidden="1">
      <c r="A7" s="374"/>
      <c r="B7" s="792"/>
      <c r="C7" s="374"/>
      <c r="D7" s="374"/>
      <c r="E7" s="803"/>
      <c r="S7" s="214"/>
      <c r="T7" s="214"/>
      <c r="U7" s="214"/>
      <c r="V7" s="214"/>
      <c r="W7" s="214"/>
      <c r="X7" s="214"/>
      <c r="Y7" s="214"/>
      <c r="Z7" s="214"/>
      <c r="AE7" s="213" cm="1" t="str">
        <f t="array" ref="AE7:AE7">AE25</f>
        <v>Принято органом регулирования</v>
      </c>
      <c r="AF7" s="213" cm="1" t="str">
        <f t="array" ref="AF7:AF7">AF25</f>
        <v>Предложение организации</v>
      </c>
      <c r="AG7" s="213" cm="1" t="str">
        <f t="array" ref="AG7:AG7">AG25</f>
        <v>Предложение организации</v>
      </c>
      <c r="AH7" s="213" cm="1" t="str">
        <f t="array" ref="AH7:AH7">AH25</f>
        <v>Предложение организации</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Предложение организации</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AY7" s="213" cm="1" t="str">
        <f t="array" ref="AY7:AY7">AY25</f>
        <v>Принято органом регулирования</v>
      </c>
      <c r="AZ7" s="965"/>
      <c r="BC7" s="1158"/>
    </row>
    <row s="918" customFormat="1" customHeight="1" ht="12" hidden="1">
      <c r="A8" s="374"/>
      <c r="B8" s="792"/>
      <c r="C8" s="374"/>
      <c r="D8" s="374"/>
      <c r="E8" s="803"/>
      <c r="S8" s="214"/>
      <c r="T8" s="214"/>
      <c r="U8" s="214"/>
      <c r="V8" s="214"/>
      <c r="W8" s="214"/>
      <c r="X8" s="214"/>
      <c r="Y8" s="214"/>
      <c r="Z8" s="214"/>
      <c r="AE8" s="213" t="str">
        <f>AE6&amp;AE7</f>
        <v>2025Принято органом регулирования</v>
      </c>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C8" s="1158"/>
    </row>
    <row s="1172" customFormat="1" customHeight="1" ht="12" hidden="1">
      <c r="A9" s="1158" t="s">
        <v>437</v>
      </c>
      <c r="B9" s="1154"/>
      <c r="E9" s="1154"/>
      <c r="AE9" s="1152">
        <f>god-1</f>
        <v>2025</v>
      </c>
      <c r="AF9" s="1152" cm="1" t="str">
        <f t="array" ref="AF9:AF9">god</f>
        <v>2026</v>
      </c>
      <c r="AG9" s="1152">
        <f>god+1</f>
        <v>2027</v>
      </c>
      <c r="AH9" s="1152">
        <f>god+2</f>
        <v>2028</v>
      </c>
      <c r="AI9" s="1152">
        <f>god+3</f>
        <v>2029</v>
      </c>
      <c r="AJ9" s="1152">
        <f>god+4</f>
        <v>2030</v>
      </c>
      <c r="AK9" s="1152">
        <f>god+5</f>
        <v>2031</v>
      </c>
      <c r="AL9" s="1152">
        <f>god+6</f>
        <v>2032</v>
      </c>
      <c r="AM9" s="1152">
        <f>god+7</f>
        <v>2033</v>
      </c>
      <c r="AN9" s="1152">
        <f>god+8</f>
        <v>2034</v>
      </c>
      <c r="AO9" s="1152">
        <f>god+9</f>
        <v>2035</v>
      </c>
      <c r="AP9" s="1152" cm="1" t="str">
        <f t="array" ref="AP9:AP9">god</f>
        <v>2026</v>
      </c>
      <c r="AQ9" s="1152">
        <f>god+1</f>
        <v>2027</v>
      </c>
      <c r="AR9" s="1152">
        <f>god+2</f>
        <v>2028</v>
      </c>
      <c r="AS9" s="1152">
        <f>god+3</f>
        <v>2029</v>
      </c>
      <c r="AT9" s="1152">
        <f>god+4</f>
        <v>2030</v>
      </c>
      <c r="AU9" s="1152">
        <f>god+5</f>
        <v>2031</v>
      </c>
      <c r="AV9" s="1152">
        <f>god+6</f>
        <v>2032</v>
      </c>
      <c r="AW9" s="1152">
        <f>god+7</f>
        <v>2033</v>
      </c>
      <c r="AX9" s="1152">
        <f>god+8</f>
        <v>2034</v>
      </c>
      <c r="AY9" s="1152">
        <f>god+9</f>
        <v>2035</v>
      </c>
      <c r="BC9" s="1158"/>
    </row>
    <row s="1172" customFormat="1" customHeight="1" ht="12" hidden="1">
      <c r="A10" s="1158" t="s">
        <v>438</v>
      </c>
      <c r="B10" s="1154"/>
      <c r="E10" s="1154"/>
      <c r="AE10" s="1152" cm="1" t="str">
        <f t="array" ref="AE10:AE10">AE25</f>
        <v>Принято органом регулирования</v>
      </c>
      <c r="AF10" s="1152" cm="1" t="str">
        <f t="array" ref="AF10:AF10">AF25</f>
        <v>Предложение организации</v>
      </c>
      <c r="AG10" s="1152" cm="1" t="str">
        <f t="array" ref="AG10:AG10">AG25</f>
        <v>Предложение организации</v>
      </c>
      <c r="AH10" s="1152" cm="1" t="str">
        <f t="array" ref="AH10:AH10">AH25</f>
        <v>Предложение организации</v>
      </c>
      <c r="AI10" s="1152" cm="1" t="str">
        <f t="array" ref="AI10:AI10">AI25</f>
        <v>Предложение организации</v>
      </c>
      <c r="AJ10" s="1152" cm="1" t="str">
        <f t="array" ref="AJ10:AJ10">AJ25</f>
        <v>Предложение организации</v>
      </c>
      <c r="AK10" s="1152" cm="1" t="str">
        <f t="array" ref="AK10:AK10">AK25</f>
        <v>Предложение организации</v>
      </c>
      <c r="AL10" s="1152" cm="1" t="str">
        <f t="array" ref="AL10:AL10">AL25</f>
        <v>Предложение организации</v>
      </c>
      <c r="AM10" s="1152" cm="1" t="str">
        <f t="array" ref="AM10:AM10">AM25</f>
        <v>Предложение организации</v>
      </c>
      <c r="AN10" s="1152" cm="1" t="str">
        <f t="array" ref="AN10:AN10">AN25</f>
        <v>Предложение организации</v>
      </c>
      <c r="AO10" s="1152" cm="1" t="str">
        <f t="array" ref="AO10:AO10">AO25</f>
        <v>Предложение организации</v>
      </c>
      <c r="AP10" s="1152" cm="1" t="str">
        <f t="array" ref="AP10:AP10">AP25</f>
        <v>Принято органом регулирования</v>
      </c>
      <c r="AQ10" s="1152" cm="1" t="str">
        <f t="array" ref="AQ10:AQ10">AQ25</f>
        <v>Принято органом регулирования</v>
      </c>
      <c r="AR10" s="1152" cm="1" t="str">
        <f t="array" ref="AR10:AR10">AR25</f>
        <v>Принято органом регулирования</v>
      </c>
      <c r="AS10" s="1152" cm="1" t="str">
        <f t="array" ref="AS10:AS10">AS25</f>
        <v>Принято органом регулирования</v>
      </c>
      <c r="AT10" s="1152" cm="1" t="str">
        <f t="array" ref="AT10:AT10">AT25</f>
        <v>Принято органом регулирования</v>
      </c>
      <c r="AU10" s="1152" cm="1" t="str">
        <f t="array" ref="AU10:AU10">AU25</f>
        <v>Принято органом регулирования</v>
      </c>
      <c r="AV10" s="1152" cm="1" t="str">
        <f t="array" ref="AV10:AV10">AV25</f>
        <v>Принято органом регулирования</v>
      </c>
      <c r="AW10" s="1152" cm="1" t="str">
        <f t="array" ref="AW10:AW10">AW25</f>
        <v>Принято органом регулирования</v>
      </c>
      <c r="AX10" s="1152" cm="1" t="str">
        <f t="array" ref="AX10:AX10">AX25</f>
        <v>Принято органом регулирования</v>
      </c>
      <c r="AY10" s="1152" cm="1" t="str">
        <f t="array" ref="AY10:AY10">AY25</f>
        <v>Принято органом регулирования</v>
      </c>
      <c r="BC10" s="1158"/>
    </row>
    <row s="1153" customFormat="1" customHeight="1" ht="12" hidden="1">
      <c r="A11" s="1158" t="s">
        <v>439</v>
      </c>
      <c r="B11" s="1155"/>
      <c r="E11" s="1155"/>
      <c r="G11" s="1156"/>
      <c r="H11" s="1156"/>
      <c r="I11" s="1156"/>
      <c r="J11" s="1156"/>
      <c r="K11" s="1156"/>
      <c r="L11" s="1156"/>
      <c r="M11" s="1156"/>
      <c r="N11" s="1156"/>
      <c r="O11" s="1156"/>
      <c r="P11" s="1156"/>
      <c r="Q11" s="1156"/>
      <c r="R11" s="1156"/>
      <c r="S11" s="1159"/>
      <c r="T11" s="1159"/>
      <c r="U11" s="1152"/>
      <c r="V11" s="1152"/>
      <c r="W11" s="1152"/>
      <c r="X11" s="1152"/>
      <c r="Y11" s="1152"/>
      <c r="Z11" s="1152"/>
      <c r="AF11" s="1153"/>
      <c r="AG11" s="1153"/>
      <c r="AH11" s="1153"/>
      <c r="AI11" s="1153"/>
      <c r="AJ11" s="1153"/>
      <c r="AK11" s="1153"/>
      <c r="AL11" s="1153"/>
      <c r="AM11" s="1153"/>
      <c r="AN11" s="1153"/>
      <c r="AO11" s="1153"/>
      <c r="AP11" s="1153"/>
      <c r="AQ11" s="1153"/>
      <c r="AR11" s="1153"/>
      <c r="AS11" s="1153"/>
      <c r="AT11" s="1153"/>
      <c r="AU11" s="1153"/>
      <c r="AV11" s="1153"/>
      <c r="AW11" s="1153"/>
      <c r="AX11" s="1153"/>
      <c r="AY11" s="1153"/>
      <c r="AZ11" s="1153" cm="1" t="str">
        <f t="array" ref="AZ11:AZ11">AZ24</f>
        <v>Комментарии</v>
      </c>
      <c r="BC11" s="1158"/>
    </row>
    <row s="960" customFormat="1" customHeight="1" ht="12" hidden="1">
      <c r="B12" s="792"/>
      <c r="E12" s="803"/>
      <c r="G12" s="218"/>
      <c r="H12" s="218"/>
      <c r="I12" s="218"/>
      <c r="J12" s="218"/>
      <c r="K12" s="218"/>
      <c r="L12" s="218"/>
      <c r="M12" s="218"/>
      <c r="N12" s="218"/>
      <c r="O12" s="218"/>
      <c r="P12" s="218"/>
      <c r="Q12" s="218"/>
      <c r="R12" s="218"/>
      <c r="S12" s="214"/>
      <c r="T12" s="214"/>
      <c r="U12" s="179"/>
      <c r="V12" s="179"/>
      <c r="W12" s="179"/>
      <c r="X12" s="179"/>
      <c r="Y12" s="179"/>
      <c r="Z12" s="179"/>
      <c r="AF12" s="960"/>
      <c r="AG12" s="960"/>
      <c r="AH12" s="960"/>
      <c r="AI12" s="960"/>
      <c r="AJ12" s="960"/>
      <c r="AK12" s="960"/>
      <c r="AL12" s="960"/>
      <c r="AM12" s="960"/>
      <c r="AN12" s="960"/>
      <c r="AO12" s="960"/>
      <c r="AP12" s="960"/>
      <c r="AQ12" s="960"/>
      <c r="AR12" s="960"/>
      <c r="AS12" s="960"/>
      <c r="AT12" s="960"/>
      <c r="AU12" s="960"/>
      <c r="AV12" s="960"/>
      <c r="AW12" s="960"/>
      <c r="AX12" s="960"/>
      <c r="AY12" s="960"/>
      <c r="BC12" s="1158"/>
    </row>
    <row s="960" customFormat="1" customHeight="1" ht="12" hidden="1">
      <c r="B13" s="792"/>
      <c r="E13" s="803"/>
      <c r="G13" s="218"/>
      <c r="H13" s="218"/>
      <c r="I13" s="218"/>
      <c r="J13" s="218"/>
      <c r="K13" s="218"/>
      <c r="L13" s="218"/>
      <c r="M13" s="218"/>
      <c r="N13" s="218"/>
      <c r="O13" s="218"/>
      <c r="P13" s="218"/>
      <c r="Q13" s="218"/>
      <c r="R13" s="218"/>
      <c r="S13" s="214"/>
      <c r="T13" s="214"/>
      <c r="U13" s="179"/>
      <c r="V13" s="179"/>
      <c r="W13" s="179"/>
      <c r="X13" s="179"/>
      <c r="Y13" s="179"/>
      <c r="Z13" s="179"/>
      <c r="AA13" s="179"/>
      <c r="AB13" s="179"/>
      <c r="AF13" s="960"/>
      <c r="AG13" s="960"/>
      <c r="AH13" s="960"/>
      <c r="AI13" s="960"/>
      <c r="AJ13" s="960"/>
      <c r="AK13" s="960"/>
      <c r="AL13" s="960"/>
      <c r="AM13" s="960"/>
      <c r="AN13" s="960"/>
      <c r="AO13" s="960"/>
      <c r="AP13" s="960"/>
      <c r="AQ13" s="960"/>
      <c r="AR13" s="960"/>
      <c r="AS13" s="960"/>
      <c r="AT13" s="960"/>
      <c r="AU13" s="960"/>
      <c r="AV13" s="960"/>
      <c r="AW13" s="960"/>
      <c r="AX13" s="960"/>
      <c r="AY13" s="960"/>
      <c r="BC13" s="1158"/>
    </row>
    <row s="960" customFormat="1" customHeight="1" ht="12" hidden="1">
      <c r="B14" s="792"/>
      <c r="E14" s="803"/>
      <c r="G14" s="218"/>
      <c r="H14" s="218"/>
      <c r="I14" s="218"/>
      <c r="J14" s="218"/>
      <c r="K14" s="218"/>
      <c r="L14" s="218"/>
      <c r="M14" s="218"/>
      <c r="N14" s="218"/>
      <c r="O14" s="218"/>
      <c r="P14" s="218"/>
      <c r="Q14" s="218"/>
      <c r="R14" s="218"/>
      <c r="S14" s="214"/>
      <c r="T14" s="214"/>
      <c r="U14" s="179"/>
      <c r="V14" s="179"/>
      <c r="W14" s="179"/>
      <c r="X14" s="179"/>
      <c r="Y14" s="179"/>
      <c r="Z14" s="179"/>
      <c r="AA14" s="179"/>
      <c r="AB14" s="179"/>
      <c r="AF14" s="960"/>
      <c r="AG14" s="960"/>
      <c r="AH14" s="960"/>
      <c r="AI14" s="960"/>
      <c r="AJ14" s="960"/>
      <c r="AK14" s="960"/>
      <c r="AL14" s="960"/>
      <c r="AM14" s="960"/>
      <c r="AN14" s="960"/>
      <c r="AO14" s="960"/>
      <c r="AP14" s="960"/>
      <c r="AQ14" s="960"/>
      <c r="AR14" s="960"/>
      <c r="AS14" s="960"/>
      <c r="AT14" s="960"/>
      <c r="AU14" s="960"/>
      <c r="AV14" s="960"/>
      <c r="AW14" s="960"/>
      <c r="AX14" s="960"/>
      <c r="AY14" s="960"/>
      <c r="BC14" s="1158"/>
    </row>
    <row s="960" customFormat="1" customHeight="1" ht="12" hidden="1">
      <c r="B15" s="792"/>
      <c r="E15" s="803"/>
      <c r="G15" s="218"/>
      <c r="H15" s="218"/>
      <c r="I15" s="218"/>
      <c r="J15" s="218"/>
      <c r="K15" s="218"/>
      <c r="L15" s="218"/>
      <c r="M15" s="218"/>
      <c r="N15" s="218"/>
      <c r="O15" s="218"/>
      <c r="P15" s="218"/>
      <c r="Q15" s="218"/>
      <c r="R15" s="218"/>
      <c r="S15" s="214"/>
      <c r="T15" s="214"/>
      <c r="U15" s="179"/>
      <c r="V15" s="179"/>
      <c r="W15" s="179"/>
      <c r="X15" s="179"/>
      <c r="Y15" s="179"/>
      <c r="Z15" s="179"/>
      <c r="AA15" s="179"/>
      <c r="AB15" s="179"/>
      <c r="AF15" s="960"/>
      <c r="AG15" s="960"/>
      <c r="AH15" s="960"/>
      <c r="AI15" s="960"/>
      <c r="AJ15" s="960"/>
      <c r="AK15" s="960"/>
      <c r="AL15" s="960"/>
      <c r="AM15" s="960"/>
      <c r="AN15" s="960"/>
      <c r="AO15" s="960"/>
      <c r="AP15" s="960"/>
      <c r="AQ15" s="960"/>
      <c r="AR15" s="960"/>
      <c r="AS15" s="960"/>
      <c r="AT15" s="960"/>
      <c r="AU15" s="960"/>
      <c r="AV15" s="960"/>
      <c r="AW15" s="960"/>
      <c r="AX15" s="960"/>
      <c r="AY15" s="960"/>
      <c r="BC15" s="1158"/>
    </row>
    <row s="960" customFormat="1" customHeight="1" ht="12" hidden="1">
      <c r="B16" s="792"/>
      <c r="E16" s="803"/>
      <c r="G16" s="218"/>
      <c r="H16" s="218"/>
      <c r="I16" s="218"/>
      <c r="J16" s="218"/>
      <c r="K16" s="218"/>
      <c r="L16" s="218"/>
      <c r="M16" s="218"/>
      <c r="N16" s="218"/>
      <c r="O16" s="218"/>
      <c r="P16" s="218"/>
      <c r="Q16" s="218"/>
      <c r="R16" s="218"/>
      <c r="S16" s="214"/>
      <c r="T16" s="214"/>
      <c r="U16" s="179"/>
      <c r="V16" s="179"/>
      <c r="W16" s="179"/>
      <c r="X16" s="179"/>
      <c r="Y16" s="179"/>
      <c r="Z16" s="179"/>
      <c r="AA16" s="179"/>
      <c r="AB16" s="179"/>
      <c r="AF16" s="960"/>
      <c r="AG16" s="960"/>
      <c r="AH16" s="960"/>
      <c r="AI16" s="960"/>
      <c r="AJ16" s="960"/>
      <c r="AK16" s="960"/>
      <c r="AL16" s="960"/>
      <c r="AM16" s="960"/>
      <c r="AN16" s="960"/>
      <c r="AO16" s="960"/>
      <c r="AP16" s="960"/>
      <c r="AQ16" s="960"/>
      <c r="AR16" s="960"/>
      <c r="AS16" s="960"/>
      <c r="AT16" s="960"/>
      <c r="AU16" s="960"/>
      <c r="AV16" s="960"/>
      <c r="AW16" s="960"/>
      <c r="AX16" s="960"/>
      <c r="AY16" s="960"/>
      <c r="BC16" s="1158"/>
    </row>
    <row s="960" customFormat="1" customHeight="1" ht="12" hidden="1">
      <c r="B17" s="792"/>
      <c r="E17" s="803"/>
      <c r="G17" s="218"/>
      <c r="H17" s="218"/>
      <c r="I17" s="218"/>
      <c r="J17" s="218"/>
      <c r="K17" s="218"/>
      <c r="L17" s="218"/>
      <c r="M17" s="218"/>
      <c r="N17" s="218"/>
      <c r="O17" s="218"/>
      <c r="P17" s="218"/>
      <c r="Q17" s="218"/>
      <c r="R17" s="218"/>
      <c r="S17" s="214"/>
      <c r="T17" s="214"/>
      <c r="U17" s="179"/>
      <c r="V17" s="179"/>
      <c r="W17" s="179"/>
      <c r="X17" s="179"/>
      <c r="Y17" s="179"/>
      <c r="Z17" s="179"/>
      <c r="AA17" s="179"/>
      <c r="AB17" s="179"/>
      <c r="AF17" s="960"/>
      <c r="AG17" s="960"/>
      <c r="AH17" s="960"/>
      <c r="AI17" s="960"/>
      <c r="AJ17" s="960"/>
      <c r="AK17" s="960"/>
      <c r="AL17" s="960"/>
      <c r="AM17" s="960"/>
      <c r="AN17" s="960"/>
      <c r="AO17" s="960"/>
      <c r="AP17" s="960"/>
      <c r="AQ17" s="960"/>
      <c r="AR17" s="960"/>
      <c r="AS17" s="960"/>
      <c r="AT17" s="960"/>
      <c r="AU17" s="960"/>
      <c r="AV17" s="960"/>
      <c r="AW17" s="960"/>
      <c r="AX17" s="960"/>
      <c r="AY17" s="960"/>
      <c r="BC17" s="1158"/>
    </row>
    <row s="960" customFormat="1" customHeight="1" ht="12" hidden="1">
      <c r="B18" s="792"/>
      <c r="E18" s="803"/>
      <c r="G18" s="218"/>
      <c r="H18" s="218"/>
      <c r="I18" s="218"/>
      <c r="J18" s="218"/>
      <c r="K18" s="218"/>
      <c r="L18" s="218"/>
      <c r="M18" s="218"/>
      <c r="N18" s="218"/>
      <c r="O18" s="218"/>
      <c r="P18" s="218"/>
      <c r="Q18" s="218"/>
      <c r="R18" s="218"/>
      <c r="S18" s="214"/>
      <c r="T18" s="214"/>
      <c r="U18" s="179"/>
      <c r="V18" s="179"/>
      <c r="W18" s="179"/>
      <c r="X18" s="179"/>
      <c r="Y18" s="179"/>
      <c r="Z18" s="179"/>
      <c r="AA18" s="179"/>
      <c r="AB18" s="179"/>
      <c r="AF18" s="960"/>
      <c r="AG18" s="960"/>
      <c r="AH18" s="960"/>
      <c r="AI18" s="960"/>
      <c r="AJ18" s="960"/>
      <c r="AK18" s="960"/>
      <c r="AL18" s="960"/>
      <c r="AM18" s="960"/>
      <c r="AN18" s="960"/>
      <c r="AO18" s="960"/>
      <c r="AP18" s="960"/>
      <c r="AQ18" s="960"/>
      <c r="AR18" s="960"/>
      <c r="AS18" s="960"/>
      <c r="AT18" s="960"/>
      <c r="AU18" s="960"/>
      <c r="AV18" s="960"/>
      <c r="AW18" s="960"/>
      <c r="AX18" s="960"/>
      <c r="AY18" s="960"/>
      <c r="BC18" s="1158"/>
    </row>
    <row s="960" customFormat="1" customHeight="1" ht="12" hidden="1">
      <c r="B19" s="792"/>
      <c r="E19" s="803"/>
      <c r="G19" s="218"/>
      <c r="H19" s="218"/>
      <c r="I19" s="218"/>
      <c r="J19" s="218"/>
      <c r="K19" s="218"/>
      <c r="L19" s="218"/>
      <c r="M19" s="218"/>
      <c r="N19" s="218"/>
      <c r="O19" s="218"/>
      <c r="P19" s="218"/>
      <c r="Q19" s="218"/>
      <c r="R19" s="218"/>
      <c r="S19" s="214"/>
      <c r="T19" s="214"/>
      <c r="U19" s="179"/>
      <c r="V19" s="179"/>
      <c r="W19" s="179"/>
      <c r="X19" s="179"/>
      <c r="Y19" s="179"/>
      <c r="Z19" s="179"/>
      <c r="AA19" s="179"/>
      <c r="AB19" s="179"/>
      <c r="AF19" s="960"/>
      <c r="AG19" s="960"/>
      <c r="AH19" s="960"/>
      <c r="AI19" s="960"/>
      <c r="AJ19" s="960"/>
      <c r="AK19" s="960"/>
      <c r="AL19" s="960"/>
      <c r="AM19" s="960"/>
      <c r="AN19" s="960"/>
      <c r="AO19" s="960"/>
      <c r="AP19" s="960"/>
      <c r="AQ19" s="960"/>
      <c r="AR19" s="960"/>
      <c r="AS19" s="960"/>
      <c r="AT19" s="960"/>
      <c r="AU19" s="960"/>
      <c r="AV19" s="960"/>
      <c r="AW19" s="960"/>
      <c r="AX19" s="960"/>
      <c r="AY19" s="960"/>
      <c r="BC19" s="1158"/>
    </row>
    <row s="960" customFormat="1" customHeight="1" ht="12" hidden="1">
      <c r="B20" s="792"/>
      <c r="E20" s="803"/>
      <c r="G20" s="218"/>
      <c r="H20" s="218"/>
      <c r="I20" s="218"/>
      <c r="J20" s="218"/>
      <c r="K20" s="218"/>
      <c r="L20" s="218"/>
      <c r="M20" s="218"/>
      <c r="N20" s="218"/>
      <c r="O20" s="218"/>
      <c r="P20" s="218"/>
      <c r="Q20" s="218"/>
      <c r="R20" s="218"/>
      <c r="S20" s="214"/>
      <c r="T20" s="214"/>
      <c r="U20" s="179"/>
      <c r="V20" s="179"/>
      <c r="W20" s="179"/>
      <c r="X20" s="179"/>
      <c r="Y20" s="179"/>
      <c r="Z20" s="179"/>
      <c r="AA20" s="179"/>
      <c r="AB20" s="179"/>
      <c r="AF20" s="960"/>
      <c r="AG20" s="960"/>
      <c r="AH20" s="960"/>
      <c r="AI20" s="960"/>
      <c r="AJ20" s="960"/>
      <c r="AK20" s="960"/>
      <c r="AL20" s="960"/>
      <c r="AM20" s="960"/>
      <c r="AN20" s="960"/>
      <c r="AO20" s="960"/>
      <c r="AP20" s="960"/>
      <c r="AQ20" s="960"/>
      <c r="AR20" s="960"/>
      <c r="AS20" s="960"/>
      <c r="AT20" s="960"/>
      <c r="AU20" s="960"/>
      <c r="AV20" s="960"/>
      <c r="AW20" s="960"/>
      <c r="AX20" s="960"/>
      <c r="AY20" s="960"/>
      <c r="BC20" s="1158"/>
    </row>
    <row s="918" customFormat="1" customHeight="1" ht="14.625">
      <c r="A21" s="374"/>
      <c r="B21" s="792"/>
      <c r="C21" s="374"/>
      <c r="D21" s="374"/>
      <c r="E21" s="803">
        <v>15</v>
      </c>
      <c r="F21" s="374"/>
      <c r="S21" s="214"/>
      <c r="T21" s="214"/>
      <c r="U21" s="179"/>
      <c r="V21" s="179"/>
      <c r="W21" s="179"/>
      <c r="X21" s="179"/>
      <c r="Y21" s="179"/>
      <c r="Z21" s="179"/>
      <c r="AA21" s="820"/>
      <c r="AC21" s="415" cm="1" t="str">
        <f t="array" ref="AC21:AC21">tpl_title</f>
        <v>Кемеровская область / 2026 / ООО "ВЕЛЕС" (ИНН:4212036655, КПП:421201001) / ДПР: 2016-2025</v>
      </c>
      <c r="AF21" s="918"/>
      <c r="AG21" s="918"/>
      <c r="AH21" s="918"/>
      <c r="AI21" s="918"/>
      <c r="AJ21" s="918"/>
      <c r="AK21" s="918"/>
      <c r="AL21" s="918"/>
      <c r="AM21" s="918"/>
      <c r="AN21" s="918"/>
      <c r="AO21" s="918"/>
      <c r="AP21" s="918"/>
      <c r="AQ21" s="918"/>
      <c r="AR21" s="918"/>
      <c r="AS21" s="918"/>
      <c r="AT21" s="918"/>
      <c r="AU21" s="918"/>
      <c r="AV21" s="918"/>
      <c r="AW21" s="918"/>
      <c r="AX21" s="918"/>
      <c r="AY21" s="918"/>
      <c r="BC21" s="1158"/>
    </row>
    <row customHeight="1" ht="20.475">
      <c r="E22" s="803">
        <v>21</v>
      </c>
      <c r="R22" s="214"/>
      <c r="AA22" s="820"/>
      <c r="AB22" s="1459" t="s">
        <v>27</v>
      </c>
      <c r="AC22" s="1460"/>
      <c r="AD22" s="1460"/>
      <c r="AE22" s="1460"/>
      <c r="AF22" s="1460"/>
      <c r="AG22" s="1460"/>
      <c r="AH22" s="1460"/>
      <c r="AI22" s="1460"/>
      <c r="AJ22" s="1460"/>
      <c r="AK22" s="1460"/>
      <c r="AL22" s="1460"/>
      <c r="AM22" s="1460"/>
      <c r="AN22" s="1460"/>
      <c r="AO22" s="1460"/>
      <c r="AP22" s="1460"/>
      <c r="AQ22" s="1460"/>
      <c r="AR22" s="1460"/>
      <c r="AS22" s="1460"/>
      <c r="AT22" s="1460"/>
      <c r="AU22" s="1460"/>
      <c r="AV22" s="1460"/>
      <c r="AW22" s="1460"/>
      <c r="AX22" s="1460"/>
      <c r="AY22" s="1460"/>
      <c r="AZ22" s="1460"/>
    </row>
    <row customHeight="1" ht="8.775">
      <c r="E23" s="803">
        <v>9</v>
      </c>
      <c r="AA23" s="915"/>
      <c r="AB23" s="195"/>
      <c r="AC23" s="195"/>
      <c r="AD23" s="195"/>
      <c r="AE23" s="1463"/>
      <c r="AF23" s="1463"/>
      <c r="AG23" s="176"/>
      <c r="AH23" s="176"/>
      <c r="AI23" s="176"/>
      <c r="AJ23" s="176"/>
      <c r="AK23" s="176"/>
      <c r="AL23" s="176"/>
      <c r="AM23" s="176"/>
      <c r="AN23" s="176"/>
      <c r="AO23" s="176"/>
      <c r="AP23" s="176"/>
      <c r="AQ23" s="176"/>
      <c r="AR23" s="176"/>
      <c r="AS23" s="176"/>
      <c r="AT23" s="176"/>
      <c r="AU23" s="176"/>
      <c r="AV23" s="176"/>
      <c r="AW23" s="176"/>
      <c r="AX23" s="176"/>
      <c r="AY23" s="176"/>
      <c r="AZ23" s="176"/>
    </row>
    <row customHeight="1" ht="20.475">
      <c r="E24" s="803">
        <v>21</v>
      </c>
      <c r="AA24" s="915"/>
      <c r="AB24" s="1467" t="s">
        <v>386</v>
      </c>
      <c r="AC24" s="1467" t="s">
        <v>440</v>
      </c>
      <c r="AD24" s="1467" t="s">
        <v>441</v>
      </c>
      <c r="AE24" s="170" t="str">
        <f>god-1&amp;" год"</f>
        <v>2025 год</v>
      </c>
      <c r="AF24" s="1356" t="str">
        <f>god&amp;" год"</f>
        <v>2026 год</v>
      </c>
      <c r="AG24" s="1356" t="str">
        <f>god+1&amp;" год"</f>
        <v>2027 год</v>
      </c>
      <c r="AH24" s="1356" t="str">
        <f>god+2&amp;" год"</f>
        <v>2028 год</v>
      </c>
      <c r="AI24" s="1356" t="str">
        <f>god+3&amp;" год"</f>
        <v>2029 год</v>
      </c>
      <c r="AJ24" s="1356" t="str">
        <f>god+4&amp;" год"</f>
        <v>2030 год</v>
      </c>
      <c r="AK24" s="1356" t="str">
        <f>god+5&amp;" год"</f>
        <v>2031 год</v>
      </c>
      <c r="AL24" s="1356" t="str">
        <f>god+6&amp;" год"</f>
        <v>2032 год</v>
      </c>
      <c r="AM24" s="1356" t="str">
        <f>god+7&amp;" год"</f>
        <v>2033 год</v>
      </c>
      <c r="AN24" s="1356" t="str">
        <f>god+8&amp;" год"</f>
        <v>2034 год</v>
      </c>
      <c r="AO24" s="1356" t="str">
        <f>god+9&amp;" год"</f>
        <v>2035 год</v>
      </c>
      <c r="AP24" s="170" t="str">
        <f>god&amp;" год"</f>
        <v>2026 год</v>
      </c>
      <c r="AQ24" s="170" t="str">
        <f>god+1&amp;" год"</f>
        <v>2027 год</v>
      </c>
      <c r="AR24" s="170" t="str">
        <f>god+2&amp;" год"</f>
        <v>2028 год</v>
      </c>
      <c r="AS24" s="170" t="str">
        <f>god+3&amp;" год"</f>
        <v>2029 год</v>
      </c>
      <c r="AT24" s="170" t="str">
        <f>god+4&amp;" год"</f>
        <v>2030 год</v>
      </c>
      <c r="AU24" s="170" t="str">
        <f>god+5&amp;" год"</f>
        <v>2031 год</v>
      </c>
      <c r="AV24" s="170" t="str">
        <f>god+6&amp;" год"</f>
        <v>2032 год</v>
      </c>
      <c r="AW24" s="170" t="str">
        <f>god+7&amp;" год"</f>
        <v>2033 год</v>
      </c>
      <c r="AX24" s="170" t="str">
        <f>god+8&amp;" год"</f>
        <v>2034 год</v>
      </c>
      <c r="AY24" s="170" t="str">
        <f>god+9&amp;" год"</f>
        <v>2035 год</v>
      </c>
      <c r="AZ24" s="1465" t="s">
        <v>442</v>
      </c>
    </row>
    <row s="220" customFormat="1" customHeight="1" ht="35.1">
      <c r="A25" s="175"/>
      <c r="B25" s="788"/>
      <c r="C25" s="175"/>
      <c r="D25" s="175"/>
      <c r="E25" s="797">
        <v>36</v>
      </c>
      <c r="F25" s="175"/>
      <c r="G25" s="213"/>
      <c r="H25" s="213"/>
      <c r="I25" s="213"/>
      <c r="J25" s="213"/>
      <c r="K25" s="213"/>
      <c r="L25" s="213"/>
      <c r="M25" s="213"/>
      <c r="N25" s="213"/>
      <c r="O25" s="213"/>
      <c r="P25" s="213"/>
      <c r="Q25" s="213"/>
      <c r="R25" s="213"/>
      <c r="S25" s="213"/>
      <c r="T25" s="213"/>
      <c r="U25" s="175"/>
      <c r="V25" s="175"/>
      <c r="W25" s="175"/>
      <c r="X25" s="175"/>
      <c r="Y25" s="175"/>
      <c r="Z25" s="175"/>
      <c r="AB25" s="1467"/>
      <c r="AC25" s="1467"/>
      <c r="AD25" s="1467"/>
      <c r="AE25" s="170" t="s">
        <v>402</v>
      </c>
      <c r="AF25" s="1356" t="s">
        <v>403</v>
      </c>
      <c r="AG25" s="1357" t="s">
        <v>403</v>
      </c>
      <c r="AH25" s="1357" t="s">
        <v>403</v>
      </c>
      <c r="AI25" s="1357" t="s">
        <v>403</v>
      </c>
      <c r="AJ25" s="1357" t="s">
        <v>403</v>
      </c>
      <c r="AK25" s="1357" t="s">
        <v>403</v>
      </c>
      <c r="AL25" s="1357" t="s">
        <v>403</v>
      </c>
      <c r="AM25" s="1357" t="s">
        <v>403</v>
      </c>
      <c r="AN25" s="1357" t="s">
        <v>403</v>
      </c>
      <c r="AO25" s="1357" t="s">
        <v>403</v>
      </c>
      <c r="AP25" s="170" t="s">
        <v>402</v>
      </c>
      <c r="AQ25" s="170" t="s">
        <v>402</v>
      </c>
      <c r="AR25" s="170" t="s">
        <v>402</v>
      </c>
      <c r="AS25" s="170" t="s">
        <v>402</v>
      </c>
      <c r="AT25" s="170" t="s">
        <v>402</v>
      </c>
      <c r="AU25" s="170" t="s">
        <v>402</v>
      </c>
      <c r="AV25" s="170" t="s">
        <v>402</v>
      </c>
      <c r="AW25" s="170" t="s">
        <v>402</v>
      </c>
      <c r="AX25" s="170" t="s">
        <v>402</v>
      </c>
      <c r="AY25" s="170" t="s">
        <v>402</v>
      </c>
      <c r="AZ25" s="1466"/>
      <c r="BC25" s="1161"/>
    </row>
    <row s="220" customFormat="1" customHeight="1" ht="26.25" hidden="1">
      <c r="A26" s="175"/>
      <c r="B26" s="788"/>
      <c r="C26" s="175"/>
      <c r="D26" s="175"/>
      <c r="E26" s="797">
        <v>0</v>
      </c>
      <c r="F26" s="175"/>
      <c r="G26" s="213"/>
      <c r="H26" s="213"/>
      <c r="I26" s="213"/>
      <c r="J26" s="213"/>
      <c r="K26" s="213"/>
      <c r="L26" s="213"/>
      <c r="M26" s="213"/>
      <c r="N26" s="213"/>
      <c r="O26" s="213"/>
      <c r="P26" s="213"/>
      <c r="Q26" s="213"/>
      <c r="R26" s="213"/>
      <c r="S26" s="213"/>
      <c r="T26" s="213"/>
      <c r="U26" s="175"/>
      <c r="V26" s="175"/>
      <c r="W26" s="175"/>
      <c r="X26" s="175"/>
      <c r="Y26" s="175"/>
      <c r="Z26" s="175"/>
      <c r="AB26" s="720"/>
      <c r="AC26" s="520"/>
      <c r="AD26" s="520"/>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C26" s="1161"/>
    </row>
    <row s="220" customFormat="1" customHeight="1" ht="11.115" hidden="1">
      <c r="E27" s="797">
        <v>11.4</v>
      </c>
      <c r="F27" s="922" cm="1" t="str">
        <f t="array" ref="F27:F27">Y27</f>
        <v>0</v>
      </c>
      <c r="U27" s="808">
        <f>Y27&gt;0</f>
        <v>0</v>
      </c>
      <c r="W27" s="175" t="s">
        <v>310</v>
      </c>
      <c r="Y27" s="175">
        <v>0</v>
      </c>
      <c r="AB27" s="331" cm="1" t="str">
        <f t="array" ref="AB27:AB27">INDEX('Общие сведения'!$AG$169:$AG$202,MATCH($F27,'Общие сведения'!$Z$169:$Z$202,0))</f>
        <v>Тариф 0 (Теплоснабжение) - </v>
      </c>
      <c r="AC27" s="321"/>
      <c r="AD27" s="577"/>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C27" s="1161"/>
    </row>
    <row s="220" customFormat="1" customHeight="1" ht="16.672500000000003" hidden="1">
      <c r="E28" s="797">
        <v>17.1</v>
      </c>
      <c r="F28" s="922" cm="1" t="str">
        <f t="array" ref="F28:F28">OFFSET(G28,-1,-1)</f>
        <v>0</v>
      </c>
      <c r="G28" s="739" t="s">
        <v>443</v>
      </c>
      <c r="H28" s="213" t="s">
        <v>444</v>
      </c>
      <c r="I28" s="213" t="str">
        <f>AC28&amp;"::"&amp;AD28</f>
        <v>Количество условных единиц для производства::УЕ</v>
      </c>
      <c r="U28" s="808" cm="1" t="str">
        <f t="array" ref="U28:U28">U27</f>
        <v>false</v>
      </c>
      <c r="AB28" s="505">
        <v>1</v>
      </c>
      <c r="AC28" s="601" t="s">
        <v>445</v>
      </c>
      <c r="AD28" s="480" t="s">
        <v>446</v>
      </c>
      <c r="AE28" s="58" cm="1" t="str">
        <f t="array" ref="AE28:AE28">AE29</f>
        <v>0</v>
      </c>
      <c r="AF28" s="1663"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1663"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61" t="s">
        <v>447</v>
      </c>
    </row>
    <row s="220" customFormat="1" customHeight="1" ht="16.672500000000003" hidden="1">
      <c r="E29" s="797">
        <v>17.1</v>
      </c>
      <c r="F29" s="922" cm="1" t="str">
        <f t="array" ref="F29:F29">OFFSET(G29,-1,-1)</f>
        <v>0</v>
      </c>
      <c r="G29" s="739" t="s">
        <v>448</v>
      </c>
      <c r="H29" s="213" t="s">
        <v>444</v>
      </c>
      <c r="I29" s="213" t="str">
        <f>AC29&amp;"::"&amp;AD29</f>
        <v>Установленная тепловая мощность::Гкал/час</v>
      </c>
      <c r="U29" s="808" cm="1" t="str">
        <f t="array" ref="U29:U29">U28</f>
        <v>false</v>
      </c>
      <c r="AB29" s="480" t="s">
        <v>449</v>
      </c>
      <c r="AC29" s="504" t="s">
        <v>450</v>
      </c>
      <c r="AD29" s="480" t="s">
        <v>451</v>
      </c>
      <c r="AE29" s="58"/>
      <c r="AF29" s="1663"/>
      <c r="AG29" s="58"/>
      <c r="AH29" s="58"/>
      <c r="AI29" s="58"/>
      <c r="AJ29" s="58"/>
      <c r="AK29" s="58"/>
      <c r="AL29" s="58"/>
      <c r="AM29" s="58"/>
      <c r="AN29" s="58"/>
      <c r="AO29" s="58"/>
      <c r="AP29" s="1663"/>
      <c r="AQ29" s="58"/>
      <c r="AR29" s="58"/>
      <c r="AS29" s="58"/>
      <c r="AT29" s="58"/>
      <c r="AU29" s="58"/>
      <c r="AV29" s="58"/>
      <c r="AW29" s="58"/>
      <c r="AX29" s="58"/>
      <c r="AY29" s="58"/>
      <c r="AZ29" s="59"/>
      <c r="BC29" s="1161" t="s">
        <v>452</v>
      </c>
    </row>
    <row s="220" customFormat="1" customHeight="1" ht="16.672500000000003" hidden="1">
      <c r="E30" s="797">
        <v>17.1</v>
      </c>
      <c r="F30" s="922" cm="1" t="str">
        <f t="array" ref="F30:F30">OFFSET(G30,-1,-1)</f>
        <v>0</v>
      </c>
      <c r="G30" s="739" t="s">
        <v>453</v>
      </c>
      <c r="U30" s="808" cm="1" t="str">
        <f t="array" ref="U30:U30">U29</f>
        <v>false</v>
      </c>
      <c r="AB30" s="568" t="s">
        <v>426</v>
      </c>
      <c r="AC30" s="602" t="s">
        <v>454</v>
      </c>
      <c r="AD30" s="480" t="s">
        <v>446</v>
      </c>
      <c r="AE30" s="58">
        <f>AE31+5*AE44+25*AE45+0.5*AE46</f>
        <v>0</v>
      </c>
      <c r="AF30" s="1663">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1663">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61" t="s">
        <v>455</v>
      </c>
    </row>
    <row s="220" customFormat="1" customHeight="1" ht="16.672500000000003" hidden="1">
      <c r="E31" s="797">
        <v>17.1</v>
      </c>
      <c r="F31" s="922" cm="1" t="str">
        <f t="array" ref="F31:F31">OFFSET(G31,-1,-1)</f>
        <v>0</v>
      </c>
      <c r="U31" s="808" cm="1" t="str">
        <f t="array" ref="U31:U31">U30</f>
        <v>false</v>
      </c>
      <c r="AB31" s="499" t="s">
        <v>456</v>
      </c>
      <c r="AC31" s="573" t="s">
        <v>457</v>
      </c>
      <c r="AD31" s="480" t="s">
        <v>446</v>
      </c>
      <c r="AE31" s="267">
        <f>AE32+AE35+AE38+AE41</f>
        <v>0</v>
      </c>
      <c r="AF31" s="267">
        <f>AF32+AF35+AF38+AF41</f>
        <v>0</v>
      </c>
      <c r="AG31" s="267">
        <f>AG32+AG35+AG38+AG41</f>
        <v>0</v>
      </c>
      <c r="AH31" s="267">
        <f>AH32+AH35+AH38+AH41</f>
        <v>0</v>
      </c>
      <c r="AI31" s="267">
        <f>AI32+AI35+AI38+AI41</f>
        <v>0</v>
      </c>
      <c r="AJ31" s="267">
        <f>AJ32+AJ35+AJ38+AJ41</f>
        <v>0</v>
      </c>
      <c r="AK31" s="267">
        <f>AK32+AK35+AK38+AK41</f>
        <v>0</v>
      </c>
      <c r="AL31" s="267">
        <f>AL32+AL35+AL38+AL41</f>
        <v>0</v>
      </c>
      <c r="AM31" s="267">
        <f>AM32+AM35+AM38+AM41</f>
        <v>0</v>
      </c>
      <c r="AN31" s="267">
        <f>AN32+AN35+AN38+AN41</f>
        <v>0</v>
      </c>
      <c r="AO31" s="267">
        <f>AO32+AO35+AO38+AO41</f>
        <v>0</v>
      </c>
      <c r="AP31" s="267">
        <f>AP32+AP35+AP38+AP41</f>
        <v>0</v>
      </c>
      <c r="AQ31" s="267">
        <f>AQ32+AQ35+AQ38+AQ41</f>
        <v>0</v>
      </c>
      <c r="AR31" s="267">
        <f>AR32+AR35+AR38+AR41</f>
        <v>0</v>
      </c>
      <c r="AS31" s="267">
        <f>AS32+AS35+AS38+AS41</f>
        <v>0</v>
      </c>
      <c r="AT31" s="267">
        <f>AT32+AT35+AT38+AT41</f>
        <v>0</v>
      </c>
      <c r="AU31" s="267">
        <f>AU32+AU35+AU38+AU41</f>
        <v>0</v>
      </c>
      <c r="AV31" s="267">
        <f>AV32+AV35+AV38+AV41</f>
        <v>0</v>
      </c>
      <c r="AW31" s="267">
        <f>AW32+AW35+AW38+AW41</f>
        <v>0</v>
      </c>
      <c r="AX31" s="267">
        <f>AX32+AX35+AX38+AX41</f>
        <v>0</v>
      </c>
      <c r="AY31" s="267">
        <f>AY32+AY35+AY38+AY41</f>
        <v>0</v>
      </c>
      <c r="AZ31" s="59"/>
      <c r="BC31" s="1161" t="s">
        <v>458</v>
      </c>
    </row>
    <row s="220" customFormat="1" customHeight="1" ht="16.672500000000003" hidden="1">
      <c r="E32" s="797">
        <v>17.1</v>
      </c>
      <c r="F32" s="922" cm="1" t="str">
        <f t="array" ref="F32:F32">OFFSET(G32,-1,-1)</f>
        <v>0</v>
      </c>
      <c r="U32" s="808" cm="1" t="str">
        <f t="array" ref="U32:U32">U31</f>
        <v>false</v>
      </c>
      <c r="AB32" s="572" t="s">
        <v>459</v>
      </c>
      <c r="AC32" s="582" t="s">
        <v>460</v>
      </c>
      <c r="AD32" s="480" t="s">
        <v>446</v>
      </c>
      <c r="AE32" s="58">
        <f>0.75*(11*AE34+MAX(0.06*AE34*(AE33-100),0))</f>
        <v>0</v>
      </c>
      <c r="AF32" s="1663">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1663">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61" t="s">
        <v>461</v>
      </c>
    </row>
    <row s="220" customFormat="1" customHeight="1" ht="16.672500000000003" hidden="1">
      <c r="E33" s="797">
        <v>17.1</v>
      </c>
      <c r="F33" s="922" cm="1" t="str">
        <f t="array" ref="F33:F33">OFFSET(G33,-1,-1)</f>
        <v>0</v>
      </c>
      <c r="U33" s="808" cm="1" t="str">
        <f t="array" ref="U33:U33">U32</f>
        <v>false</v>
      </c>
      <c r="AB33" s="579" t="str">
        <f>AB32&amp;".1"</f>
        <v>2.1.1.1</v>
      </c>
      <c r="AC33" s="581" t="s">
        <v>462</v>
      </c>
      <c r="AD33" s="173" t="s">
        <v>463</v>
      </c>
      <c r="AE33" s="60"/>
      <c r="AF33" s="1664"/>
      <c r="AG33" s="60"/>
      <c r="AH33" s="60"/>
      <c r="AI33" s="60"/>
      <c r="AJ33" s="60"/>
      <c r="AK33" s="60"/>
      <c r="AL33" s="60"/>
      <c r="AM33" s="60"/>
      <c r="AN33" s="60"/>
      <c r="AO33" s="60"/>
      <c r="AP33" s="1664"/>
      <c r="AQ33" s="60"/>
      <c r="AR33" s="60"/>
      <c r="AS33" s="60"/>
      <c r="AT33" s="60"/>
      <c r="AU33" s="60"/>
      <c r="AV33" s="60"/>
      <c r="AW33" s="60"/>
      <c r="AX33" s="60"/>
      <c r="AY33" s="60"/>
      <c r="AZ33" s="59"/>
      <c r="BC33" s="1161" t="s">
        <v>464</v>
      </c>
    </row>
    <row s="220" customFormat="1" customHeight="1" ht="16.672500000000003" hidden="1">
      <c r="E34" s="797">
        <v>17.1</v>
      </c>
      <c r="F34" s="922" cm="1" t="str">
        <f t="array" ref="F34:F34">OFFSET(G34,-1,-1)</f>
        <v>0</v>
      </c>
      <c r="U34" s="808" cm="1" t="str">
        <f t="array" ref="U34:U34">U33</f>
        <v>false</v>
      </c>
      <c r="AB34" s="579" t="str">
        <f>AB32&amp;".2"</f>
        <v>2.1.1.2</v>
      </c>
      <c r="AC34" s="581" t="s">
        <v>465</v>
      </c>
      <c r="AD34" s="580" t="s">
        <v>466</v>
      </c>
      <c r="AE34" s="61"/>
      <c r="AF34" s="1665"/>
      <c r="AG34" s="61"/>
      <c r="AH34" s="61"/>
      <c r="AI34" s="61"/>
      <c r="AJ34" s="61"/>
      <c r="AK34" s="61"/>
      <c r="AL34" s="61"/>
      <c r="AM34" s="61"/>
      <c r="AN34" s="61"/>
      <c r="AO34" s="61"/>
      <c r="AP34" s="1665"/>
      <c r="AQ34" s="61"/>
      <c r="AR34" s="61"/>
      <c r="AS34" s="61"/>
      <c r="AT34" s="61"/>
      <c r="AU34" s="61"/>
      <c r="AV34" s="61"/>
      <c r="AW34" s="61"/>
      <c r="AX34" s="61"/>
      <c r="AY34" s="61"/>
      <c r="AZ34" s="59"/>
      <c r="BC34" s="1161" t="s">
        <v>467</v>
      </c>
    </row>
    <row s="220" customFormat="1" customHeight="1" ht="16.672500000000003" hidden="1">
      <c r="E35" s="797">
        <v>17.1</v>
      </c>
      <c r="F35" s="922" cm="1" t="str">
        <f t="array" ref="F35:F35">OFFSET(G35,-1,-1)</f>
        <v>0</v>
      </c>
      <c r="U35" s="808" cm="1" t="str">
        <f t="array" ref="U35:U35">U34</f>
        <v>false</v>
      </c>
      <c r="AB35" s="578" t="s">
        <v>468</v>
      </c>
      <c r="AC35" s="562" t="s">
        <v>469</v>
      </c>
      <c r="AD35" s="480" t="s">
        <v>446</v>
      </c>
      <c r="AE35" s="58">
        <f>(11*AE37+MAX(0.06*AE37*(AE36-100),0))</f>
        <v>0</v>
      </c>
      <c r="AF35" s="1663">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1663">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61" t="s">
        <v>470</v>
      </c>
    </row>
    <row s="220" customFormat="1" customHeight="1" ht="16.672500000000003" hidden="1">
      <c r="E36" s="797">
        <v>17.1</v>
      </c>
      <c r="F36" s="922" cm="1" t="str">
        <f t="array" ref="F36:F36">OFFSET(G36,-1,-1)</f>
        <v>0</v>
      </c>
      <c r="U36" s="808" cm="1" t="str">
        <f t="array" ref="U36:U36">U35</f>
        <v>false</v>
      </c>
      <c r="AB36" s="579" t="str">
        <f>AB35&amp;".1"</f>
        <v>2.1.2.1</v>
      </c>
      <c r="AC36" s="581" t="s">
        <v>462</v>
      </c>
      <c r="AD36" s="673" t="s">
        <v>463</v>
      </c>
      <c r="AE36" s="62"/>
      <c r="AF36" s="1665"/>
      <c r="AG36" s="61"/>
      <c r="AH36" s="61"/>
      <c r="AI36" s="61"/>
      <c r="AJ36" s="61"/>
      <c r="AK36" s="61"/>
      <c r="AL36" s="61"/>
      <c r="AM36" s="61"/>
      <c r="AN36" s="61"/>
      <c r="AO36" s="61"/>
      <c r="AP36" s="1665"/>
      <c r="AQ36" s="61"/>
      <c r="AR36" s="61"/>
      <c r="AS36" s="61"/>
      <c r="AT36" s="61"/>
      <c r="AU36" s="61"/>
      <c r="AV36" s="61"/>
      <c r="AW36" s="61"/>
      <c r="AX36" s="61"/>
      <c r="AY36" s="61"/>
      <c r="AZ36" s="59"/>
      <c r="BC36" s="1161" t="s">
        <v>471</v>
      </c>
    </row>
    <row s="220" customFormat="1" customHeight="1" ht="16.672500000000003" hidden="1">
      <c r="E37" s="797">
        <v>17.1</v>
      </c>
      <c r="F37" s="922" cm="1" t="str">
        <f t="array" ref="F37:F37">OFFSET(G37,-1,-1)</f>
        <v>0</v>
      </c>
      <c r="U37" s="808" cm="1" t="str">
        <f t="array" ref="U37:U37">U36</f>
        <v>false</v>
      </c>
      <c r="AB37" s="579" t="str">
        <f>AB35&amp;".2"</f>
        <v>2.1.2.2</v>
      </c>
      <c r="AC37" s="721" t="s">
        <v>465</v>
      </c>
      <c r="AD37" s="173" t="s">
        <v>466</v>
      </c>
      <c r="AE37" s="61"/>
      <c r="AF37" s="1666"/>
      <c r="AG37" s="61"/>
      <c r="AH37" s="61"/>
      <c r="AI37" s="61"/>
      <c r="AJ37" s="61"/>
      <c r="AK37" s="61"/>
      <c r="AL37" s="61"/>
      <c r="AM37" s="61"/>
      <c r="AN37" s="61"/>
      <c r="AO37" s="61"/>
      <c r="AP37" s="1665"/>
      <c r="AQ37" s="61"/>
      <c r="AR37" s="61"/>
      <c r="AS37" s="61"/>
      <c r="AT37" s="61"/>
      <c r="AU37" s="61"/>
      <c r="AV37" s="61"/>
      <c r="AW37" s="61"/>
      <c r="AX37" s="61"/>
      <c r="AY37" s="61"/>
      <c r="AZ37" s="59"/>
      <c r="BC37" s="1161" t="s">
        <v>472</v>
      </c>
    </row>
    <row s="220" customFormat="1" customHeight="1" ht="16.672500000000003" hidden="1">
      <c r="E38" s="797">
        <v>17.1</v>
      </c>
      <c r="F38" s="922" cm="1" t="str">
        <f t="array" ref="F38:F38">OFFSET(G38,-1,-1)</f>
        <v>0</v>
      </c>
      <c r="U38" s="808" cm="1" t="str">
        <f t="array" ref="U38:U38">U37</f>
        <v>false</v>
      </c>
      <c r="AB38" s="288" t="s">
        <v>473</v>
      </c>
      <c r="AC38" s="722" t="s">
        <v>474</v>
      </c>
      <c r="AD38" s="288" t="s">
        <v>446</v>
      </c>
      <c r="AE38" s="61">
        <f>1.25*(11*AE40+MAX(0.06*AE40*(AE39-100),0))</f>
        <v>0</v>
      </c>
      <c r="AF38" s="1667">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1663">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61" t="s">
        <v>475</v>
      </c>
    </row>
    <row s="220" customFormat="1" customHeight="1" ht="16.672500000000003" hidden="1">
      <c r="E39" s="797">
        <v>17.1</v>
      </c>
      <c r="F39" s="922" cm="1" t="str">
        <f t="array" ref="F39:F39">OFFSET(G39,-1,-1)</f>
        <v>0</v>
      </c>
      <c r="U39" s="808" cm="1" t="str">
        <f t="array" ref="U39:U39">U38</f>
        <v>false</v>
      </c>
      <c r="AB39" s="579" t="str">
        <f>AB38&amp;".1"</f>
        <v>2.1.3.1</v>
      </c>
      <c r="AC39" s="721" t="s">
        <v>462</v>
      </c>
      <c r="AD39" s="173" t="s">
        <v>463</v>
      </c>
      <c r="AE39" s="61"/>
      <c r="AF39" s="1668"/>
      <c r="AG39" s="65"/>
      <c r="AH39" s="65"/>
      <c r="AI39" s="65"/>
      <c r="AJ39" s="65"/>
      <c r="AK39" s="65"/>
      <c r="AL39" s="65"/>
      <c r="AM39" s="65"/>
      <c r="AN39" s="65"/>
      <c r="AO39" s="65"/>
      <c r="AP39" s="1668"/>
      <c r="AQ39" s="65"/>
      <c r="AR39" s="65"/>
      <c r="AS39" s="65"/>
      <c r="AT39" s="65"/>
      <c r="AU39" s="65"/>
      <c r="AV39" s="65"/>
      <c r="AW39" s="65"/>
      <c r="AX39" s="65"/>
      <c r="AY39" s="65"/>
      <c r="AZ39" s="59"/>
      <c r="BC39" s="1161" t="s">
        <v>476</v>
      </c>
    </row>
    <row s="220" customFormat="1" customHeight="1" ht="16.672500000000003" hidden="1">
      <c r="E40" s="797">
        <v>17.1</v>
      </c>
      <c r="F40" s="922" cm="1" t="str">
        <f t="array" ref="F40:F40">OFFSET(G40,-1,-1)</f>
        <v>0</v>
      </c>
      <c r="U40" s="808" cm="1" t="str">
        <f t="array" ref="U40:U40">U39</f>
        <v>false</v>
      </c>
      <c r="AB40" s="579" t="str">
        <f>AB38&amp;".2"</f>
        <v>2.1.3.2</v>
      </c>
      <c r="AC40" s="721" t="s">
        <v>465</v>
      </c>
      <c r="AD40" s="173" t="s">
        <v>466</v>
      </c>
      <c r="AE40" s="61"/>
      <c r="AF40" s="1666"/>
      <c r="AG40" s="63"/>
      <c r="AH40" s="63"/>
      <c r="AI40" s="63"/>
      <c r="AJ40" s="63"/>
      <c r="AK40" s="63"/>
      <c r="AL40" s="63"/>
      <c r="AM40" s="63"/>
      <c r="AN40" s="63"/>
      <c r="AO40" s="63"/>
      <c r="AP40" s="1666"/>
      <c r="AQ40" s="63"/>
      <c r="AR40" s="63"/>
      <c r="AS40" s="63"/>
      <c r="AT40" s="63"/>
      <c r="AU40" s="63"/>
      <c r="AV40" s="63"/>
      <c r="AW40" s="63"/>
      <c r="AX40" s="63"/>
      <c r="AY40" s="63"/>
      <c r="AZ40" s="59"/>
      <c r="BC40" s="1161" t="s">
        <v>477</v>
      </c>
    </row>
    <row s="220" customFormat="1" customHeight="1" ht="16.672500000000003" hidden="1">
      <c r="E41" s="797">
        <v>17.1</v>
      </c>
      <c r="F41" s="922" cm="1" t="str">
        <f t="array" ref="F41:F41">OFFSET(G41,-1,-1)</f>
        <v>0</v>
      </c>
      <c r="H41" s="213" t="s">
        <v>444</v>
      </c>
      <c r="I41" s="213" t="str">
        <f>AC41&amp;"::"&amp;AD41</f>
        <v>Четырехтрубные::УЕ</v>
      </c>
      <c r="U41" s="808" cm="1" t="str">
        <f t="array" ref="U41:U41">U40</f>
        <v>false</v>
      </c>
      <c r="AB41" s="288" t="s">
        <v>478</v>
      </c>
      <c r="AC41" s="722" t="s">
        <v>479</v>
      </c>
      <c r="AD41" s="288" t="s">
        <v>446</v>
      </c>
      <c r="AE41" s="61">
        <f>1.5*(11*AE43+MAX(0.06*AE43*(AE42-100),0))</f>
        <v>0</v>
      </c>
      <c r="AF41" s="1667">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1663">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61" t="s">
        <v>480</v>
      </c>
    </row>
    <row s="220" customFormat="1" customHeight="1" ht="16.672500000000003" hidden="1">
      <c r="E42" s="797">
        <v>17.1</v>
      </c>
      <c r="F42" s="922" cm="1" t="str">
        <f t="array" ref="F42:F42">OFFSET(G42,-1,-1)</f>
        <v>0</v>
      </c>
      <c r="U42" s="808" cm="1" t="str">
        <f t="array" ref="U42:U42">U41</f>
        <v>false</v>
      </c>
      <c r="AB42" s="579" t="str">
        <f>AB41&amp;".1"</f>
        <v>2.1.4.1</v>
      </c>
      <c r="AC42" s="721" t="s">
        <v>462</v>
      </c>
      <c r="AD42" s="173" t="s">
        <v>463</v>
      </c>
      <c r="AE42" s="61"/>
      <c r="AF42" s="1666"/>
      <c r="AG42" s="63"/>
      <c r="AH42" s="63"/>
      <c r="AI42" s="63"/>
      <c r="AJ42" s="63"/>
      <c r="AK42" s="63"/>
      <c r="AL42" s="63"/>
      <c r="AM42" s="63"/>
      <c r="AN42" s="63"/>
      <c r="AO42" s="63"/>
      <c r="AP42" s="1666"/>
      <c r="AQ42" s="63"/>
      <c r="AR42" s="63"/>
      <c r="AS42" s="63"/>
      <c r="AT42" s="63"/>
      <c r="AU42" s="63"/>
      <c r="AV42" s="63"/>
      <c r="AW42" s="63"/>
      <c r="AX42" s="63"/>
      <c r="AY42" s="63"/>
      <c r="AZ42" s="59"/>
      <c r="BC42" s="1161" t="s">
        <v>481</v>
      </c>
    </row>
    <row s="220" customFormat="1" customHeight="1" ht="16.672500000000003" hidden="1">
      <c r="E43" s="797">
        <v>17.1</v>
      </c>
      <c r="F43" s="922" cm="1" t="str">
        <f t="array" ref="F43:F43">OFFSET(G43,-1,-1)</f>
        <v>0</v>
      </c>
      <c r="U43" s="808" cm="1" t="str">
        <f t="array" ref="U43:U43">U42</f>
        <v>false</v>
      </c>
      <c r="AB43" s="579" t="str">
        <f>AB41&amp;".2"</f>
        <v>2.1.4.2</v>
      </c>
      <c r="AC43" s="721" t="s">
        <v>465</v>
      </c>
      <c r="AD43" s="173" t="s">
        <v>466</v>
      </c>
      <c r="AE43" s="61"/>
      <c r="AF43" s="1666"/>
      <c r="AG43" s="63"/>
      <c r="AH43" s="63"/>
      <c r="AI43" s="63"/>
      <c r="AJ43" s="63"/>
      <c r="AK43" s="63"/>
      <c r="AL43" s="63"/>
      <c r="AM43" s="63"/>
      <c r="AN43" s="63"/>
      <c r="AO43" s="63"/>
      <c r="AP43" s="1666"/>
      <c r="AQ43" s="63"/>
      <c r="AR43" s="63"/>
      <c r="AS43" s="63"/>
      <c r="AT43" s="63"/>
      <c r="AU43" s="63"/>
      <c r="AV43" s="63"/>
      <c r="AW43" s="63"/>
      <c r="AX43" s="63"/>
      <c r="AY43" s="63"/>
      <c r="AZ43" s="59"/>
      <c r="BC43" s="1161" t="s">
        <v>482</v>
      </c>
    </row>
    <row s="220" customFormat="1" customHeight="1" ht="30.03" hidden="1">
      <c r="E44" s="797">
        <v>30.8</v>
      </c>
      <c r="F44" s="922" cm="1" t="str">
        <f t="array" ref="F44:F44">OFFSET(G44,-1,-1)</f>
        <v>0</v>
      </c>
      <c r="U44" s="808" cm="1" t="str">
        <f t="array" ref="U44:U44">U43</f>
        <v>false</v>
      </c>
      <c r="AB44" s="574" t="s">
        <v>483</v>
      </c>
      <c r="AC44" s="723" t="s">
        <v>484</v>
      </c>
      <c r="AD44" s="173" t="s">
        <v>485</v>
      </c>
      <c r="AE44" s="61"/>
      <c r="AF44" s="1666"/>
      <c r="AG44" s="61"/>
      <c r="AH44" s="61"/>
      <c r="AI44" s="61"/>
      <c r="AJ44" s="61"/>
      <c r="AK44" s="61"/>
      <c r="AL44" s="61"/>
      <c r="AM44" s="61"/>
      <c r="AN44" s="61"/>
      <c r="AO44" s="61"/>
      <c r="AP44" s="1665"/>
      <c r="AQ44" s="61"/>
      <c r="AR44" s="61"/>
      <c r="AS44" s="61"/>
      <c r="AT44" s="61"/>
      <c r="AU44" s="61"/>
      <c r="AV44" s="61"/>
      <c r="AW44" s="61"/>
      <c r="AX44" s="61"/>
      <c r="AY44" s="61"/>
      <c r="AZ44" s="59"/>
      <c r="BC44" s="1161" t="s">
        <v>486</v>
      </c>
    </row>
    <row s="220" customFormat="1" customHeight="1" ht="38.805" hidden="1">
      <c r="E45" s="797">
        <v>39.8</v>
      </c>
      <c r="F45" s="922" cm="1" t="str">
        <f t="array" ref="F45:F45">OFFSET(G45,-1,-1)</f>
        <v>0</v>
      </c>
      <c r="U45" s="808" cm="1" t="str">
        <f t="array" ref="U45:U45">U44</f>
        <v>false</v>
      </c>
      <c r="AB45" s="575" t="s">
        <v>487</v>
      </c>
      <c r="AC45" s="724" t="s">
        <v>488</v>
      </c>
      <c r="AD45" s="173" t="s">
        <v>489</v>
      </c>
      <c r="AE45" s="61"/>
      <c r="AF45" s="1666"/>
      <c r="AG45" s="61"/>
      <c r="AH45" s="61"/>
      <c r="AI45" s="61"/>
      <c r="AJ45" s="61"/>
      <c r="AK45" s="61"/>
      <c r="AL45" s="61"/>
      <c r="AM45" s="61"/>
      <c r="AN45" s="61"/>
      <c r="AO45" s="61"/>
      <c r="AP45" s="1665"/>
      <c r="AQ45" s="61"/>
      <c r="AR45" s="61"/>
      <c r="AS45" s="61"/>
      <c r="AT45" s="61"/>
      <c r="AU45" s="61"/>
      <c r="AV45" s="61"/>
      <c r="AW45" s="61"/>
      <c r="AX45" s="61"/>
      <c r="AY45" s="61"/>
      <c r="AZ45" s="59"/>
      <c r="BC45" s="1161" t="s">
        <v>490</v>
      </c>
    </row>
    <row s="220" customFormat="1" customHeight="1" ht="48.26250000000001" hidden="1">
      <c r="E46" s="797">
        <v>49.5</v>
      </c>
      <c r="F46" s="922" cm="1" t="str">
        <f t="array" ref="F46:F46">OFFSET(G46,-1,-1)</f>
        <v>0</v>
      </c>
      <c r="H46" s="213" t="s">
        <v>444</v>
      </c>
      <c r="I46" s="21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8" cm="1" t="str">
        <f t="array" ref="U46:U46">U45</f>
        <v>false</v>
      </c>
      <c r="AB46" s="575" t="s">
        <v>491</v>
      </c>
      <c r="AC46" s="164" t="s">
        <v>492</v>
      </c>
      <c r="AD46" s="558" t="s">
        <v>451</v>
      </c>
      <c r="AE46" s="66"/>
      <c r="AF46" s="1665"/>
      <c r="AG46" s="61"/>
      <c r="AH46" s="61"/>
      <c r="AI46" s="61"/>
      <c r="AJ46" s="61"/>
      <c r="AK46" s="61"/>
      <c r="AL46" s="61"/>
      <c r="AM46" s="61"/>
      <c r="AN46" s="61"/>
      <c r="AO46" s="61"/>
      <c r="AP46" s="1665"/>
      <c r="AQ46" s="61"/>
      <c r="AR46" s="61"/>
      <c r="AS46" s="61"/>
      <c r="AT46" s="61"/>
      <c r="AU46" s="61"/>
      <c r="AV46" s="61"/>
      <c r="AW46" s="61"/>
      <c r="AX46" s="61"/>
      <c r="AY46" s="61"/>
      <c r="AZ46" s="59"/>
      <c r="BC46" s="1161" t="s">
        <v>493</v>
      </c>
    </row>
    <row s="1669" customFormat="1" customHeight="1" ht="10.5">
      <c r="A47" s="220"/>
      <c r="B47" s="220"/>
      <c r="C47" s="220"/>
      <c r="D47" s="220"/>
      <c r="E47" s="797">
        <v>11.4</v>
      </c>
      <c r="F47" s="922" cm="1" t="str">
        <f t="array" ref="F47:F47">Y47</f>
        <v>1</v>
      </c>
      <c r="G47" s="220"/>
      <c r="H47" s="220"/>
      <c r="I47" s="220"/>
      <c r="J47" s="220"/>
      <c r="K47" s="220"/>
      <c r="L47" s="220"/>
      <c r="M47" s="220"/>
      <c r="N47" s="220"/>
      <c r="O47" s="220"/>
      <c r="P47" s="220"/>
      <c r="Q47" s="220"/>
      <c r="R47" s="220"/>
      <c r="S47" s="220"/>
      <c r="T47" s="220"/>
      <c r="U47" s="808">
        <f>Y47&gt;0</f>
        <v>1</v>
      </c>
      <c r="V47" s="220"/>
      <c r="W47" s="175" cm="1" t="str">
        <f t="array" ref="W47:W47">'Список объектов'!$AB$30</f>
        <v>Тариф 1 (Теплоснабжение) - Тариф на тепловую энергию (мощность), поставляемую потребителям (Не определено)</v>
      </c>
      <c r="X47" s="220"/>
      <c r="Y47" s="175" t="s">
        <v>336</v>
      </c>
      <c r="Z47" s="220"/>
      <c r="AA47" s="220"/>
      <c r="AB47" s="331"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1"/>
      <c r="AD47" s="577"/>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20"/>
      <c r="BB47" s="220"/>
      <c r="BC47" s="1161"/>
    </row>
    <row s="1670" customFormat="1" customHeight="1" ht="16.5">
      <c r="A48" s="220"/>
      <c r="B48" s="220"/>
      <c r="C48" s="220"/>
      <c r="D48" s="220"/>
      <c r="E48" s="797">
        <v>17.1</v>
      </c>
      <c r="F48" s="922" cm="1" t="str">
        <f t="array" ref="F48:F48">OFFSET(G48,-1,-1)</f>
        <v>1</v>
      </c>
      <c r="G48" s="739" t="s">
        <v>443</v>
      </c>
      <c r="H48" s="213" t="s">
        <v>444</v>
      </c>
      <c r="I48" s="213" t="str">
        <f>AC48&amp;"::"&amp;AD48</f>
        <v>Количество условных единиц для производства::УЕ</v>
      </c>
      <c r="J48" s="220"/>
      <c r="K48" s="220"/>
      <c r="L48" s="220"/>
      <c r="M48" s="220"/>
      <c r="N48" s="220"/>
      <c r="O48" s="220"/>
      <c r="P48" s="220"/>
      <c r="Q48" s="220"/>
      <c r="R48" s="220"/>
      <c r="S48" s="220"/>
      <c r="T48" s="220"/>
      <c r="U48" s="808" cm="1" t="str">
        <f t="array" ref="U48:U48">U47</f>
        <v>true</v>
      </c>
      <c r="V48" s="220"/>
      <c r="W48" s="220"/>
      <c r="X48" s="220"/>
      <c r="Y48" s="220"/>
      <c r="Z48" s="220"/>
      <c r="AA48" s="220"/>
      <c r="AB48" s="505">
        <v>1</v>
      </c>
      <c r="AC48" s="601" t="s">
        <v>445</v>
      </c>
      <c r="AD48" s="480" t="s">
        <v>446</v>
      </c>
      <c r="AE48" s="1663" cm="1" t="str">
        <f t="array" ref="AE48:AE48">AE49</f>
        <v>0</v>
      </c>
      <c r="AF48" s="1663" cm="1" t="str">
        <f t="array" ref="AF48:AF48">AF49</f>
        <v>0</v>
      </c>
      <c r="AG48" s="1663" cm="1" t="str">
        <f t="array" ref="AG48:AG48">AG49</f>
        <v>0</v>
      </c>
      <c r="AH48" s="1663" cm="1" t="str">
        <f t="array" ref="AH48:AH48">AH49</f>
        <v>0</v>
      </c>
      <c r="AI48" s="1663" cm="1" t="str">
        <f t="array" ref="AI48:AI48">AI49</f>
        <v>0</v>
      </c>
      <c r="AJ48" s="1663" cm="1" t="str">
        <f t="array" ref="AJ48:AJ48">AJ49</f>
        <v>0</v>
      </c>
      <c r="AK48" s="1663" cm="1" t="str">
        <f t="array" ref="AK48:AK48">AK49</f>
        <v>0</v>
      </c>
      <c r="AL48" s="1663" cm="1" t="str">
        <f t="array" ref="AL48:AL48">AL49</f>
        <v>0</v>
      </c>
      <c r="AM48" s="1663" cm="1" t="str">
        <f t="array" ref="AM48:AM48">AM49</f>
        <v>0</v>
      </c>
      <c r="AN48" s="1663" cm="1" t="str">
        <f t="array" ref="AN48:AN48">AN49</f>
        <v>0</v>
      </c>
      <c r="AO48" s="1663" cm="1" t="str">
        <f t="array" ref="AO48:AO48">AO49</f>
        <v>0</v>
      </c>
      <c r="AP48" s="1663" cm="1" t="str">
        <f t="array" ref="AP48:AP48">AP49</f>
        <v>0</v>
      </c>
      <c r="AQ48" s="1663" cm="1" t="str">
        <f t="array" ref="AQ48:AQ48">AQ49</f>
        <v>0</v>
      </c>
      <c r="AR48" s="1663" cm="1" t="str">
        <f t="array" ref="AR48:AR48">AR49</f>
        <v>0</v>
      </c>
      <c r="AS48" s="1663" cm="1" t="str">
        <f t="array" ref="AS48:AS48">AS49</f>
        <v>0</v>
      </c>
      <c r="AT48" s="1663" cm="1" t="str">
        <f t="array" ref="AT48:AT48">AT49</f>
        <v>0</v>
      </c>
      <c r="AU48" s="1663" cm="1" t="str">
        <f t="array" ref="AU48:AU48">AU49</f>
        <v>0</v>
      </c>
      <c r="AV48" s="1663" cm="1" t="str">
        <f t="array" ref="AV48:AV48">AV49</f>
        <v>0</v>
      </c>
      <c r="AW48" s="1663" cm="1" t="str">
        <f t="array" ref="AW48:AW48">AW49</f>
        <v>0</v>
      </c>
      <c r="AX48" s="1663" cm="1" t="str">
        <f t="array" ref="AX48:AX48">AX49</f>
        <v>0</v>
      </c>
      <c r="AY48" s="1663" cm="1" t="str">
        <f t="array" ref="AY48:AY48">AY49</f>
        <v>0</v>
      </c>
      <c r="AZ48" s="1671"/>
      <c r="BA48" s="220"/>
      <c r="BB48" s="220"/>
      <c r="BC48" s="1161" t="s">
        <v>447</v>
      </c>
    </row>
    <row s="1672" customFormat="1" customHeight="1" ht="16.5">
      <c r="A49" s="220"/>
      <c r="B49" s="220"/>
      <c r="C49" s="220"/>
      <c r="D49" s="220"/>
      <c r="E49" s="797">
        <v>17.1</v>
      </c>
      <c r="F49" s="922" cm="1" t="str">
        <f t="array" ref="F49:F49">OFFSET(G49,-1,-1)</f>
        <v>1</v>
      </c>
      <c r="G49" s="739" t="s">
        <v>448</v>
      </c>
      <c r="H49" s="213" t="s">
        <v>444</v>
      </c>
      <c r="I49" s="213" t="str">
        <f>AC49&amp;"::"&amp;AD49</f>
        <v>Установленная тепловая мощность::Гкал/час</v>
      </c>
      <c r="J49" s="220"/>
      <c r="K49" s="220"/>
      <c r="L49" s="220"/>
      <c r="M49" s="220"/>
      <c r="N49" s="220"/>
      <c r="O49" s="220"/>
      <c r="P49" s="220"/>
      <c r="Q49" s="220"/>
      <c r="R49" s="220"/>
      <c r="S49" s="220"/>
      <c r="T49" s="220"/>
      <c r="U49" s="808" cm="1" t="str">
        <f t="array" ref="U49:U49">U48</f>
        <v>true</v>
      </c>
      <c r="V49" s="220"/>
      <c r="W49" s="220"/>
      <c r="X49" s="220"/>
      <c r="Y49" s="220"/>
      <c r="Z49" s="220"/>
      <c r="AA49" s="220"/>
      <c r="AB49" s="480" t="s">
        <v>449</v>
      </c>
      <c r="AC49" s="504" t="s">
        <v>450</v>
      </c>
      <c r="AD49" s="480" t="s">
        <v>451</v>
      </c>
      <c r="AE49" s="1663"/>
      <c r="AF49" s="1663"/>
      <c r="AG49" s="1663"/>
      <c r="AH49" s="1663"/>
      <c r="AI49" s="1663"/>
      <c r="AJ49" s="1663"/>
      <c r="AK49" s="1663"/>
      <c r="AL49" s="1663"/>
      <c r="AM49" s="1663"/>
      <c r="AN49" s="1663"/>
      <c r="AO49" s="1663"/>
      <c r="AP49" s="1663"/>
      <c r="AQ49" s="1663"/>
      <c r="AR49" s="1663"/>
      <c r="AS49" s="1663"/>
      <c r="AT49" s="1663"/>
      <c r="AU49" s="1663"/>
      <c r="AV49" s="1663"/>
      <c r="AW49" s="1663"/>
      <c r="AX49" s="1663"/>
      <c r="AY49" s="1663"/>
      <c r="AZ49" s="1671"/>
      <c r="BA49" s="220"/>
      <c r="BB49" s="220"/>
      <c r="BC49" s="1161" t="s">
        <v>452</v>
      </c>
    </row>
    <row s="1673" customFormat="1" customHeight="1" ht="16.5">
      <c r="A50" s="220"/>
      <c r="B50" s="220"/>
      <c r="C50" s="220"/>
      <c r="D50" s="220"/>
      <c r="E50" s="797">
        <v>17.1</v>
      </c>
      <c r="F50" s="922" cm="1" t="str">
        <f t="array" ref="F50:F50">OFFSET(G50,-1,-1)</f>
        <v>1</v>
      </c>
      <c r="G50" s="739" t="s">
        <v>453</v>
      </c>
      <c r="H50" s="220"/>
      <c r="I50" s="220"/>
      <c r="J50" s="220"/>
      <c r="K50" s="220"/>
      <c r="L50" s="220"/>
      <c r="M50" s="220"/>
      <c r="N50" s="220"/>
      <c r="O50" s="220"/>
      <c r="P50" s="220"/>
      <c r="Q50" s="220"/>
      <c r="R50" s="220"/>
      <c r="S50" s="220"/>
      <c r="T50" s="220"/>
      <c r="U50" s="808" cm="1" t="str">
        <f t="array" ref="U50:U50">U49</f>
        <v>true</v>
      </c>
      <c r="V50" s="220"/>
      <c r="W50" s="220"/>
      <c r="X50" s="220"/>
      <c r="Y50" s="220"/>
      <c r="Z50" s="220"/>
      <c r="AA50" s="220"/>
      <c r="AB50" s="568" t="s">
        <v>426</v>
      </c>
      <c r="AC50" s="602" t="s">
        <v>454</v>
      </c>
      <c r="AD50" s="480" t="s">
        <v>446</v>
      </c>
      <c r="AE50" s="1663">
        <f>AE51+5*AE64+25*AE65+0.5*AE66</f>
        <v>0</v>
      </c>
      <c r="AF50" s="1663">
        <f>AF51+5*AF64+25*AF65+0.5*AF66</f>
        <v>0</v>
      </c>
      <c r="AG50" s="1663">
        <f>AG51+5*AG64+25*AG65+0.5*AG66</f>
        <v>0</v>
      </c>
      <c r="AH50" s="1663">
        <f>AH51+5*AH64+25*AH65+0.5*AH66</f>
        <v>0</v>
      </c>
      <c r="AI50" s="1663">
        <f>AI51+5*AI64+25*AI65+0.5*AI66</f>
        <v>0</v>
      </c>
      <c r="AJ50" s="1663">
        <f>AJ51+5*AJ64+25*AJ65+0.5*AJ66</f>
        <v>0</v>
      </c>
      <c r="AK50" s="1663">
        <f>AK51+5*AK64+25*AK65+0.5*AK66</f>
        <v>0</v>
      </c>
      <c r="AL50" s="1663">
        <f>AL51+5*AL64+25*AL65+0.5*AL66</f>
        <v>0</v>
      </c>
      <c r="AM50" s="1663">
        <f>AM51+5*AM64+25*AM65+0.5*AM66</f>
        <v>0</v>
      </c>
      <c r="AN50" s="1663">
        <f>AN51+5*AN64+25*AN65+0.5*AN66</f>
        <v>0</v>
      </c>
      <c r="AO50" s="1663">
        <f>AO51+5*AO64+25*AO65+0.5*AO66</f>
        <v>0</v>
      </c>
      <c r="AP50" s="1663">
        <f>AP51+5*AP64+25*AP65+0.5*AP66</f>
        <v>0</v>
      </c>
      <c r="AQ50" s="1663">
        <f>AQ51+5*AQ64+25*AQ65+0.5*AQ66</f>
        <v>0</v>
      </c>
      <c r="AR50" s="1663">
        <f>AR51+5*AR64+25*AR65+0.5*AR66</f>
        <v>0</v>
      </c>
      <c r="AS50" s="1663">
        <f>AS51+5*AS64+25*AS65+0.5*AS66</f>
        <v>0</v>
      </c>
      <c r="AT50" s="1663">
        <f>AT51+5*AT64+25*AT65+0.5*AT66</f>
        <v>0</v>
      </c>
      <c r="AU50" s="1663">
        <f>AU51+5*AU64+25*AU65+0.5*AU66</f>
        <v>0</v>
      </c>
      <c r="AV50" s="1663">
        <f>AV51+5*AV64+25*AV65+0.5*AV66</f>
        <v>0</v>
      </c>
      <c r="AW50" s="1663">
        <f>AW51+5*AW64+25*AW65+0.5*AW66</f>
        <v>0</v>
      </c>
      <c r="AX50" s="1663">
        <f>AX51+5*AX64+25*AX65+0.5*AX66</f>
        <v>0</v>
      </c>
      <c r="AY50" s="1663">
        <f>AY51+5*AY64+25*AY65+0.5*AY66</f>
        <v>0</v>
      </c>
      <c r="AZ50" s="1671"/>
      <c r="BA50" s="220"/>
      <c r="BB50" s="220"/>
      <c r="BC50" s="1161" t="s">
        <v>455</v>
      </c>
    </row>
    <row s="1674" customFormat="1" customHeight="1" ht="16.5">
      <c r="A51" s="220"/>
      <c r="B51" s="220"/>
      <c r="C51" s="220"/>
      <c r="D51" s="220"/>
      <c r="E51" s="797">
        <v>17.1</v>
      </c>
      <c r="F51" s="922" cm="1" t="str">
        <f t="array" ref="F51:F51">OFFSET(G51,-1,-1)</f>
        <v>1</v>
      </c>
      <c r="G51" s="220"/>
      <c r="H51" s="220"/>
      <c r="I51" s="220"/>
      <c r="J51" s="220"/>
      <c r="K51" s="220"/>
      <c r="L51" s="220"/>
      <c r="M51" s="220"/>
      <c r="N51" s="220"/>
      <c r="O51" s="220"/>
      <c r="P51" s="220"/>
      <c r="Q51" s="220"/>
      <c r="R51" s="220"/>
      <c r="S51" s="220"/>
      <c r="T51" s="220"/>
      <c r="U51" s="808" cm="1" t="str">
        <f t="array" ref="U51:U51">U50</f>
        <v>true</v>
      </c>
      <c r="V51" s="220"/>
      <c r="W51" s="220"/>
      <c r="X51" s="220"/>
      <c r="Y51" s="220"/>
      <c r="Z51" s="220"/>
      <c r="AA51" s="220"/>
      <c r="AB51" s="499" t="s">
        <v>456</v>
      </c>
      <c r="AC51" s="573" t="s">
        <v>457</v>
      </c>
      <c r="AD51" s="480" t="s">
        <v>446</v>
      </c>
      <c r="AE51" s="267">
        <f>AE52+AE55+AE58+AE61</f>
        <v>0</v>
      </c>
      <c r="AF51" s="267">
        <f>AF52+AF55+AF58+AF61</f>
        <v>0</v>
      </c>
      <c r="AG51" s="267">
        <f>AG52+AG55+AG58+AG61</f>
        <v>0</v>
      </c>
      <c r="AH51" s="267">
        <f>AH52+AH55+AH58+AH61</f>
        <v>0</v>
      </c>
      <c r="AI51" s="267">
        <f>AI52+AI55+AI58+AI61</f>
        <v>0</v>
      </c>
      <c r="AJ51" s="267">
        <f>AJ52+AJ55+AJ58+AJ61</f>
        <v>0</v>
      </c>
      <c r="AK51" s="267">
        <f>AK52+AK55+AK58+AK61</f>
        <v>0</v>
      </c>
      <c r="AL51" s="267">
        <f>AL52+AL55+AL58+AL61</f>
        <v>0</v>
      </c>
      <c r="AM51" s="267">
        <f>AM52+AM55+AM58+AM61</f>
        <v>0</v>
      </c>
      <c r="AN51" s="267">
        <f>AN52+AN55+AN58+AN61</f>
        <v>0</v>
      </c>
      <c r="AO51" s="267">
        <f>AO52+AO55+AO58+AO61</f>
        <v>0</v>
      </c>
      <c r="AP51" s="267">
        <f>AP52+AP55+AP58+AP61</f>
        <v>0</v>
      </c>
      <c r="AQ51" s="267">
        <f>AQ52+AQ55+AQ58+AQ61</f>
        <v>0</v>
      </c>
      <c r="AR51" s="267">
        <f>AR52+AR55+AR58+AR61</f>
        <v>0</v>
      </c>
      <c r="AS51" s="267">
        <f>AS52+AS55+AS58+AS61</f>
        <v>0</v>
      </c>
      <c r="AT51" s="267">
        <f>AT52+AT55+AT58+AT61</f>
        <v>0</v>
      </c>
      <c r="AU51" s="267">
        <f>AU52+AU55+AU58+AU61</f>
        <v>0</v>
      </c>
      <c r="AV51" s="267">
        <f>AV52+AV55+AV58+AV61</f>
        <v>0</v>
      </c>
      <c r="AW51" s="267">
        <f>AW52+AW55+AW58+AW61</f>
        <v>0</v>
      </c>
      <c r="AX51" s="267">
        <f>AX52+AX55+AX58+AX61</f>
        <v>0</v>
      </c>
      <c r="AY51" s="267">
        <f>AY52+AY55+AY58+AY61</f>
        <v>0</v>
      </c>
      <c r="AZ51" s="1671"/>
      <c r="BA51" s="220"/>
      <c r="BB51" s="220"/>
      <c r="BC51" s="1161" t="s">
        <v>458</v>
      </c>
    </row>
    <row s="1675" customFormat="1" customHeight="1" ht="16.5">
      <c r="A52" s="220"/>
      <c r="B52" s="220"/>
      <c r="C52" s="220"/>
      <c r="D52" s="220"/>
      <c r="E52" s="797">
        <v>17.1</v>
      </c>
      <c r="F52" s="922" cm="1" t="str">
        <f t="array" ref="F52:F52">OFFSET(G52,-1,-1)</f>
        <v>1</v>
      </c>
      <c r="G52" s="220"/>
      <c r="H52" s="220"/>
      <c r="I52" s="220"/>
      <c r="J52" s="220"/>
      <c r="K52" s="220"/>
      <c r="L52" s="220"/>
      <c r="M52" s="220"/>
      <c r="N52" s="220"/>
      <c r="O52" s="220"/>
      <c r="P52" s="220"/>
      <c r="Q52" s="220"/>
      <c r="R52" s="220"/>
      <c r="S52" s="220"/>
      <c r="T52" s="220"/>
      <c r="U52" s="808" cm="1" t="str">
        <f t="array" ref="U52:U52">U51</f>
        <v>true</v>
      </c>
      <c r="V52" s="220"/>
      <c r="W52" s="220"/>
      <c r="X52" s="220"/>
      <c r="Y52" s="220"/>
      <c r="Z52" s="220"/>
      <c r="AA52" s="220"/>
      <c r="AB52" s="572" t="s">
        <v>459</v>
      </c>
      <c r="AC52" s="582" t="s">
        <v>460</v>
      </c>
      <c r="AD52" s="480" t="s">
        <v>446</v>
      </c>
      <c r="AE52" s="1663">
        <f>0.75*(11*AE54+MAX(0.06*AE54*(AE53-100),0))</f>
        <v>0</v>
      </c>
      <c r="AF52" s="1663">
        <f>0.75*(11*AF54+MAX(0.06*AF54*(AF53-100),0))</f>
        <v>0</v>
      </c>
      <c r="AG52" s="1663">
        <f>0.75*(11*AG54+MAX(0.06*AG54*(AG53-100),0))</f>
        <v>0</v>
      </c>
      <c r="AH52" s="1663">
        <f>0.75*(11*AH54+MAX(0.06*AH54*(AH53-100),0))</f>
        <v>0</v>
      </c>
      <c r="AI52" s="1663">
        <f>0.75*(11*AI54+MAX(0.06*AI54*(AI53-100),0))</f>
        <v>0</v>
      </c>
      <c r="AJ52" s="1663">
        <f>0.75*(11*AJ54+MAX(0.06*AJ54*(AJ53-100),0))</f>
        <v>0</v>
      </c>
      <c r="AK52" s="1663">
        <f>0.75*(11*AK54+MAX(0.06*AK54*(AK53-100),0))</f>
        <v>0</v>
      </c>
      <c r="AL52" s="1663">
        <f>0.75*(11*AL54+MAX(0.06*AL54*(AL53-100),0))</f>
        <v>0</v>
      </c>
      <c r="AM52" s="1663">
        <f>0.75*(11*AM54+MAX(0.06*AM54*(AM53-100),0))</f>
        <v>0</v>
      </c>
      <c r="AN52" s="1663">
        <f>0.75*(11*AN54+MAX(0.06*AN54*(AN53-100),0))</f>
        <v>0</v>
      </c>
      <c r="AO52" s="1663">
        <f>0.75*(11*AO54+MAX(0.06*AO54*(AO53-100),0))</f>
        <v>0</v>
      </c>
      <c r="AP52" s="1663">
        <f>0.75*(11*AP54+MAX(0.06*AP54*(AP53-100),0))</f>
        <v>0</v>
      </c>
      <c r="AQ52" s="1663">
        <f>0.75*(11*AQ54+MAX(0.06*AQ54*(AQ53-100),0))</f>
        <v>0</v>
      </c>
      <c r="AR52" s="1663">
        <f>0.75*(11*AR54+MAX(0.06*AR54*(AR53-100),0))</f>
        <v>0</v>
      </c>
      <c r="AS52" s="1663">
        <f>0.75*(11*AS54+MAX(0.06*AS54*(AS53-100),0))</f>
        <v>0</v>
      </c>
      <c r="AT52" s="1663">
        <f>0.75*(11*AT54+MAX(0.06*AT54*(AT53-100),0))</f>
        <v>0</v>
      </c>
      <c r="AU52" s="1663">
        <f>0.75*(11*AU54+MAX(0.06*AU54*(AU53-100),0))</f>
        <v>0</v>
      </c>
      <c r="AV52" s="1663">
        <f>0.75*(11*AV54+MAX(0.06*AV54*(AV53-100),0))</f>
        <v>0</v>
      </c>
      <c r="AW52" s="1663">
        <f>0.75*(11*AW54+MAX(0.06*AW54*(AW53-100),0))</f>
        <v>0</v>
      </c>
      <c r="AX52" s="1663">
        <f>0.75*(11*AX54+MAX(0.06*AX54*(AX53-100),0))</f>
        <v>0</v>
      </c>
      <c r="AY52" s="1663">
        <f>0.75*(11*AY54+MAX(0.06*AY54*(AY53-100),0))</f>
        <v>0</v>
      </c>
      <c r="AZ52" s="1671"/>
      <c r="BA52" s="220"/>
      <c r="BB52" s="220"/>
      <c r="BC52" s="1161" t="s">
        <v>461</v>
      </c>
    </row>
    <row s="1676" customFormat="1" customHeight="1" ht="16.5">
      <c r="A53" s="220"/>
      <c r="B53" s="220"/>
      <c r="C53" s="220"/>
      <c r="D53" s="220"/>
      <c r="E53" s="797">
        <v>17.1</v>
      </c>
      <c r="F53" s="922" cm="1" t="str">
        <f t="array" ref="F53:F53">OFFSET(G53,-1,-1)</f>
        <v>1</v>
      </c>
      <c r="G53" s="220"/>
      <c r="H53" s="220"/>
      <c r="I53" s="220"/>
      <c r="J53" s="220"/>
      <c r="K53" s="220"/>
      <c r="L53" s="220"/>
      <c r="M53" s="220"/>
      <c r="N53" s="220"/>
      <c r="O53" s="220"/>
      <c r="P53" s="220"/>
      <c r="Q53" s="220"/>
      <c r="R53" s="220"/>
      <c r="S53" s="220"/>
      <c r="T53" s="220"/>
      <c r="U53" s="808" cm="1" t="str">
        <f t="array" ref="U53:U53">U52</f>
        <v>true</v>
      </c>
      <c r="V53" s="220"/>
      <c r="W53" s="220"/>
      <c r="X53" s="220"/>
      <c r="Y53" s="220"/>
      <c r="Z53" s="220"/>
      <c r="AA53" s="220"/>
      <c r="AB53" s="579" t="str">
        <f>AB52&amp;".1"</f>
        <v>2.1.1.1</v>
      </c>
      <c r="AC53" s="581" t="s">
        <v>462</v>
      </c>
      <c r="AD53" s="173" t="s">
        <v>463</v>
      </c>
      <c r="AE53" s="1664"/>
      <c r="AF53" s="1664"/>
      <c r="AG53" s="1664"/>
      <c r="AH53" s="1664"/>
      <c r="AI53" s="1664"/>
      <c r="AJ53" s="1664"/>
      <c r="AK53" s="1664"/>
      <c r="AL53" s="1664"/>
      <c r="AM53" s="1664"/>
      <c r="AN53" s="1664"/>
      <c r="AO53" s="1664"/>
      <c r="AP53" s="1664"/>
      <c r="AQ53" s="1664"/>
      <c r="AR53" s="1664"/>
      <c r="AS53" s="1664"/>
      <c r="AT53" s="1664"/>
      <c r="AU53" s="1664"/>
      <c r="AV53" s="1664"/>
      <c r="AW53" s="1664"/>
      <c r="AX53" s="1664"/>
      <c r="AY53" s="1664"/>
      <c r="AZ53" s="1671"/>
      <c r="BA53" s="220"/>
      <c r="BB53" s="220"/>
      <c r="BC53" s="1161" t="s">
        <v>464</v>
      </c>
    </row>
    <row s="1677" customFormat="1" customHeight="1" ht="16.5">
      <c r="A54" s="220"/>
      <c r="B54" s="220"/>
      <c r="C54" s="220"/>
      <c r="D54" s="220"/>
      <c r="E54" s="797">
        <v>17.1</v>
      </c>
      <c r="F54" s="922" cm="1" t="str">
        <f t="array" ref="F54:F54">OFFSET(G54,-1,-1)</f>
        <v>1</v>
      </c>
      <c r="G54" s="220"/>
      <c r="H54" s="220"/>
      <c r="I54" s="220"/>
      <c r="J54" s="220"/>
      <c r="K54" s="220"/>
      <c r="L54" s="220"/>
      <c r="M54" s="220"/>
      <c r="N54" s="220"/>
      <c r="O54" s="220"/>
      <c r="P54" s="220"/>
      <c r="Q54" s="220"/>
      <c r="R54" s="220"/>
      <c r="S54" s="220"/>
      <c r="T54" s="220"/>
      <c r="U54" s="808" cm="1" t="str">
        <f t="array" ref="U54:U54">U53</f>
        <v>true</v>
      </c>
      <c r="V54" s="220"/>
      <c r="W54" s="220"/>
      <c r="X54" s="220"/>
      <c r="Y54" s="220"/>
      <c r="Z54" s="220"/>
      <c r="AA54" s="220"/>
      <c r="AB54" s="579" t="str">
        <f>AB52&amp;".2"</f>
        <v>2.1.1.2</v>
      </c>
      <c r="AC54" s="581" t="s">
        <v>465</v>
      </c>
      <c r="AD54" s="580" t="s">
        <v>466</v>
      </c>
      <c r="AE54" s="1665"/>
      <c r="AF54" s="1665"/>
      <c r="AG54" s="1665"/>
      <c r="AH54" s="1665"/>
      <c r="AI54" s="1665"/>
      <c r="AJ54" s="1665"/>
      <c r="AK54" s="1665"/>
      <c r="AL54" s="1665"/>
      <c r="AM54" s="1665"/>
      <c r="AN54" s="1665"/>
      <c r="AO54" s="1665"/>
      <c r="AP54" s="1665"/>
      <c r="AQ54" s="1665"/>
      <c r="AR54" s="1665"/>
      <c r="AS54" s="1665"/>
      <c r="AT54" s="1665"/>
      <c r="AU54" s="1665"/>
      <c r="AV54" s="1665"/>
      <c r="AW54" s="1665"/>
      <c r="AX54" s="1665"/>
      <c r="AY54" s="1665"/>
      <c r="AZ54" s="1671"/>
      <c r="BA54" s="220"/>
      <c r="BB54" s="220"/>
      <c r="BC54" s="1161" t="s">
        <v>467</v>
      </c>
    </row>
    <row s="1678" customFormat="1" customHeight="1" ht="16.5">
      <c r="A55" s="220"/>
      <c r="B55" s="220"/>
      <c r="C55" s="220"/>
      <c r="D55" s="220"/>
      <c r="E55" s="797">
        <v>17.1</v>
      </c>
      <c r="F55" s="922" cm="1" t="str">
        <f t="array" ref="F55:F55">OFFSET(G55,-1,-1)</f>
        <v>1</v>
      </c>
      <c r="G55" s="220"/>
      <c r="H55" s="220"/>
      <c r="I55" s="220"/>
      <c r="J55" s="220"/>
      <c r="K55" s="220"/>
      <c r="L55" s="220"/>
      <c r="M55" s="220"/>
      <c r="N55" s="220"/>
      <c r="O55" s="220"/>
      <c r="P55" s="220"/>
      <c r="Q55" s="220"/>
      <c r="R55" s="220"/>
      <c r="S55" s="220"/>
      <c r="T55" s="220"/>
      <c r="U55" s="808" cm="1" t="str">
        <f t="array" ref="U55:U55">U54</f>
        <v>true</v>
      </c>
      <c r="V55" s="220"/>
      <c r="W55" s="220"/>
      <c r="X55" s="220"/>
      <c r="Y55" s="220"/>
      <c r="Z55" s="220"/>
      <c r="AA55" s="220"/>
      <c r="AB55" s="578" t="s">
        <v>468</v>
      </c>
      <c r="AC55" s="562" t="s">
        <v>469</v>
      </c>
      <c r="AD55" s="480" t="s">
        <v>446</v>
      </c>
      <c r="AE55" s="1663">
        <f>(11*AE57+MAX(0.06*AE57*(AE56-100),0))</f>
        <v>0</v>
      </c>
      <c r="AF55" s="1663">
        <f>(11*AF57+MAX(0.06*AF57*(AF56-100),0))</f>
        <v>0</v>
      </c>
      <c r="AG55" s="1663">
        <f>(11*AG57+MAX(0.06*AG57*(AG56-100),0))</f>
        <v>0</v>
      </c>
      <c r="AH55" s="1663">
        <f>(11*AH57+MAX(0.06*AH57*(AH56-100),0))</f>
        <v>0</v>
      </c>
      <c r="AI55" s="1663">
        <f>(11*AI57+MAX(0.06*AI57*(AI56-100),0))</f>
        <v>0</v>
      </c>
      <c r="AJ55" s="1663">
        <f>(11*AJ57+MAX(0.06*AJ57*(AJ56-100),0))</f>
        <v>0</v>
      </c>
      <c r="AK55" s="1663">
        <f>(11*AK57+MAX(0.06*AK57*(AK56-100),0))</f>
        <v>0</v>
      </c>
      <c r="AL55" s="1663">
        <f>(11*AL57+MAX(0.06*AL57*(AL56-100),0))</f>
        <v>0</v>
      </c>
      <c r="AM55" s="1663">
        <f>(11*AM57+MAX(0.06*AM57*(AM56-100),0))</f>
        <v>0</v>
      </c>
      <c r="AN55" s="1663">
        <f>(11*AN57+MAX(0.06*AN57*(AN56-100),0))</f>
        <v>0</v>
      </c>
      <c r="AO55" s="1663">
        <f>(11*AO57+MAX(0.06*AO57*(AO56-100),0))</f>
        <v>0</v>
      </c>
      <c r="AP55" s="1663">
        <f>(11*AP57+MAX(0.06*AP57*(AP56-100),0))</f>
        <v>0</v>
      </c>
      <c r="AQ55" s="1663">
        <f>(11*AQ57+MAX(0.06*AQ57*(AQ56-100),0))</f>
        <v>0</v>
      </c>
      <c r="AR55" s="1663">
        <f>(11*AR57+MAX(0.06*AR57*(AR56-100),0))</f>
        <v>0</v>
      </c>
      <c r="AS55" s="1663">
        <f>(11*AS57+MAX(0.06*AS57*(AS56-100),0))</f>
        <v>0</v>
      </c>
      <c r="AT55" s="1663">
        <f>(11*AT57+MAX(0.06*AT57*(AT56-100),0))</f>
        <v>0</v>
      </c>
      <c r="AU55" s="1663">
        <f>(11*AU57+MAX(0.06*AU57*(AU56-100),0))</f>
        <v>0</v>
      </c>
      <c r="AV55" s="1663">
        <f>(11*AV57+MAX(0.06*AV57*(AV56-100),0))</f>
        <v>0</v>
      </c>
      <c r="AW55" s="1663">
        <f>(11*AW57+MAX(0.06*AW57*(AW56-100),0))</f>
        <v>0</v>
      </c>
      <c r="AX55" s="1663">
        <f>(11*AX57+MAX(0.06*AX57*(AX56-100),0))</f>
        <v>0</v>
      </c>
      <c r="AY55" s="1663">
        <f>(11*AY57+MAX(0.06*AY57*(AY56-100),0))</f>
        <v>0</v>
      </c>
      <c r="AZ55" s="1671"/>
      <c r="BA55" s="220"/>
      <c r="BB55" s="220"/>
      <c r="BC55" s="1161" t="s">
        <v>470</v>
      </c>
    </row>
    <row s="1679" customFormat="1" customHeight="1" ht="16.5">
      <c r="A56" s="220"/>
      <c r="B56" s="220"/>
      <c r="C56" s="220"/>
      <c r="D56" s="220"/>
      <c r="E56" s="797">
        <v>17.1</v>
      </c>
      <c r="F56" s="922" cm="1" t="str">
        <f t="array" ref="F56:F56">OFFSET(G56,-1,-1)</f>
        <v>1</v>
      </c>
      <c r="G56" s="220"/>
      <c r="H56" s="220"/>
      <c r="I56" s="220"/>
      <c r="J56" s="220"/>
      <c r="K56" s="220"/>
      <c r="L56" s="220"/>
      <c r="M56" s="220"/>
      <c r="N56" s="220"/>
      <c r="O56" s="220"/>
      <c r="P56" s="220"/>
      <c r="Q56" s="220"/>
      <c r="R56" s="220"/>
      <c r="S56" s="220"/>
      <c r="T56" s="220"/>
      <c r="U56" s="808" cm="1" t="str">
        <f t="array" ref="U56:U56">U55</f>
        <v>true</v>
      </c>
      <c r="V56" s="220"/>
      <c r="W56" s="220"/>
      <c r="X56" s="220"/>
      <c r="Y56" s="220"/>
      <c r="Z56" s="220"/>
      <c r="AA56" s="220"/>
      <c r="AB56" s="579" t="str">
        <f>AB55&amp;".1"</f>
        <v>2.1.2.1</v>
      </c>
      <c r="AC56" s="581" t="s">
        <v>462</v>
      </c>
      <c r="AD56" s="673" t="s">
        <v>463</v>
      </c>
      <c r="AE56" s="1680"/>
      <c r="AF56" s="1665"/>
      <c r="AG56" s="1665"/>
      <c r="AH56" s="1665"/>
      <c r="AI56" s="1665"/>
      <c r="AJ56" s="1665"/>
      <c r="AK56" s="1665"/>
      <c r="AL56" s="1665"/>
      <c r="AM56" s="1665"/>
      <c r="AN56" s="1665"/>
      <c r="AO56" s="1665"/>
      <c r="AP56" s="1665"/>
      <c r="AQ56" s="1665"/>
      <c r="AR56" s="1665"/>
      <c r="AS56" s="1665"/>
      <c r="AT56" s="1665"/>
      <c r="AU56" s="1665"/>
      <c r="AV56" s="1665"/>
      <c r="AW56" s="1665"/>
      <c r="AX56" s="1665"/>
      <c r="AY56" s="1665"/>
      <c r="AZ56" s="1671"/>
      <c r="BA56" s="220"/>
      <c r="BB56" s="220"/>
      <c r="BC56" s="1161" t="s">
        <v>471</v>
      </c>
    </row>
    <row s="1681" customFormat="1" customHeight="1" ht="16.5">
      <c r="A57" s="220"/>
      <c r="B57" s="220"/>
      <c r="C57" s="220"/>
      <c r="D57" s="220"/>
      <c r="E57" s="797">
        <v>17.1</v>
      </c>
      <c r="F57" s="922" cm="1" t="str">
        <f t="array" ref="F57:F57">OFFSET(G57,-1,-1)</f>
        <v>1</v>
      </c>
      <c r="G57" s="220"/>
      <c r="H57" s="220"/>
      <c r="I57" s="220"/>
      <c r="J57" s="220"/>
      <c r="K57" s="220"/>
      <c r="L57" s="220"/>
      <c r="M57" s="220"/>
      <c r="N57" s="220"/>
      <c r="O57" s="220"/>
      <c r="P57" s="220"/>
      <c r="Q57" s="220"/>
      <c r="R57" s="220"/>
      <c r="S57" s="220"/>
      <c r="T57" s="220"/>
      <c r="U57" s="808" cm="1" t="str">
        <f t="array" ref="U57:U57">U56</f>
        <v>true</v>
      </c>
      <c r="V57" s="220"/>
      <c r="W57" s="220"/>
      <c r="X57" s="220"/>
      <c r="Y57" s="220"/>
      <c r="Z57" s="220"/>
      <c r="AA57" s="220"/>
      <c r="AB57" s="579" t="str">
        <f>AB55&amp;".2"</f>
        <v>2.1.2.2</v>
      </c>
      <c r="AC57" s="721" t="s">
        <v>465</v>
      </c>
      <c r="AD57" s="173" t="s">
        <v>466</v>
      </c>
      <c r="AE57" s="1665"/>
      <c r="AF57" s="1666"/>
      <c r="AG57" s="1665"/>
      <c r="AH57" s="1665"/>
      <c r="AI57" s="1665"/>
      <c r="AJ57" s="1665"/>
      <c r="AK57" s="1665"/>
      <c r="AL57" s="1665"/>
      <c r="AM57" s="1665"/>
      <c r="AN57" s="1665"/>
      <c r="AO57" s="1665"/>
      <c r="AP57" s="1665"/>
      <c r="AQ57" s="1665"/>
      <c r="AR57" s="1665"/>
      <c r="AS57" s="1665"/>
      <c r="AT57" s="1665"/>
      <c r="AU57" s="1665"/>
      <c r="AV57" s="1665"/>
      <c r="AW57" s="1665"/>
      <c r="AX57" s="1665"/>
      <c r="AY57" s="1665"/>
      <c r="AZ57" s="1671"/>
      <c r="BA57" s="220"/>
      <c r="BB57" s="220"/>
      <c r="BC57" s="1161" t="s">
        <v>472</v>
      </c>
    </row>
    <row s="1682" customFormat="1" customHeight="1" ht="16.5">
      <c r="A58" s="220"/>
      <c r="B58" s="220"/>
      <c r="C58" s="220"/>
      <c r="D58" s="220"/>
      <c r="E58" s="797">
        <v>17.1</v>
      </c>
      <c r="F58" s="922" cm="1" t="str">
        <f t="array" ref="F58:F58">OFFSET(G58,-1,-1)</f>
        <v>1</v>
      </c>
      <c r="G58" s="220"/>
      <c r="H58" s="220"/>
      <c r="I58" s="220"/>
      <c r="J58" s="220"/>
      <c r="K58" s="220"/>
      <c r="L58" s="220"/>
      <c r="M58" s="220"/>
      <c r="N58" s="220"/>
      <c r="O58" s="220"/>
      <c r="P58" s="220"/>
      <c r="Q58" s="220"/>
      <c r="R58" s="220"/>
      <c r="S58" s="220"/>
      <c r="T58" s="220"/>
      <c r="U58" s="808" cm="1" t="str">
        <f t="array" ref="U58:U58">U57</f>
        <v>true</v>
      </c>
      <c r="V58" s="220"/>
      <c r="W58" s="220"/>
      <c r="X58" s="220"/>
      <c r="Y58" s="220"/>
      <c r="Z58" s="220"/>
      <c r="AA58" s="220"/>
      <c r="AB58" s="288" t="s">
        <v>473</v>
      </c>
      <c r="AC58" s="722" t="s">
        <v>474</v>
      </c>
      <c r="AD58" s="288" t="s">
        <v>446</v>
      </c>
      <c r="AE58" s="1665">
        <f>1.25*(11*AE60+MAX(0.06*AE60*(AE59-100),0))</f>
        <v>0</v>
      </c>
      <c r="AF58" s="1667">
        <f>1.25*(11*AF60+MAX(0.06*AF60*(AF59-100),0))</f>
        <v>0</v>
      </c>
      <c r="AG58" s="1663">
        <f>1.25*(11*AG60+MAX(0.06*AG60*(AG59-100),0))</f>
        <v>0</v>
      </c>
      <c r="AH58" s="1663">
        <f>1.25*(11*AH60+MAX(0.06*AH60*(AH59-100),0))</f>
        <v>0</v>
      </c>
      <c r="AI58" s="1663">
        <f>1.25*(11*AI60+MAX(0.06*AI60*(AI59-100),0))</f>
        <v>0</v>
      </c>
      <c r="AJ58" s="1663">
        <f>1.25*(11*AJ60+MAX(0.06*AJ60*(AJ59-100),0))</f>
        <v>0</v>
      </c>
      <c r="AK58" s="1663">
        <f>1.25*(11*AK60+MAX(0.06*AK60*(AK59-100),0))</f>
        <v>0</v>
      </c>
      <c r="AL58" s="1663">
        <f>1.25*(11*AL60+MAX(0.06*AL60*(AL59-100),0))</f>
        <v>0</v>
      </c>
      <c r="AM58" s="1663">
        <f>1.25*(11*AM60+MAX(0.06*AM60*(AM59-100),0))</f>
        <v>0</v>
      </c>
      <c r="AN58" s="1663">
        <f>1.25*(11*AN60+MAX(0.06*AN60*(AN59-100),0))</f>
        <v>0</v>
      </c>
      <c r="AO58" s="1663">
        <f>1.25*(11*AO60+MAX(0.06*AO60*(AO59-100),0))</f>
        <v>0</v>
      </c>
      <c r="AP58" s="1663">
        <f>1.25*(11*AP60+MAX(0.06*AP60*(AP59-100),0))</f>
        <v>0</v>
      </c>
      <c r="AQ58" s="1663">
        <f>1.25*(11*AQ60+MAX(0.06*AQ60*(AQ59-100),0))</f>
        <v>0</v>
      </c>
      <c r="AR58" s="1663">
        <f>1.25*(11*AR60+MAX(0.06*AR60*(AR59-100),0))</f>
        <v>0</v>
      </c>
      <c r="AS58" s="1663">
        <f>1.25*(11*AS60+MAX(0.06*AS60*(AS59-100),0))</f>
        <v>0</v>
      </c>
      <c r="AT58" s="1663">
        <f>1.25*(11*AT60+MAX(0.06*AT60*(AT59-100),0))</f>
        <v>0</v>
      </c>
      <c r="AU58" s="1663">
        <f>1.25*(11*AU60+MAX(0.06*AU60*(AU59-100),0))</f>
        <v>0</v>
      </c>
      <c r="AV58" s="1663">
        <f>1.25*(11*AV60+MAX(0.06*AV60*(AV59-100),0))</f>
        <v>0</v>
      </c>
      <c r="AW58" s="1663">
        <f>1.25*(11*AW60+MAX(0.06*AW60*(AW59-100),0))</f>
        <v>0</v>
      </c>
      <c r="AX58" s="1663">
        <f>1.25*(11*AX60+MAX(0.06*AX60*(AX59-100),0))</f>
        <v>0</v>
      </c>
      <c r="AY58" s="1663">
        <f>1.25*(11*AY60+MAX(0.06*AY60*(AY59-100),0))</f>
        <v>0</v>
      </c>
      <c r="AZ58" s="1671"/>
      <c r="BA58" s="220"/>
      <c r="BB58" s="220"/>
      <c r="BC58" s="1161" t="s">
        <v>475</v>
      </c>
    </row>
    <row s="1683" customFormat="1" customHeight="1" ht="16.5">
      <c r="A59" s="220"/>
      <c r="B59" s="220"/>
      <c r="C59" s="220"/>
      <c r="D59" s="220"/>
      <c r="E59" s="797">
        <v>17.1</v>
      </c>
      <c r="F59" s="922" cm="1" t="str">
        <f t="array" ref="F59:F59">OFFSET(G59,-1,-1)</f>
        <v>1</v>
      </c>
      <c r="G59" s="220"/>
      <c r="H59" s="220"/>
      <c r="I59" s="220"/>
      <c r="J59" s="220"/>
      <c r="K59" s="220"/>
      <c r="L59" s="220"/>
      <c r="M59" s="220"/>
      <c r="N59" s="220"/>
      <c r="O59" s="220"/>
      <c r="P59" s="220"/>
      <c r="Q59" s="220"/>
      <c r="R59" s="220"/>
      <c r="S59" s="220"/>
      <c r="T59" s="220"/>
      <c r="U59" s="808" cm="1" t="str">
        <f t="array" ref="U59:U59">U58</f>
        <v>true</v>
      </c>
      <c r="V59" s="220"/>
      <c r="W59" s="220"/>
      <c r="X59" s="220"/>
      <c r="Y59" s="220"/>
      <c r="Z59" s="220"/>
      <c r="AA59" s="220"/>
      <c r="AB59" s="579" t="str">
        <f>AB58&amp;".1"</f>
        <v>2.1.3.1</v>
      </c>
      <c r="AC59" s="721" t="s">
        <v>462</v>
      </c>
      <c r="AD59" s="173" t="s">
        <v>463</v>
      </c>
      <c r="AE59" s="1665"/>
      <c r="AF59" s="1668"/>
      <c r="AG59" s="1668"/>
      <c r="AH59" s="1668"/>
      <c r="AI59" s="1668"/>
      <c r="AJ59" s="1668"/>
      <c r="AK59" s="1668"/>
      <c r="AL59" s="1668"/>
      <c r="AM59" s="1668"/>
      <c r="AN59" s="1668"/>
      <c r="AO59" s="1668"/>
      <c r="AP59" s="1668"/>
      <c r="AQ59" s="1668"/>
      <c r="AR59" s="1668"/>
      <c r="AS59" s="1668"/>
      <c r="AT59" s="1668"/>
      <c r="AU59" s="1668"/>
      <c r="AV59" s="1668"/>
      <c r="AW59" s="1668"/>
      <c r="AX59" s="1668"/>
      <c r="AY59" s="1668"/>
      <c r="AZ59" s="1671"/>
      <c r="BA59" s="220"/>
      <c r="BB59" s="220"/>
      <c r="BC59" s="1161" t="s">
        <v>476</v>
      </c>
    </row>
    <row s="1684" customFormat="1" customHeight="1" ht="16.5">
      <c r="A60" s="220"/>
      <c r="B60" s="220"/>
      <c r="C60" s="220"/>
      <c r="D60" s="220"/>
      <c r="E60" s="797">
        <v>17.1</v>
      </c>
      <c r="F60" s="922" cm="1" t="str">
        <f t="array" ref="F60:F60">OFFSET(G60,-1,-1)</f>
        <v>1</v>
      </c>
      <c r="G60" s="220"/>
      <c r="H60" s="220"/>
      <c r="I60" s="220"/>
      <c r="J60" s="220"/>
      <c r="K60" s="220"/>
      <c r="L60" s="220"/>
      <c r="M60" s="220"/>
      <c r="N60" s="220"/>
      <c r="O60" s="220"/>
      <c r="P60" s="220"/>
      <c r="Q60" s="220"/>
      <c r="R60" s="220"/>
      <c r="S60" s="220"/>
      <c r="T60" s="220"/>
      <c r="U60" s="808" cm="1" t="str">
        <f t="array" ref="U60:U60">U59</f>
        <v>true</v>
      </c>
      <c r="V60" s="220"/>
      <c r="W60" s="220"/>
      <c r="X60" s="220"/>
      <c r="Y60" s="220"/>
      <c r="Z60" s="220"/>
      <c r="AA60" s="220"/>
      <c r="AB60" s="579" t="str">
        <f>AB58&amp;".2"</f>
        <v>2.1.3.2</v>
      </c>
      <c r="AC60" s="721" t="s">
        <v>465</v>
      </c>
      <c r="AD60" s="173" t="s">
        <v>466</v>
      </c>
      <c r="AE60" s="1665"/>
      <c r="AF60" s="1666"/>
      <c r="AG60" s="1666"/>
      <c r="AH60" s="1666"/>
      <c r="AI60" s="1666"/>
      <c r="AJ60" s="1666"/>
      <c r="AK60" s="1666"/>
      <c r="AL60" s="1666"/>
      <c r="AM60" s="1666"/>
      <c r="AN60" s="1666"/>
      <c r="AO60" s="1666"/>
      <c r="AP60" s="1666"/>
      <c r="AQ60" s="1666"/>
      <c r="AR60" s="1666"/>
      <c r="AS60" s="1666"/>
      <c r="AT60" s="1666"/>
      <c r="AU60" s="1666"/>
      <c r="AV60" s="1666"/>
      <c r="AW60" s="1666"/>
      <c r="AX60" s="1666"/>
      <c r="AY60" s="1666"/>
      <c r="AZ60" s="1671"/>
      <c r="BA60" s="220"/>
      <c r="BB60" s="220"/>
      <c r="BC60" s="1161" t="s">
        <v>477</v>
      </c>
    </row>
    <row s="1685" customFormat="1" customHeight="1" ht="16.5">
      <c r="A61" s="220"/>
      <c r="B61" s="220"/>
      <c r="C61" s="220"/>
      <c r="D61" s="220"/>
      <c r="E61" s="797">
        <v>17.1</v>
      </c>
      <c r="F61" s="922" cm="1" t="str">
        <f t="array" ref="F61:F61">OFFSET(G61,-1,-1)</f>
        <v>1</v>
      </c>
      <c r="G61" s="220"/>
      <c r="H61" s="213" t="s">
        <v>444</v>
      </c>
      <c r="I61" s="213" t="str">
        <f>AC61&amp;"::"&amp;AD61</f>
        <v>Четырехтрубные::УЕ</v>
      </c>
      <c r="J61" s="220"/>
      <c r="K61" s="220"/>
      <c r="L61" s="220"/>
      <c r="M61" s="220"/>
      <c r="N61" s="220"/>
      <c r="O61" s="220"/>
      <c r="P61" s="220"/>
      <c r="Q61" s="220"/>
      <c r="R61" s="220"/>
      <c r="S61" s="220"/>
      <c r="T61" s="220"/>
      <c r="U61" s="808" cm="1" t="str">
        <f t="array" ref="U61:U61">U60</f>
        <v>true</v>
      </c>
      <c r="V61" s="220"/>
      <c r="W61" s="220"/>
      <c r="X61" s="220"/>
      <c r="Y61" s="220"/>
      <c r="Z61" s="220"/>
      <c r="AA61" s="220"/>
      <c r="AB61" s="288" t="s">
        <v>478</v>
      </c>
      <c r="AC61" s="722" t="s">
        <v>479</v>
      </c>
      <c r="AD61" s="288" t="s">
        <v>446</v>
      </c>
      <c r="AE61" s="1665">
        <f>1.5*(11*AE63+MAX(0.06*AE63*(AE62-100),0))</f>
        <v>0</v>
      </c>
      <c r="AF61" s="1667">
        <f>1.5*(11*AF63+MAX(0.06*AF63*(AF62-100),0))</f>
        <v>0</v>
      </c>
      <c r="AG61" s="1663">
        <f>1.5*(11*AG63+MAX(0.06*AG63*(AG62-100),0))</f>
        <v>0</v>
      </c>
      <c r="AH61" s="1663">
        <f>1.5*(11*AH63+MAX(0.06*AH63*(AH62-100),0))</f>
        <v>0</v>
      </c>
      <c r="AI61" s="1663">
        <f>1.5*(11*AI63+MAX(0.06*AI63*(AI62-100),0))</f>
        <v>0</v>
      </c>
      <c r="AJ61" s="1663">
        <f>1.5*(11*AJ63+MAX(0.06*AJ63*(AJ62-100),0))</f>
        <v>0</v>
      </c>
      <c r="AK61" s="1663">
        <f>1.5*(11*AK63+MAX(0.06*AK63*(AK62-100),0))</f>
        <v>0</v>
      </c>
      <c r="AL61" s="1663">
        <f>1.5*(11*AL63+MAX(0.06*AL63*(AL62-100),0))</f>
        <v>0</v>
      </c>
      <c r="AM61" s="1663">
        <f>1.5*(11*AM63+MAX(0.06*AM63*(AM62-100),0))</f>
        <v>0</v>
      </c>
      <c r="AN61" s="1663">
        <f>1.5*(11*AN63+MAX(0.06*AN63*(AN62-100),0))</f>
        <v>0</v>
      </c>
      <c r="AO61" s="1663">
        <f>1.5*(11*AO63+MAX(0.06*AO63*(AO62-100),0))</f>
        <v>0</v>
      </c>
      <c r="AP61" s="1663">
        <f>1.5*(11*AP63+MAX(0.06*AP63*(AP62-100),0))</f>
        <v>0</v>
      </c>
      <c r="AQ61" s="1663">
        <f>1.5*(11*AQ63+MAX(0.06*AQ63*(AQ62-100),0))</f>
        <v>0</v>
      </c>
      <c r="AR61" s="1663">
        <f>1.5*(11*AR63+MAX(0.06*AR63*(AR62-100),0))</f>
        <v>0</v>
      </c>
      <c r="AS61" s="1663">
        <f>1.5*(11*AS63+MAX(0.06*AS63*(AS62-100),0))</f>
        <v>0</v>
      </c>
      <c r="AT61" s="1663">
        <f>1.5*(11*AT63+MAX(0.06*AT63*(AT62-100),0))</f>
        <v>0</v>
      </c>
      <c r="AU61" s="1663">
        <f>1.5*(11*AU63+MAX(0.06*AU63*(AU62-100),0))</f>
        <v>0</v>
      </c>
      <c r="AV61" s="1663">
        <f>1.5*(11*AV63+MAX(0.06*AV63*(AV62-100),0))</f>
        <v>0</v>
      </c>
      <c r="AW61" s="1663">
        <f>1.5*(11*AW63+MAX(0.06*AW63*(AW62-100),0))</f>
        <v>0</v>
      </c>
      <c r="AX61" s="1663">
        <f>1.5*(11*AX63+MAX(0.06*AX63*(AX62-100),0))</f>
        <v>0</v>
      </c>
      <c r="AY61" s="1663">
        <f>1.5*(11*AY63+MAX(0.06*AY63*(AY62-100),0))</f>
        <v>0</v>
      </c>
      <c r="AZ61" s="1671"/>
      <c r="BA61" s="220"/>
      <c r="BB61" s="220"/>
      <c r="BC61" s="1161" t="s">
        <v>480</v>
      </c>
    </row>
    <row s="1686" customFormat="1" customHeight="1" ht="16.5">
      <c r="A62" s="220"/>
      <c r="B62" s="220"/>
      <c r="C62" s="220"/>
      <c r="D62" s="220"/>
      <c r="E62" s="797">
        <v>17.1</v>
      </c>
      <c r="F62" s="922" cm="1" t="str">
        <f t="array" ref="F62:F62">OFFSET(G62,-1,-1)</f>
        <v>1</v>
      </c>
      <c r="G62" s="220"/>
      <c r="H62" s="220"/>
      <c r="I62" s="220"/>
      <c r="J62" s="220"/>
      <c r="K62" s="220"/>
      <c r="L62" s="220"/>
      <c r="M62" s="220"/>
      <c r="N62" s="220"/>
      <c r="O62" s="220"/>
      <c r="P62" s="220"/>
      <c r="Q62" s="220"/>
      <c r="R62" s="220"/>
      <c r="S62" s="220"/>
      <c r="T62" s="220"/>
      <c r="U62" s="808" cm="1" t="str">
        <f t="array" ref="U62:U62">U61</f>
        <v>true</v>
      </c>
      <c r="V62" s="220"/>
      <c r="W62" s="220"/>
      <c r="X62" s="220"/>
      <c r="Y62" s="220"/>
      <c r="Z62" s="220"/>
      <c r="AA62" s="220"/>
      <c r="AB62" s="579" t="str">
        <f>AB61&amp;".1"</f>
        <v>2.1.4.1</v>
      </c>
      <c r="AC62" s="721" t="s">
        <v>462</v>
      </c>
      <c r="AD62" s="173" t="s">
        <v>463</v>
      </c>
      <c r="AE62" s="1665"/>
      <c r="AF62" s="1666"/>
      <c r="AG62" s="1666"/>
      <c r="AH62" s="1666"/>
      <c r="AI62" s="1666"/>
      <c r="AJ62" s="1666"/>
      <c r="AK62" s="1666"/>
      <c r="AL62" s="1666"/>
      <c r="AM62" s="1666"/>
      <c r="AN62" s="1666"/>
      <c r="AO62" s="1666"/>
      <c r="AP62" s="1666"/>
      <c r="AQ62" s="1666"/>
      <c r="AR62" s="1666"/>
      <c r="AS62" s="1666"/>
      <c r="AT62" s="1666"/>
      <c r="AU62" s="1666"/>
      <c r="AV62" s="1666"/>
      <c r="AW62" s="1666"/>
      <c r="AX62" s="1666"/>
      <c r="AY62" s="1666"/>
      <c r="AZ62" s="1671"/>
      <c r="BA62" s="220"/>
      <c r="BB62" s="220"/>
      <c r="BC62" s="1161" t="s">
        <v>481</v>
      </c>
    </row>
    <row s="1687" customFormat="1" customHeight="1" ht="16.5">
      <c r="A63" s="220"/>
      <c r="B63" s="220"/>
      <c r="C63" s="220"/>
      <c r="D63" s="220"/>
      <c r="E63" s="797">
        <v>17.1</v>
      </c>
      <c r="F63" s="922" cm="1" t="str">
        <f t="array" ref="F63:F63">OFFSET(G63,-1,-1)</f>
        <v>1</v>
      </c>
      <c r="G63" s="220"/>
      <c r="H63" s="220"/>
      <c r="I63" s="220"/>
      <c r="J63" s="220"/>
      <c r="K63" s="220"/>
      <c r="L63" s="220"/>
      <c r="M63" s="220"/>
      <c r="N63" s="220"/>
      <c r="O63" s="220"/>
      <c r="P63" s="220"/>
      <c r="Q63" s="220"/>
      <c r="R63" s="220"/>
      <c r="S63" s="220"/>
      <c r="T63" s="220"/>
      <c r="U63" s="808" cm="1" t="str">
        <f t="array" ref="U63:U63">U62</f>
        <v>true</v>
      </c>
      <c r="V63" s="220"/>
      <c r="W63" s="220"/>
      <c r="X63" s="220"/>
      <c r="Y63" s="220"/>
      <c r="Z63" s="220"/>
      <c r="AA63" s="220"/>
      <c r="AB63" s="579" t="str">
        <f>AB61&amp;".2"</f>
        <v>2.1.4.2</v>
      </c>
      <c r="AC63" s="721" t="s">
        <v>465</v>
      </c>
      <c r="AD63" s="173" t="s">
        <v>466</v>
      </c>
      <c r="AE63" s="1665"/>
      <c r="AF63" s="1666"/>
      <c r="AG63" s="1666"/>
      <c r="AH63" s="1666"/>
      <c r="AI63" s="1666"/>
      <c r="AJ63" s="1666"/>
      <c r="AK63" s="1666"/>
      <c r="AL63" s="1666"/>
      <c r="AM63" s="1666"/>
      <c r="AN63" s="1666"/>
      <c r="AO63" s="1666"/>
      <c r="AP63" s="1666"/>
      <c r="AQ63" s="1666"/>
      <c r="AR63" s="1666"/>
      <c r="AS63" s="1666"/>
      <c r="AT63" s="1666"/>
      <c r="AU63" s="1666"/>
      <c r="AV63" s="1666"/>
      <c r="AW63" s="1666"/>
      <c r="AX63" s="1666"/>
      <c r="AY63" s="1666"/>
      <c r="AZ63" s="1671"/>
      <c r="BA63" s="220"/>
      <c r="BB63" s="220"/>
      <c r="BC63" s="1161" t="s">
        <v>482</v>
      </c>
    </row>
    <row s="1688" customFormat="1" customHeight="1" ht="30">
      <c r="A64" s="220"/>
      <c r="B64" s="220"/>
      <c r="C64" s="220"/>
      <c r="D64" s="220"/>
      <c r="E64" s="797">
        <v>30.8</v>
      </c>
      <c r="F64" s="922" cm="1" t="str">
        <f t="array" ref="F64:F64">OFFSET(G64,-1,-1)</f>
        <v>1</v>
      </c>
      <c r="G64" s="220"/>
      <c r="H64" s="220"/>
      <c r="I64" s="220"/>
      <c r="J64" s="220"/>
      <c r="K64" s="220"/>
      <c r="L64" s="220"/>
      <c r="M64" s="220"/>
      <c r="N64" s="220"/>
      <c r="O64" s="220"/>
      <c r="P64" s="220"/>
      <c r="Q64" s="220"/>
      <c r="R64" s="220"/>
      <c r="S64" s="220"/>
      <c r="T64" s="220"/>
      <c r="U64" s="808" cm="1" t="str">
        <f t="array" ref="U64:U64">U63</f>
        <v>true</v>
      </c>
      <c r="V64" s="220"/>
      <c r="W64" s="220"/>
      <c r="X64" s="220"/>
      <c r="Y64" s="220"/>
      <c r="Z64" s="220"/>
      <c r="AA64" s="220"/>
      <c r="AB64" s="574" t="s">
        <v>483</v>
      </c>
      <c r="AC64" s="723" t="s">
        <v>484</v>
      </c>
      <c r="AD64" s="173" t="s">
        <v>485</v>
      </c>
      <c r="AE64" s="1665"/>
      <c r="AF64" s="1666"/>
      <c r="AG64" s="1665"/>
      <c r="AH64" s="1665"/>
      <c r="AI64" s="1665"/>
      <c r="AJ64" s="1665"/>
      <c r="AK64" s="1665"/>
      <c r="AL64" s="1665"/>
      <c r="AM64" s="1665"/>
      <c r="AN64" s="1665"/>
      <c r="AO64" s="1665"/>
      <c r="AP64" s="1665"/>
      <c r="AQ64" s="1665"/>
      <c r="AR64" s="1665"/>
      <c r="AS64" s="1665"/>
      <c r="AT64" s="1665"/>
      <c r="AU64" s="1665"/>
      <c r="AV64" s="1665"/>
      <c r="AW64" s="1665"/>
      <c r="AX64" s="1665"/>
      <c r="AY64" s="1665"/>
      <c r="AZ64" s="1671"/>
      <c r="BA64" s="220"/>
      <c r="BB64" s="220"/>
      <c r="BC64" s="1161" t="s">
        <v>486</v>
      </c>
    </row>
    <row s="1689" customFormat="1" customHeight="1" ht="38.25">
      <c r="A65" s="220"/>
      <c r="B65" s="220"/>
      <c r="C65" s="220"/>
      <c r="D65" s="220"/>
      <c r="E65" s="797">
        <v>39.8</v>
      </c>
      <c r="F65" s="922" cm="1" t="str">
        <f t="array" ref="F65:F65">OFFSET(G65,-1,-1)</f>
        <v>1</v>
      </c>
      <c r="G65" s="220"/>
      <c r="H65" s="220"/>
      <c r="I65" s="220"/>
      <c r="J65" s="220"/>
      <c r="K65" s="220"/>
      <c r="L65" s="220"/>
      <c r="M65" s="220"/>
      <c r="N65" s="220"/>
      <c r="O65" s="220"/>
      <c r="P65" s="220"/>
      <c r="Q65" s="220"/>
      <c r="R65" s="220"/>
      <c r="S65" s="220"/>
      <c r="T65" s="220"/>
      <c r="U65" s="808" cm="1" t="str">
        <f t="array" ref="U65:U65">U64</f>
        <v>true</v>
      </c>
      <c r="V65" s="220"/>
      <c r="W65" s="220"/>
      <c r="X65" s="220"/>
      <c r="Y65" s="220"/>
      <c r="Z65" s="220"/>
      <c r="AA65" s="220"/>
      <c r="AB65" s="575" t="s">
        <v>487</v>
      </c>
      <c r="AC65" s="724" t="s">
        <v>488</v>
      </c>
      <c r="AD65" s="173" t="s">
        <v>489</v>
      </c>
      <c r="AE65" s="1665"/>
      <c r="AF65" s="1666"/>
      <c r="AG65" s="1665"/>
      <c r="AH65" s="1665"/>
      <c r="AI65" s="1665"/>
      <c r="AJ65" s="1665"/>
      <c r="AK65" s="1665"/>
      <c r="AL65" s="1665"/>
      <c r="AM65" s="1665"/>
      <c r="AN65" s="1665"/>
      <c r="AO65" s="1665"/>
      <c r="AP65" s="1665"/>
      <c r="AQ65" s="1665"/>
      <c r="AR65" s="1665"/>
      <c r="AS65" s="1665"/>
      <c r="AT65" s="1665"/>
      <c r="AU65" s="1665"/>
      <c r="AV65" s="1665"/>
      <c r="AW65" s="1665"/>
      <c r="AX65" s="1665"/>
      <c r="AY65" s="1665"/>
      <c r="AZ65" s="1671"/>
      <c r="BA65" s="220"/>
      <c r="BB65" s="220"/>
      <c r="BC65" s="1161" t="s">
        <v>490</v>
      </c>
    </row>
    <row s="1690" customFormat="1" customHeight="1" ht="48">
      <c r="A66" s="220"/>
      <c r="B66" s="220"/>
      <c r="C66" s="220"/>
      <c r="D66" s="220"/>
      <c r="E66" s="797">
        <v>49.5</v>
      </c>
      <c r="F66" s="922" cm="1" t="str">
        <f t="array" ref="F66:F66">OFFSET(G66,-1,-1)</f>
        <v>1</v>
      </c>
      <c r="G66" s="220"/>
      <c r="H66" s="213" t="s">
        <v>444</v>
      </c>
      <c r="I66" s="21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0"/>
      <c r="K66" s="220"/>
      <c r="L66" s="220"/>
      <c r="M66" s="220"/>
      <c r="N66" s="220"/>
      <c r="O66" s="220"/>
      <c r="P66" s="220"/>
      <c r="Q66" s="220"/>
      <c r="R66" s="220"/>
      <c r="S66" s="220"/>
      <c r="T66" s="220"/>
      <c r="U66" s="808" cm="1" t="str">
        <f t="array" ref="U66:U66">U65</f>
        <v>true</v>
      </c>
      <c r="V66" s="220"/>
      <c r="W66" s="220"/>
      <c r="X66" s="220"/>
      <c r="Y66" s="220"/>
      <c r="Z66" s="220"/>
      <c r="AA66" s="220"/>
      <c r="AB66" s="575" t="s">
        <v>491</v>
      </c>
      <c r="AC66" s="164" t="s">
        <v>492</v>
      </c>
      <c r="AD66" s="558" t="s">
        <v>451</v>
      </c>
      <c r="AE66" s="1691"/>
      <c r="AF66" s="1665"/>
      <c r="AG66" s="1665"/>
      <c r="AH66" s="1665"/>
      <c r="AI66" s="1665"/>
      <c r="AJ66" s="1665"/>
      <c r="AK66" s="1665"/>
      <c r="AL66" s="1665"/>
      <c r="AM66" s="1665"/>
      <c r="AN66" s="1665"/>
      <c r="AO66" s="1665"/>
      <c r="AP66" s="1665"/>
      <c r="AQ66" s="1665"/>
      <c r="AR66" s="1665"/>
      <c r="AS66" s="1665"/>
      <c r="AT66" s="1665"/>
      <c r="AU66" s="1665"/>
      <c r="AV66" s="1665"/>
      <c r="AW66" s="1665"/>
      <c r="AX66" s="1665"/>
      <c r="AY66" s="1665"/>
      <c r="AZ66" s="1671"/>
      <c r="BA66" s="220"/>
      <c r="BB66" s="220"/>
      <c r="BC66" s="1161" t="s">
        <v>493</v>
      </c>
    </row>
    <row s="220" customFormat="1" customHeight="1" ht="11.115">
      <c r="A67" s="175"/>
      <c r="B67" s="788"/>
      <c r="C67" s="175"/>
      <c r="D67" s="175"/>
      <c r="E67" s="797">
        <v>11.4</v>
      </c>
      <c r="F67" s="922"/>
      <c r="G67" s="213"/>
      <c r="H67" s="213"/>
      <c r="I67" s="213"/>
      <c r="J67" s="213"/>
      <c r="K67" s="213"/>
      <c r="L67" s="213"/>
      <c r="M67" s="213"/>
      <c r="N67" s="213"/>
      <c r="O67" s="213"/>
      <c r="P67" s="213"/>
      <c r="Q67" s="213"/>
      <c r="R67" s="213"/>
      <c r="S67" s="213"/>
      <c r="T67" s="213"/>
      <c r="U67" s="175"/>
      <c r="V67" s="175" t="s">
        <v>236</v>
      </c>
      <c r="W67" s="171" t="s">
        <v>494</v>
      </c>
      <c r="X67" s="175"/>
      <c r="Y67" s="175"/>
      <c r="Z67" s="175"/>
      <c r="AB67" s="194"/>
      <c r="AC67" s="194"/>
      <c r="AD67" s="194"/>
      <c r="AE67" s="200"/>
      <c r="AF67" s="194"/>
      <c r="AG67" s="194"/>
      <c r="AH67" s="194"/>
      <c r="AI67" s="194"/>
      <c r="AJ67" s="194"/>
      <c r="AK67" s="194"/>
      <c r="AL67" s="194"/>
      <c r="AM67" s="194"/>
      <c r="AN67" s="194"/>
      <c r="AO67" s="194"/>
      <c r="AP67" s="194"/>
      <c r="AQ67" s="194"/>
      <c r="AR67" s="194"/>
      <c r="AS67" s="194"/>
      <c r="AT67" s="194"/>
      <c r="AU67" s="194"/>
      <c r="AV67" s="194"/>
      <c r="AW67" s="194"/>
      <c r="AX67" s="194"/>
      <c r="AY67" s="194"/>
      <c r="AZ67" s="200"/>
      <c r="BA67" s="201"/>
      <c r="BC67" s="1161"/>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6B288-D027-4CE8-7F18-0E4379E67945}"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1582" width="3.57421875" hidden="1" customWidth="1"/>
    <col min="17" max="18" style="922" width="3.57421875" hidden="1" customWidth="1"/>
    <col min="19" max="19" style="1582" width="5.8515625" hidden="1" customWidth="1"/>
    <col min="20" max="20" style="1582" width="3.57421875" hidden="1" customWidth="1"/>
    <col min="21" max="21" style="1582" width="6.7109375" hidden="1" customWidth="1"/>
    <col min="22" max="22" style="1582" width="6.00390625" hidden="1" customWidth="1"/>
    <col min="23" max="23" style="1582" width="6.28125" hidden="1" customWidth="1"/>
    <col min="24" max="24" style="1582" width="6.421875" hidden="1" customWidth="1"/>
    <col min="25" max="25" style="1582" width="5.8515625" hidden="1" customWidth="1"/>
    <col min="26" max="26" style="1582" width="5.421875" hidden="1" customWidth="1"/>
    <col min="27" max="27" style="220" width="3.00390625" customWidth="1"/>
    <col min="28" max="28" style="937" width="6.1328125" customWidth="1"/>
    <col min="29" max="29" style="211" width="52.00390625" customWidth="1"/>
    <col min="30" max="30" style="220" width="13.6328125" customWidth="1"/>
    <col min="31" max="31" style="220" width="15.1328125" customWidth="1"/>
    <col min="32" max="40" style="220" width="15.1328125" hidden="1" customWidth="1"/>
    <col min="41" max="41" style="220" width="15.1328125" customWidth="1"/>
    <col min="42" max="50" style="220" width="15.1328125" hidden="1" customWidth="1"/>
    <col min="51" max="51" style="220" width="3.00390625" customWidth="1"/>
    <col min="52" max="52" style="220" width="9.140625" hidden="1"/>
    <col min="53" max="55" style="1215" width="9.140625" hidden="1"/>
    <col min="56" max="57" style="1165" width="9.140625" hidden="1"/>
  </cols>
  <sheetData>
    <row s="1582" customFormat="1" customHeight="1" ht="12" hidden="1">
      <c r="A1" s="1186"/>
      <c r="B1" s="788"/>
      <c r="E1" s="788"/>
      <c r="F1" s="819" t="s">
        <v>83</v>
      </c>
      <c r="Q1" s="922"/>
      <c r="R1" s="922"/>
      <c r="U1" s="808" t="s">
        <v>86</v>
      </c>
      <c r="V1" s="808" t="s">
        <v>91</v>
      </c>
      <c r="W1" s="808" t="s">
        <v>87</v>
      </c>
      <c r="X1" s="808" t="s">
        <v>88</v>
      </c>
      <c r="Y1" s="808" t="s">
        <v>89</v>
      </c>
      <c r="Z1" s="808" t="s">
        <v>93</v>
      </c>
      <c r="AA1" s="808" t="s">
        <v>90</v>
      </c>
      <c r="AB1" s="808" t="s">
        <v>372</v>
      </c>
      <c r="AC1" s="808" t="s">
        <v>92</v>
      </c>
      <c r="AF1" s="1582"/>
      <c r="AG1" s="1582"/>
      <c r="AH1" s="1582"/>
      <c r="AI1" s="1582"/>
      <c r="AJ1" s="1582"/>
      <c r="AK1" s="1582"/>
      <c r="AL1" s="1582"/>
      <c r="AM1" s="1582"/>
      <c r="AN1" s="1582"/>
      <c r="AO1" s="1582"/>
      <c r="AP1" s="1582"/>
      <c r="AQ1" s="1582"/>
      <c r="AR1" s="1582"/>
      <c r="AS1" s="1582"/>
      <c r="AT1" s="1582"/>
      <c r="AU1" s="1582"/>
      <c r="AV1" s="1582"/>
      <c r="AW1" s="1582"/>
      <c r="AX1" s="1582"/>
      <c r="BA1" s="1161" t="s">
        <v>373</v>
      </c>
      <c r="BB1" s="1161" t="s">
        <v>374</v>
      </c>
      <c r="BC1" s="1161" t="s">
        <v>375</v>
      </c>
      <c r="BD1" s="1165" t="s">
        <v>378</v>
      </c>
      <c r="BE1" s="1165" t="s">
        <v>379</v>
      </c>
    </row>
    <row s="927" customFormat="1" customHeight="1" ht="12" hidden="1">
      <c r="A2" s="1194"/>
      <c r="B2" s="910" t="s">
        <v>15</v>
      </c>
      <c r="AC2" s="792"/>
      <c r="AF2" s="809">
        <f>AF6&lt;=last_year_vis</f>
        <v>0</v>
      </c>
      <c r="AG2" s="809">
        <f>AG6&lt;=last_year_vis</f>
        <v>0</v>
      </c>
      <c r="AH2" s="809">
        <f>AH6&lt;=last_year_vis</f>
        <v>0</v>
      </c>
      <c r="AI2" s="809">
        <f>AI6&lt;=last_year_vis</f>
        <v>0</v>
      </c>
      <c r="AJ2" s="809">
        <f>AJ6&lt;=last_year_vis</f>
        <v>0</v>
      </c>
      <c r="AK2" s="809">
        <f>AK6&lt;=last_year_vis</f>
        <v>0</v>
      </c>
      <c r="AL2" s="809">
        <f>AL6&lt;=last_year_vis</f>
        <v>0</v>
      </c>
      <c r="AM2" s="809">
        <f>AM6&lt;=last_year_vis</f>
        <v>0</v>
      </c>
      <c r="AN2" s="809">
        <f>AN6&lt;=last_year_vis</f>
        <v>0</v>
      </c>
      <c r="AO2" s="809">
        <f>AO6&lt;=last_year_vis</f>
        <v>1</v>
      </c>
      <c r="AP2" s="809">
        <f>AP6&lt;=last_year_vis</f>
        <v>0</v>
      </c>
      <c r="AQ2" s="809">
        <f>AQ6&lt;=last_year_vis</f>
        <v>0</v>
      </c>
      <c r="AR2" s="809">
        <f>AR6&lt;=last_year_vis</f>
        <v>0</v>
      </c>
      <c r="AS2" s="809">
        <f>AS6&lt;=last_year_vis</f>
        <v>0</v>
      </c>
      <c r="AT2" s="809">
        <f>AT6&lt;=last_year_vis</f>
        <v>0</v>
      </c>
      <c r="AU2" s="809">
        <f>AU6&lt;=last_year_vis</f>
        <v>0</v>
      </c>
      <c r="AV2" s="809">
        <f>AV6&lt;=last_year_vis</f>
        <v>0</v>
      </c>
      <c r="AW2" s="809">
        <f>AW6&lt;=last_year_vis</f>
        <v>0</v>
      </c>
      <c r="AX2" s="809">
        <f>AX6&lt;=last_year_vis</f>
        <v>0</v>
      </c>
      <c r="BA2" s="1160"/>
      <c r="BB2" s="1160"/>
      <c r="BC2" s="1160"/>
      <c r="BD2" s="1166"/>
      <c r="BE2" s="1166"/>
    </row>
    <row s="1582" customFormat="1" customHeight="1" ht="12" hidden="1">
      <c r="A3" s="1186"/>
      <c r="B3" s="788"/>
      <c r="E3" s="788"/>
      <c r="Q3" s="922"/>
      <c r="R3" s="922"/>
      <c r="AB3" s="179"/>
      <c r="AC3" s="171"/>
      <c r="AF3" s="1582"/>
      <c r="AG3" s="1582"/>
      <c r="AH3" s="1582"/>
      <c r="AI3" s="1582"/>
      <c r="AJ3" s="1582"/>
      <c r="AK3" s="1582"/>
      <c r="AL3" s="1582"/>
      <c r="AM3" s="1582"/>
      <c r="AN3" s="1582"/>
      <c r="AO3" s="1582"/>
      <c r="AP3" s="1582"/>
      <c r="AQ3" s="1582"/>
      <c r="AR3" s="1582"/>
      <c r="AS3" s="1582"/>
      <c r="AT3" s="1582"/>
      <c r="AU3" s="1582"/>
      <c r="AV3" s="1582"/>
      <c r="AW3" s="1582"/>
      <c r="AX3" s="1582"/>
      <c r="BA3" s="1161"/>
      <c r="BB3" s="1161"/>
      <c r="BC3" s="1161"/>
      <c r="BD3" s="1165"/>
      <c r="BE3" s="1165"/>
    </row>
    <row s="1582" customFormat="1" customHeight="1" ht="12" hidden="1">
      <c r="A4" s="1186"/>
      <c r="B4" s="788"/>
      <c r="E4" s="788"/>
      <c r="Q4" s="922"/>
      <c r="R4" s="922"/>
      <c r="AB4" s="179"/>
      <c r="AC4" s="171"/>
      <c r="AF4" s="1582"/>
      <c r="AG4" s="1582"/>
      <c r="AH4" s="1582"/>
      <c r="AI4" s="1582"/>
      <c r="AJ4" s="1582"/>
      <c r="AK4" s="1582"/>
      <c r="AL4" s="1582"/>
      <c r="AM4" s="1582"/>
      <c r="AN4" s="1582"/>
      <c r="AO4" s="1582"/>
      <c r="AP4" s="1582"/>
      <c r="AQ4" s="1582"/>
      <c r="AR4" s="1582"/>
      <c r="AS4" s="1582"/>
      <c r="AT4" s="1582"/>
      <c r="AU4" s="1582"/>
      <c r="AV4" s="1582"/>
      <c r="AW4" s="1582"/>
      <c r="AX4" s="1582"/>
      <c r="BA4" s="1161"/>
      <c r="BB4" s="1161"/>
      <c r="BC4" s="1161"/>
      <c r="BD4" s="1165"/>
      <c r="BE4" s="1165"/>
    </row>
    <row s="925" customFormat="1" customHeight="1" ht="12" hidden="1">
      <c r="A5" s="1194"/>
      <c r="B5" s="788"/>
      <c r="C5" s="788"/>
      <c r="D5" s="788"/>
      <c r="E5" s="797" t="s">
        <v>16</v>
      </c>
      <c r="AA5" s="803">
        <v>3</v>
      </c>
      <c r="AB5" s="797">
        <v>6.13</v>
      </c>
      <c r="AC5" s="803">
        <v>52</v>
      </c>
      <c r="AD5" s="797">
        <v>13.63</v>
      </c>
      <c r="AE5" s="797">
        <v>15.13</v>
      </c>
      <c r="AF5" s="797">
        <v>15.13</v>
      </c>
      <c r="AG5" s="797">
        <v>15.13</v>
      </c>
      <c r="AH5" s="797">
        <v>15.13</v>
      </c>
      <c r="AI5" s="797">
        <v>15.13</v>
      </c>
      <c r="AJ5" s="797">
        <v>15.13</v>
      </c>
      <c r="AK5" s="797">
        <v>15.13</v>
      </c>
      <c r="AL5" s="797">
        <v>15.13</v>
      </c>
      <c r="AM5" s="797">
        <v>15.13</v>
      </c>
      <c r="AN5" s="797">
        <v>15.13</v>
      </c>
      <c r="AO5" s="797">
        <v>15.13</v>
      </c>
      <c r="AP5" s="797">
        <v>15.13</v>
      </c>
      <c r="AQ5" s="797">
        <v>15.13</v>
      </c>
      <c r="AR5" s="797">
        <v>15.13</v>
      </c>
      <c r="AS5" s="797">
        <v>15.13</v>
      </c>
      <c r="AT5" s="797">
        <v>15.13</v>
      </c>
      <c r="AU5" s="797">
        <v>15.13</v>
      </c>
      <c r="AV5" s="797">
        <v>15.13</v>
      </c>
      <c r="AW5" s="797">
        <v>15.13</v>
      </c>
      <c r="AX5" s="797">
        <v>15.13</v>
      </c>
      <c r="AY5" s="797">
        <v>3</v>
      </c>
      <c r="BA5" s="1160"/>
      <c r="BB5" s="1160"/>
      <c r="BC5" s="1160"/>
      <c r="BD5" s="1166"/>
      <c r="BE5" s="1166"/>
    </row>
    <row s="1582" customFormat="1" customHeight="1" ht="12" hidden="1">
      <c r="A6" s="1186"/>
      <c r="B6" s="788"/>
      <c r="E6" s="797"/>
      <c r="Q6" s="922"/>
      <c r="R6" s="922"/>
      <c r="AB6" s="179"/>
      <c r="AC6" s="171"/>
      <c r="AE6" s="175" cm="1" t="str">
        <f t="array" ref="AE6:AE6">god</f>
        <v>2026</v>
      </c>
      <c r="AF6" s="175">
        <f>god+1</f>
        <v>2027</v>
      </c>
      <c r="AG6" s="175">
        <f>god+2</f>
        <v>2028</v>
      </c>
      <c r="AH6" s="175">
        <f>god+3</f>
        <v>2029</v>
      </c>
      <c r="AI6" s="175">
        <f>god+4</f>
        <v>2030</v>
      </c>
      <c r="AJ6" s="175">
        <f>god+5</f>
        <v>2031</v>
      </c>
      <c r="AK6" s="175">
        <f>god+6</f>
        <v>2032</v>
      </c>
      <c r="AL6" s="175">
        <f>god+7</f>
        <v>2033</v>
      </c>
      <c r="AM6" s="175">
        <f>god+8</f>
        <v>2034</v>
      </c>
      <c r="AN6" s="175">
        <f>god+9</f>
        <v>2035</v>
      </c>
      <c r="AO6" s="175" cm="1" t="str">
        <f t="array" ref="AO6:AO6">god</f>
        <v>2026</v>
      </c>
      <c r="AP6" s="175">
        <f>god+1</f>
        <v>2027</v>
      </c>
      <c r="AQ6" s="175">
        <f>god+2</f>
        <v>2028</v>
      </c>
      <c r="AR6" s="175">
        <f>god+3</f>
        <v>2029</v>
      </c>
      <c r="AS6" s="175">
        <f>god+4</f>
        <v>2030</v>
      </c>
      <c r="AT6" s="175">
        <f>god+5</f>
        <v>2031</v>
      </c>
      <c r="AU6" s="175">
        <f>god+6</f>
        <v>2032</v>
      </c>
      <c r="AV6" s="175">
        <f>god+7</f>
        <v>2033</v>
      </c>
      <c r="AW6" s="175">
        <f>god+8</f>
        <v>2034</v>
      </c>
      <c r="AX6" s="175">
        <f>god+9</f>
        <v>2035</v>
      </c>
      <c r="BA6" s="1161"/>
      <c r="BB6" s="1161"/>
      <c r="BC6" s="1161"/>
      <c r="BD6" s="1165"/>
      <c r="BE6" s="1165"/>
    </row>
    <row s="500" customFormat="1" customHeight="1" ht="12" hidden="1">
      <c r="A7" s="1186"/>
      <c r="B7" s="788"/>
      <c r="C7" s="175"/>
      <c r="D7" s="175"/>
      <c r="E7" s="797"/>
      <c r="G7" s="175"/>
      <c r="H7" s="175"/>
      <c r="I7" s="175"/>
      <c r="J7" s="175"/>
      <c r="K7" s="175"/>
      <c r="L7" s="175"/>
      <c r="M7" s="175"/>
      <c r="N7" s="175"/>
      <c r="O7" s="175"/>
      <c r="P7" s="175"/>
      <c r="Q7" s="922"/>
      <c r="R7" s="922"/>
      <c r="S7" s="175"/>
      <c r="T7" s="175"/>
      <c r="AB7" s="214"/>
      <c r="AC7" s="215"/>
      <c r="AE7" s="213" cm="1" t="str">
        <f t="array" ref="AE7:AE7">AE25</f>
        <v>Предложение организации</v>
      </c>
      <c r="AF7" s="213" cm="1" t="str">
        <f t="array" ref="AF7:AF7">AF25</f>
        <v>Предложение организации</v>
      </c>
      <c r="AG7" s="213" cm="1" t="str">
        <f t="array" ref="AG7:AG7">AG25</f>
        <v>Предложение организации</v>
      </c>
      <c r="AH7" s="213" cm="1" t="str">
        <f t="array" ref="AH7:AH7">AH25</f>
        <v>Предложение организации</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Принято органом регулирования</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BA7" s="1161"/>
      <c r="BB7" s="1161"/>
      <c r="BC7" s="1161"/>
      <c r="BD7" s="1165"/>
      <c r="BE7" s="1165"/>
    </row>
    <row s="500" customFormat="1" customHeight="1" ht="12" hidden="1">
      <c r="A8" s="1186"/>
      <c r="B8" s="788"/>
      <c r="C8" s="175"/>
      <c r="D8" s="175"/>
      <c r="E8" s="797"/>
      <c r="G8" s="175"/>
      <c r="H8" s="175"/>
      <c r="I8" s="175"/>
      <c r="J8" s="175"/>
      <c r="K8" s="175"/>
      <c r="L8" s="175"/>
      <c r="M8" s="175"/>
      <c r="N8" s="175"/>
      <c r="O8" s="175"/>
      <c r="P8" s="175"/>
      <c r="Q8" s="922"/>
      <c r="R8" s="922"/>
      <c r="S8" s="175"/>
      <c r="T8" s="175"/>
      <c r="AB8" s="214"/>
      <c r="AC8" s="215"/>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c r="BA8" s="1161"/>
      <c r="BB8" s="1161"/>
      <c r="BC8" s="1161"/>
      <c r="BD8" s="1165"/>
      <c r="BE8" s="1165"/>
    </row>
    <row s="1217" customFormat="1" customHeight="1" ht="12" hidden="1">
      <c r="A9" s="1161" t="s">
        <v>437</v>
      </c>
      <c r="B9" s="1154"/>
      <c r="E9" s="1154"/>
      <c r="Q9" s="1163"/>
      <c r="R9" s="1163"/>
      <c r="AB9" s="1152"/>
      <c r="AE9" s="1162" cm="1" t="str">
        <f t="array" ref="AE9:AE9">god</f>
        <v>2026</v>
      </c>
      <c r="AF9" s="1162">
        <f>god+1</f>
        <v>2027</v>
      </c>
      <c r="AG9" s="1162">
        <f>god+2</f>
        <v>2028</v>
      </c>
      <c r="AH9" s="1162">
        <f>god+3</f>
        <v>2029</v>
      </c>
      <c r="AI9" s="1162">
        <f>god+4</f>
        <v>2030</v>
      </c>
      <c r="AJ9" s="1162">
        <f>god+5</f>
        <v>2031</v>
      </c>
      <c r="AK9" s="1162">
        <f>god+6</f>
        <v>2032</v>
      </c>
      <c r="AL9" s="1162">
        <f>god+7</f>
        <v>2033</v>
      </c>
      <c r="AM9" s="1162">
        <f>god+8</f>
        <v>2034</v>
      </c>
      <c r="AN9" s="1162">
        <f>god+9</f>
        <v>2035</v>
      </c>
      <c r="AO9" s="1162" cm="1" t="str">
        <f t="array" ref="AO9:AO9">god</f>
        <v>2026</v>
      </c>
      <c r="AP9" s="1162">
        <f>god+1</f>
        <v>2027</v>
      </c>
      <c r="AQ9" s="1162">
        <f>god+2</f>
        <v>2028</v>
      </c>
      <c r="AR9" s="1162">
        <f>god+3</f>
        <v>2029</v>
      </c>
      <c r="AS9" s="1162">
        <f>god+4</f>
        <v>2030</v>
      </c>
      <c r="AT9" s="1162">
        <f>god+5</f>
        <v>2031</v>
      </c>
      <c r="AU9" s="1162">
        <f>god+6</f>
        <v>2032</v>
      </c>
      <c r="AV9" s="1162">
        <f>god+7</f>
        <v>2033</v>
      </c>
      <c r="AW9" s="1162">
        <f>god+8</f>
        <v>2034</v>
      </c>
      <c r="AX9" s="1162">
        <f>god+9</f>
        <v>2035</v>
      </c>
      <c r="BA9" s="1161"/>
      <c r="BB9" s="1161"/>
      <c r="BC9" s="1161"/>
      <c r="BD9" s="1161"/>
      <c r="BE9" s="1161"/>
    </row>
    <row s="1217" customFormat="1" customHeight="1" ht="12" hidden="1">
      <c r="A10" s="1161" t="s">
        <v>438</v>
      </c>
      <c r="B10" s="1154"/>
      <c r="E10" s="1154"/>
      <c r="Q10" s="1163"/>
      <c r="R10" s="1163"/>
      <c r="AB10" s="1152"/>
      <c r="AE10" s="1162" cm="1" t="str">
        <f t="array" ref="AE10:AE10">AE25</f>
        <v>Предложение организации</v>
      </c>
      <c r="AF10" s="1162" cm="1" t="str">
        <f t="array" ref="AF10:AF10">AF25</f>
        <v>Предложение организации</v>
      </c>
      <c r="AG10" s="1162" cm="1" t="str">
        <f t="array" ref="AG10:AG10">AG25</f>
        <v>Предложение организации</v>
      </c>
      <c r="AH10" s="1162" cm="1" t="str">
        <f t="array" ref="AH10:AH10">AH25</f>
        <v>Предложение организации</v>
      </c>
      <c r="AI10" s="1162" cm="1" t="str">
        <f t="array" ref="AI10:AI10">AI25</f>
        <v>Предложение организации</v>
      </c>
      <c r="AJ10" s="1162" cm="1" t="str">
        <f t="array" ref="AJ10:AJ10">AJ25</f>
        <v>Предложение организации</v>
      </c>
      <c r="AK10" s="1162" cm="1" t="str">
        <f t="array" ref="AK10:AK10">AK25</f>
        <v>Предложение организации</v>
      </c>
      <c r="AL10" s="1162" cm="1" t="str">
        <f t="array" ref="AL10:AL10">AL25</f>
        <v>Предложение организации</v>
      </c>
      <c r="AM10" s="1162" cm="1" t="str">
        <f t="array" ref="AM10:AM10">AM25</f>
        <v>Предложение организации</v>
      </c>
      <c r="AN10" s="1162" cm="1" t="str">
        <f t="array" ref="AN10:AN10">AN25</f>
        <v>Предложение организации</v>
      </c>
      <c r="AO10" s="1162" cm="1" t="str">
        <f t="array" ref="AO10:AO10">AO25</f>
        <v>Принято органом регулирования</v>
      </c>
      <c r="AP10" s="1162" cm="1" t="str">
        <f t="array" ref="AP10:AP10">AP25</f>
        <v>Принято органом регулирования</v>
      </c>
      <c r="AQ10" s="1162" cm="1" t="str">
        <f t="array" ref="AQ10:AQ10">AQ25</f>
        <v>Принято органом регулирования</v>
      </c>
      <c r="AR10" s="1162" cm="1" t="str">
        <f t="array" ref="AR10:AR10">AR25</f>
        <v>Принято органом регулирования</v>
      </c>
      <c r="AS10" s="1162" cm="1" t="str">
        <f t="array" ref="AS10:AS10">AS25</f>
        <v>Принято органом регулирования</v>
      </c>
      <c r="AT10" s="1162" cm="1" t="str">
        <f t="array" ref="AT10:AT10">AT25</f>
        <v>Принято органом регулирования</v>
      </c>
      <c r="AU10" s="1162" cm="1" t="str">
        <f t="array" ref="AU10:AU10">AU25</f>
        <v>Принято органом регулирования</v>
      </c>
      <c r="AV10" s="1162" cm="1" t="str">
        <f t="array" ref="AV10:AV10">AV25</f>
        <v>Принято органом регулирования</v>
      </c>
      <c r="AW10" s="1162" cm="1" t="str">
        <f t="array" ref="AW10:AW10">AW25</f>
        <v>Принято органом регулирования</v>
      </c>
      <c r="AX10" s="1162" cm="1" t="str">
        <f t="array" ref="AX10:AX10">AX25</f>
        <v>Принято органом регулирования</v>
      </c>
      <c r="BA10" s="1161"/>
      <c r="BB10" s="1161"/>
      <c r="BC10" s="1161"/>
      <c r="BD10" s="1161"/>
      <c r="BE10" s="1161"/>
    </row>
    <row s="1217" customFormat="1" customHeight="1" ht="12" hidden="1">
      <c r="A11" s="1161" t="s">
        <v>384</v>
      </c>
      <c r="B11" s="1154"/>
      <c r="E11" s="1154"/>
      <c r="Q11" s="1163"/>
      <c r="R11" s="1163"/>
      <c r="AB11" s="1152"/>
      <c r="AC11" s="1164" t="s">
        <v>375</v>
      </c>
      <c r="AF11" s="1217"/>
      <c r="AG11" s="1217"/>
      <c r="AH11" s="1217"/>
      <c r="AI11" s="1217"/>
      <c r="AJ11" s="1217"/>
      <c r="AK11" s="1217"/>
      <c r="AL11" s="1217"/>
      <c r="AM11" s="1217"/>
      <c r="AN11" s="1217"/>
      <c r="AO11" s="1217"/>
      <c r="AP11" s="1217"/>
      <c r="AQ11" s="1217"/>
      <c r="AR11" s="1217"/>
      <c r="AS11" s="1217"/>
      <c r="AT11" s="1217"/>
      <c r="AU11" s="1217"/>
      <c r="AV11" s="1217"/>
      <c r="AW11" s="1217"/>
      <c r="AX11" s="1217"/>
      <c r="BA11" s="1161"/>
      <c r="BB11" s="1161"/>
      <c r="BC11" s="1161"/>
      <c r="BD11" s="1161"/>
      <c r="BE11" s="1161"/>
    </row>
    <row s="1582" customFormat="1" customHeight="1" ht="12" hidden="1">
      <c r="A12" s="1186"/>
      <c r="B12" s="788"/>
      <c r="E12" s="797"/>
      <c r="Q12" s="922"/>
      <c r="R12" s="922"/>
      <c r="AB12" s="179"/>
      <c r="AC12" s="171"/>
      <c r="AF12" s="1582"/>
      <c r="AG12" s="1582"/>
      <c r="AH12" s="1582"/>
      <c r="AI12" s="1582"/>
      <c r="AJ12" s="1582"/>
      <c r="AK12" s="1582"/>
      <c r="AL12" s="1582"/>
      <c r="AM12" s="1582"/>
      <c r="AN12" s="1582"/>
      <c r="AO12" s="1582"/>
      <c r="AP12" s="1582"/>
      <c r="AQ12" s="1582"/>
      <c r="AR12" s="1582"/>
      <c r="AS12" s="1582"/>
      <c r="AT12" s="1582"/>
      <c r="AU12" s="1582"/>
      <c r="AV12" s="1582"/>
      <c r="AW12" s="1582"/>
      <c r="AX12" s="1582"/>
      <c r="BA12" s="1161"/>
      <c r="BB12" s="1161"/>
      <c r="BC12" s="1161"/>
      <c r="BD12" s="1165"/>
      <c r="BE12" s="1165"/>
    </row>
    <row s="1582" customFormat="1" customHeight="1" ht="12" hidden="1">
      <c r="A13" s="1186"/>
      <c r="B13" s="788"/>
      <c r="E13" s="797"/>
      <c r="Q13" s="922"/>
      <c r="R13" s="922"/>
      <c r="AB13" s="179"/>
      <c r="AC13" s="171"/>
      <c r="AF13" s="1582"/>
      <c r="AG13" s="1582"/>
      <c r="AH13" s="1582"/>
      <c r="AI13" s="1582"/>
      <c r="AJ13" s="1582"/>
      <c r="AK13" s="1582"/>
      <c r="AL13" s="1582"/>
      <c r="AM13" s="1582"/>
      <c r="AN13" s="1582"/>
      <c r="AO13" s="1582"/>
      <c r="AP13" s="1582"/>
      <c r="AQ13" s="1582"/>
      <c r="AR13" s="1582"/>
      <c r="AS13" s="1582"/>
      <c r="AT13" s="1582"/>
      <c r="AU13" s="1582"/>
      <c r="AV13" s="1582"/>
      <c r="AW13" s="1582"/>
      <c r="AX13" s="1582"/>
      <c r="BA13" s="1161"/>
      <c r="BB13" s="1161"/>
      <c r="BC13" s="1161"/>
      <c r="BD13" s="1165"/>
      <c r="BE13" s="1165"/>
    </row>
    <row s="1582" customFormat="1" customHeight="1" ht="12" hidden="1">
      <c r="A14" s="1186"/>
      <c r="B14" s="788"/>
      <c r="E14" s="797"/>
      <c r="Q14" s="922"/>
      <c r="R14" s="922"/>
      <c r="AB14" s="179"/>
      <c r="AC14" s="171"/>
      <c r="AF14" s="1582"/>
      <c r="AG14" s="1582"/>
      <c r="AH14" s="1582"/>
      <c r="AI14" s="1582"/>
      <c r="AJ14" s="1582"/>
      <c r="AK14" s="1582"/>
      <c r="AL14" s="1582"/>
      <c r="AM14" s="1582"/>
      <c r="AN14" s="1582"/>
      <c r="AO14" s="1582"/>
      <c r="AP14" s="1582"/>
      <c r="AQ14" s="1582"/>
      <c r="AR14" s="1582"/>
      <c r="AS14" s="1582"/>
      <c r="AT14" s="1582"/>
      <c r="AU14" s="1582"/>
      <c r="AV14" s="1582"/>
      <c r="AW14" s="1582"/>
      <c r="AX14" s="1582"/>
      <c r="BA14" s="1161"/>
      <c r="BB14" s="1161"/>
      <c r="BC14" s="1161"/>
      <c r="BD14" s="1165"/>
      <c r="BE14" s="1165"/>
    </row>
    <row s="1582" customFormat="1" customHeight="1" ht="12" hidden="1">
      <c r="A15" s="1186"/>
      <c r="B15" s="788"/>
      <c r="E15" s="797"/>
      <c r="Q15" s="922"/>
      <c r="R15" s="922"/>
      <c r="AB15" s="179"/>
      <c r="AC15" s="171"/>
      <c r="AF15" s="1582"/>
      <c r="AG15" s="1582"/>
      <c r="AH15" s="1582"/>
      <c r="AI15" s="1582"/>
      <c r="AJ15" s="1582"/>
      <c r="AK15" s="1582"/>
      <c r="AL15" s="1582"/>
      <c r="AM15" s="1582"/>
      <c r="AN15" s="1582"/>
      <c r="AO15" s="1582"/>
      <c r="AP15" s="1582"/>
      <c r="AQ15" s="1582"/>
      <c r="AR15" s="1582"/>
      <c r="AS15" s="1582"/>
      <c r="AT15" s="1582"/>
      <c r="AU15" s="1582"/>
      <c r="AV15" s="1582"/>
      <c r="AW15" s="1582"/>
      <c r="AX15" s="1582"/>
      <c r="BA15" s="1161"/>
      <c r="BB15" s="1161"/>
      <c r="BC15" s="1161"/>
      <c r="BD15" s="1165"/>
      <c r="BE15" s="1165"/>
    </row>
    <row s="1582" customFormat="1" customHeight="1" ht="12" hidden="1">
      <c r="A16" s="1186"/>
      <c r="B16" s="788"/>
      <c r="E16" s="797"/>
      <c r="Q16" s="922"/>
      <c r="R16" s="922"/>
      <c r="AB16" s="179"/>
      <c r="AC16" s="171"/>
      <c r="AF16" s="1582"/>
      <c r="AG16" s="1582"/>
      <c r="AH16" s="1582"/>
      <c r="AI16" s="1582"/>
      <c r="AJ16" s="1582"/>
      <c r="AK16" s="1582"/>
      <c r="AL16" s="1582"/>
      <c r="AM16" s="1582"/>
      <c r="AN16" s="1582"/>
      <c r="AO16" s="1582"/>
      <c r="AP16" s="1582"/>
      <c r="AQ16" s="1582"/>
      <c r="AR16" s="1582"/>
      <c r="AS16" s="1582"/>
      <c r="AT16" s="1582"/>
      <c r="AU16" s="1582"/>
      <c r="AV16" s="1582"/>
      <c r="AW16" s="1582"/>
      <c r="AX16" s="1582"/>
      <c r="BA16" s="1161"/>
      <c r="BB16" s="1161"/>
      <c r="BC16" s="1161"/>
      <c r="BD16" s="1165"/>
      <c r="BE16" s="1165"/>
    </row>
    <row s="1582" customFormat="1" customHeight="1" ht="12" hidden="1">
      <c r="A17" s="1186"/>
      <c r="B17" s="788"/>
      <c r="E17" s="797"/>
      <c r="Q17" s="922"/>
      <c r="R17" s="922"/>
      <c r="AB17" s="179"/>
      <c r="AC17" s="171"/>
      <c r="AF17" s="1582"/>
      <c r="AG17" s="1582"/>
      <c r="AH17" s="1582"/>
      <c r="AI17" s="1582"/>
      <c r="AJ17" s="1582"/>
      <c r="AK17" s="1582"/>
      <c r="AL17" s="1582"/>
      <c r="AM17" s="1582"/>
      <c r="AN17" s="1582"/>
      <c r="AO17" s="1582"/>
      <c r="AP17" s="1582"/>
      <c r="AQ17" s="1582"/>
      <c r="AR17" s="1582"/>
      <c r="AS17" s="1582"/>
      <c r="AT17" s="1582"/>
      <c r="AU17" s="1582"/>
      <c r="AV17" s="1582"/>
      <c r="AW17" s="1582"/>
      <c r="AX17" s="1582"/>
      <c r="BA17" s="1161"/>
      <c r="BB17" s="1161"/>
      <c r="BC17" s="1161"/>
      <c r="BD17" s="1165"/>
      <c r="BE17" s="1165"/>
    </row>
    <row s="1582" customFormat="1" customHeight="1" ht="12" hidden="1">
      <c r="A18" s="1125" t="s">
        <v>495</v>
      </c>
      <c r="B18" s="788"/>
      <c r="E18" s="797"/>
      <c r="Q18" s="922"/>
      <c r="R18" s="922"/>
      <c r="AB18" s="179"/>
      <c r="AC18" s="171" t="s">
        <v>496</v>
      </c>
      <c r="AF18" s="1582"/>
      <c r="AG18" s="1582"/>
      <c r="AH18" s="1582"/>
      <c r="AI18" s="1582"/>
      <c r="AJ18" s="1582"/>
      <c r="AK18" s="1582"/>
      <c r="AL18" s="1582"/>
      <c r="AM18" s="1582"/>
      <c r="AN18" s="1582"/>
      <c r="AO18" s="1582"/>
      <c r="AP18" s="1582"/>
      <c r="AQ18" s="1582"/>
      <c r="AR18" s="1582"/>
      <c r="AS18" s="1582"/>
      <c r="AT18" s="1582"/>
      <c r="AU18" s="1582"/>
      <c r="AV18" s="1582"/>
      <c r="AW18" s="1582"/>
      <c r="AX18" s="1582"/>
      <c r="BA18" s="1161"/>
      <c r="BB18" s="1161"/>
      <c r="BC18" s="1161"/>
      <c r="BD18" s="1165"/>
      <c r="BE18" s="1165"/>
    </row>
    <row s="1582" customFormat="1" customHeight="1" ht="12" hidden="1">
      <c r="A19" s="1186"/>
      <c r="B19" s="788"/>
      <c r="E19" s="797"/>
      <c r="Q19" s="922"/>
      <c r="R19" s="922"/>
      <c r="AB19" s="179"/>
      <c r="AC19" s="171"/>
      <c r="AF19" s="1582"/>
      <c r="AG19" s="1582"/>
      <c r="AH19" s="1582"/>
      <c r="AI19" s="1582"/>
      <c r="AJ19" s="1582"/>
      <c r="AK19" s="1582"/>
      <c r="AL19" s="1582"/>
      <c r="AM19" s="1582"/>
      <c r="AN19" s="1582"/>
      <c r="AO19" s="1582"/>
      <c r="AP19" s="1582"/>
      <c r="AQ19" s="1582"/>
      <c r="AR19" s="1582"/>
      <c r="AS19" s="1582"/>
      <c r="AT19" s="1582"/>
      <c r="AU19" s="1582"/>
      <c r="AV19" s="1582"/>
      <c r="AW19" s="1582"/>
      <c r="AX19" s="1582"/>
      <c r="BA19" s="1161"/>
      <c r="BB19" s="1161"/>
      <c r="BC19" s="1161"/>
      <c r="BD19" s="1165"/>
      <c r="BE19" s="1165"/>
    </row>
    <row s="1582" customFormat="1" customHeight="1" ht="12" hidden="1">
      <c r="A20" s="1186"/>
      <c r="B20" s="788"/>
      <c r="E20" s="797"/>
      <c r="Q20" s="922"/>
      <c r="R20" s="922"/>
      <c r="AB20" s="179"/>
      <c r="AC20" s="171"/>
      <c r="AF20" s="1582"/>
      <c r="AG20" s="1582"/>
      <c r="AH20" s="1582"/>
      <c r="AI20" s="1582"/>
      <c r="AJ20" s="1582"/>
      <c r="AK20" s="1582"/>
      <c r="AL20" s="1582"/>
      <c r="AM20" s="1582"/>
      <c r="AN20" s="1582"/>
      <c r="AO20" s="1582"/>
      <c r="AP20" s="1582"/>
      <c r="AQ20" s="1582"/>
      <c r="AR20" s="1582"/>
      <c r="AS20" s="1582"/>
      <c r="AT20" s="1582"/>
      <c r="AU20" s="1582"/>
      <c r="AV20" s="1582"/>
      <c r="AW20" s="1582"/>
      <c r="AX20" s="1582"/>
      <c r="BA20" s="1161"/>
      <c r="BB20" s="1161"/>
      <c r="BC20" s="1161"/>
      <c r="BD20" s="1165"/>
      <c r="BE20" s="1165"/>
    </row>
    <row customHeight="1" ht="14.625">
      <c r="E21" s="797">
        <v>15</v>
      </c>
      <c r="AA21" s="820"/>
      <c r="AC21" s="403" cm="1" t="str">
        <f t="array" ref="AC21:AC21">tpl_title</f>
        <v>Кемеровская область / 2026 / ООО "ВЕЛЕС" (ИНН:4212036655, КПП:421201001) / ДПР: 2016-2025</v>
      </c>
      <c r="AD21" s="943"/>
      <c r="AF21" s="220"/>
      <c r="AG21" s="220"/>
      <c r="AH21" s="220"/>
      <c r="AI21" s="220"/>
      <c r="AJ21" s="220"/>
      <c r="AK21" s="220"/>
      <c r="AL21" s="220"/>
      <c r="AM21" s="220"/>
      <c r="AN21" s="220"/>
      <c r="AO21" s="220"/>
      <c r="AP21" s="220"/>
      <c r="AQ21" s="220"/>
      <c r="AR21" s="220"/>
      <c r="AS21" s="220"/>
      <c r="AT21" s="220"/>
      <c r="AU21" s="220"/>
      <c r="AV21" s="220"/>
      <c r="AW21" s="220"/>
      <c r="AX21" s="220"/>
    </row>
    <row customHeight="1" ht="21.9375">
      <c r="E22" s="797">
        <v>22.5</v>
      </c>
      <c r="AB22" s="390" t="s">
        <v>29</v>
      </c>
      <c r="AC22" s="268"/>
      <c r="AD22" s="268"/>
      <c r="AE22" s="269"/>
      <c r="AF22" s="269"/>
      <c r="AG22" s="269"/>
      <c r="AH22" s="269"/>
      <c r="AI22" s="269"/>
      <c r="AJ22" s="269"/>
      <c r="AK22" s="269"/>
      <c r="AL22" s="269"/>
      <c r="AM22" s="269"/>
      <c r="AN22" s="269"/>
      <c r="AO22" s="269"/>
      <c r="AP22" s="269"/>
      <c r="AQ22" s="269"/>
      <c r="AR22" s="269"/>
      <c r="AS22" s="269"/>
      <c r="AT22" s="269"/>
      <c r="AU22" s="269"/>
      <c r="AV22" s="269"/>
      <c r="AW22" s="269"/>
      <c r="AX22" s="269"/>
    </row>
    <row s="221" customFormat="1" customHeight="1" ht="11.115">
      <c r="A23" s="1186"/>
      <c r="B23" s="788"/>
      <c r="C23" s="175"/>
      <c r="D23" s="175"/>
      <c r="E23" s="797">
        <v>11.4</v>
      </c>
      <c r="F23" s="175"/>
      <c r="G23" s="175"/>
      <c r="H23" s="175"/>
      <c r="I23" s="175"/>
      <c r="J23" s="175"/>
      <c r="K23" s="175"/>
      <c r="L23" s="175"/>
      <c r="M23" s="175"/>
      <c r="N23" s="175"/>
      <c r="O23" s="175"/>
      <c r="P23" s="175"/>
      <c r="Q23" s="922"/>
      <c r="R23" s="922"/>
      <c r="S23" s="175"/>
      <c r="T23" s="175"/>
      <c r="U23" s="175"/>
      <c r="V23" s="175"/>
      <c r="W23" s="175"/>
      <c r="X23" s="175"/>
      <c r="Y23" s="175"/>
      <c r="Z23" s="175"/>
      <c r="AA23" s="919"/>
      <c r="AB23" s="202"/>
      <c r="AC23" s="203"/>
      <c r="AD23" s="204"/>
      <c r="AF23" s="221"/>
      <c r="AG23" s="221"/>
      <c r="AH23" s="221"/>
      <c r="AI23" s="221"/>
      <c r="AJ23" s="221"/>
      <c r="AK23" s="221"/>
      <c r="AL23" s="221"/>
      <c r="AM23" s="221"/>
      <c r="AN23" s="221"/>
      <c r="AO23" s="221"/>
      <c r="AP23" s="221"/>
      <c r="AQ23" s="221"/>
      <c r="AR23" s="221"/>
      <c r="AS23" s="221"/>
      <c r="AT23" s="221"/>
      <c r="AU23" s="221"/>
      <c r="AV23" s="221"/>
      <c r="AW23" s="221"/>
      <c r="AX23" s="221"/>
      <c r="BA23" s="1161"/>
      <c r="BB23" s="1161"/>
      <c r="BC23" s="1161"/>
      <c r="BD23" s="1165"/>
      <c r="BE23" s="1165"/>
    </row>
    <row customHeight="1" ht="14.625">
      <c r="E24" s="797">
        <v>15</v>
      </c>
      <c r="AB24" s="1468" t="s">
        <v>386</v>
      </c>
      <c r="AC24" s="1468" t="s">
        <v>496</v>
      </c>
      <c r="AD24" s="1470" t="s">
        <v>441</v>
      </c>
      <c r="AE24" s="1358" t="str">
        <f>god&amp;" год"</f>
        <v>2026 год</v>
      </c>
      <c r="AF24" s="1359" t="str">
        <f>god+1&amp;" год"</f>
        <v>2027 год</v>
      </c>
      <c r="AG24" s="1358" t="str">
        <f>god+2&amp;" год"</f>
        <v>2028 год</v>
      </c>
      <c r="AH24" s="1358" t="str">
        <f>god+3&amp;" год"</f>
        <v>2029 год</v>
      </c>
      <c r="AI24" s="1358" t="str">
        <f>god+4&amp;" год"</f>
        <v>2030 год</v>
      </c>
      <c r="AJ24" s="1358" t="str">
        <f>god+5&amp;" год"</f>
        <v>2031 год</v>
      </c>
      <c r="AK24" s="1358" t="str">
        <f>god+6&amp;" год"</f>
        <v>2032 год</v>
      </c>
      <c r="AL24" s="1358" t="str">
        <f>god+7&amp;" год"</f>
        <v>2033 год</v>
      </c>
      <c r="AM24" s="1358" t="str">
        <f>god+8&amp;" год"</f>
        <v>2034 год</v>
      </c>
      <c r="AN24" s="1358"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row>
    <row customHeight="1" ht="67.275">
      <c r="E25" s="797">
        <v>69</v>
      </c>
      <c r="AB25" s="1469"/>
      <c r="AC25" s="1468"/>
      <c r="AD25" s="1470"/>
      <c r="AE25" s="1358" t="s">
        <v>403</v>
      </c>
      <c r="AF25" s="1359" t="s">
        <v>403</v>
      </c>
      <c r="AG25" s="1358" t="s">
        <v>403</v>
      </c>
      <c r="AH25" s="1358" t="s">
        <v>403</v>
      </c>
      <c r="AI25" s="1358" t="s">
        <v>403</v>
      </c>
      <c r="AJ25" s="1358" t="s">
        <v>403</v>
      </c>
      <c r="AK25" s="1358" t="s">
        <v>403</v>
      </c>
      <c r="AL25" s="1358" t="s">
        <v>403</v>
      </c>
      <c r="AM25" s="1358" t="s">
        <v>403</v>
      </c>
      <c r="AN25" s="1358" t="s">
        <v>403</v>
      </c>
      <c r="AO25" s="169" t="s">
        <v>402</v>
      </c>
      <c r="AP25" s="169" t="s">
        <v>402</v>
      </c>
      <c r="AQ25" s="169" t="s">
        <v>402</v>
      </c>
      <c r="AR25" s="169" t="s">
        <v>402</v>
      </c>
      <c r="AS25" s="169" t="s">
        <v>402</v>
      </c>
      <c r="AT25" s="169" t="s">
        <v>402</v>
      </c>
      <c r="AU25" s="169" t="s">
        <v>402</v>
      </c>
      <c r="AV25" s="169" t="s">
        <v>402</v>
      </c>
      <c r="AW25" s="169" t="s">
        <v>402</v>
      </c>
      <c r="AX25" s="169" t="s">
        <v>402</v>
      </c>
    </row>
    <row customHeight="1" ht="23.400000000000002">
      <c r="E26" s="797">
        <v>24</v>
      </c>
      <c r="AB26" s="157"/>
      <c r="AC26" s="834" t="s">
        <v>497</v>
      </c>
      <c r="AD26" s="209" t="s">
        <v>498</v>
      </c>
      <c r="AE26" s="1126"/>
      <c r="AF26" s="1698"/>
      <c r="AG26" s="1698"/>
      <c r="AH26" s="1698"/>
      <c r="AI26" s="1698"/>
      <c r="AJ26" s="1698"/>
      <c r="AK26" s="1698"/>
      <c r="AL26" s="1698"/>
      <c r="AM26" s="1698"/>
      <c r="AN26" s="1698"/>
      <c r="AO26" s="1126"/>
      <c r="AP26" s="1698"/>
      <c r="AQ26" s="1698"/>
      <c r="AR26" s="1698"/>
      <c r="AS26" s="1698"/>
      <c r="AT26" s="1698"/>
      <c r="AU26" s="1698"/>
      <c r="AV26" s="1698"/>
      <c r="AW26" s="1698"/>
      <c r="AX26" s="1698"/>
    </row>
    <row customHeight="1" ht="23.25" hidden="1">
      <c r="E27" s="797">
        <v>0</v>
      </c>
      <c r="AB27" s="374"/>
      <c r="AC27" s="374"/>
      <c r="AD27" s="374"/>
      <c r="AE27" s="171"/>
      <c r="AF27" s="171"/>
      <c r="AG27" s="171"/>
      <c r="AH27" s="171"/>
      <c r="AI27" s="171"/>
      <c r="AJ27" s="171"/>
      <c r="AK27" s="171"/>
      <c r="AL27" s="171"/>
      <c r="AM27" s="171"/>
      <c r="AN27" s="171"/>
      <c r="AO27" s="171"/>
      <c r="AP27" s="171"/>
      <c r="AQ27" s="171"/>
      <c r="AR27" s="171"/>
      <c r="AS27" s="171"/>
      <c r="AT27" s="171"/>
      <c r="AU27" s="171"/>
      <c r="AV27" s="171"/>
      <c r="AW27" s="171"/>
      <c r="AX27" s="171"/>
    </row>
    <row s="215" customFormat="1" customHeight="1" ht="11.115" hidden="1">
      <c r="E28" s="803">
        <v>11.4</v>
      </c>
      <c r="F28" s="922" cm="1" t="str">
        <f t="array" ref="F28:F28">Y28</f>
        <v>0</v>
      </c>
      <c r="U28" s="923">
        <f>F28&gt;0</f>
        <v>0</v>
      </c>
      <c r="W28" s="171" t="s">
        <v>310</v>
      </c>
      <c r="Y28" s="171">
        <v>0</v>
      </c>
      <c r="AB28" s="263" cm="1" t="str">
        <f t="array" ref="AB28:AB28">INDEX('Общие сведения'!$AG$169:$AG$202,MATCH($F28,'Общие сведения'!$Z$169:$Z$202,0))</f>
        <v>Тариф 0 (Теплоснабжение) - </v>
      </c>
      <c r="AC28" s="260"/>
      <c r="AD28" s="254"/>
      <c r="AE28" s="254"/>
      <c r="AF28" s="254"/>
      <c r="AG28" s="254"/>
      <c r="AH28" s="254"/>
      <c r="AI28" s="254"/>
      <c r="AJ28" s="254"/>
      <c r="AK28" s="254"/>
      <c r="AL28" s="254"/>
      <c r="AM28" s="254"/>
      <c r="AN28" s="254"/>
      <c r="AO28" s="254"/>
      <c r="AP28" s="254"/>
      <c r="AQ28" s="254"/>
      <c r="AR28" s="254"/>
      <c r="AS28" s="254"/>
      <c r="AT28" s="254"/>
      <c r="AU28" s="254"/>
      <c r="AV28" s="254"/>
      <c r="AW28" s="254"/>
      <c r="AX28" s="254"/>
      <c r="BA28" s="1161"/>
      <c r="BB28" s="1167"/>
      <c r="BC28" s="1167"/>
      <c r="BD28" s="1168"/>
      <c r="BE28" s="1168"/>
    </row>
    <row customHeight="1" ht="11.115" hidden="1">
      <c r="E29" s="797">
        <v>11.4</v>
      </c>
      <c r="F29" s="922" cm="1" t="str">
        <f t="array" ref="F29:F29">OFFSET(G29,-1,-1)</f>
        <v>0</v>
      </c>
      <c r="U29" s="923">
        <f>F29&gt;0</f>
        <v>0</v>
      </c>
      <c r="AB29" s="347"/>
      <c r="AC29" s="348" t="s">
        <v>499</v>
      </c>
      <c r="AD29" s="349"/>
      <c r="AE29" s="379"/>
      <c r="AF29" s="379"/>
      <c r="AG29" s="379"/>
      <c r="AH29" s="379"/>
      <c r="AI29" s="379"/>
      <c r="AJ29" s="379"/>
      <c r="AK29" s="379"/>
      <c r="AL29" s="379"/>
      <c r="AM29" s="379"/>
      <c r="AN29" s="379"/>
      <c r="AO29" s="379"/>
      <c r="AP29" s="379"/>
      <c r="AQ29" s="379"/>
      <c r="AR29" s="379"/>
      <c r="AS29" s="379"/>
      <c r="AT29" s="379"/>
      <c r="AU29" s="379"/>
      <c r="AV29" s="379"/>
      <c r="AW29" s="379"/>
      <c r="AX29" s="379"/>
    </row>
    <row customHeight="1" ht="16.672500000000003" hidden="1">
      <c r="E30" s="797">
        <v>17.1</v>
      </c>
      <c r="F30" s="922" cm="1" t="str">
        <f t="array" ref="F30:F30">OFFSET(G30,-1,-1)</f>
        <v>0</v>
      </c>
      <c r="G30" s="922" t="s">
        <v>500</v>
      </c>
      <c r="H30" s="175" t="s">
        <v>501</v>
      </c>
      <c r="U30" s="1059">
        <f>AND(F30&gt;0,method_reg&lt;&gt;"Метод экономически обоснованных расходов")</f>
        <v>0</v>
      </c>
      <c r="AB30" s="206">
        <v>1</v>
      </c>
      <c r="AC30" s="207" t="s">
        <v>502</v>
      </c>
      <c r="AD30" s="209" t="s">
        <v>498</v>
      </c>
      <c r="AE30" s="67">
        <v>1</v>
      </c>
      <c r="AF30" s="67">
        <v>1</v>
      </c>
      <c r="AG30" s="67">
        <v>1</v>
      </c>
      <c r="AH30" s="67">
        <v>1</v>
      </c>
      <c r="AI30" s="67">
        <v>1</v>
      </c>
      <c r="AJ30" s="67">
        <v>1</v>
      </c>
      <c r="AK30" s="67">
        <v>1</v>
      </c>
      <c r="AL30" s="67">
        <v>1</v>
      </c>
      <c r="AM30" s="67">
        <v>1</v>
      </c>
      <c r="AN30" s="67">
        <v>1</v>
      </c>
      <c r="AO30" s="1700">
        <v>1</v>
      </c>
      <c r="AP30" s="67">
        <v>1</v>
      </c>
      <c r="AQ30" s="67">
        <v>1</v>
      </c>
      <c r="AR30" s="67">
        <v>1</v>
      </c>
      <c r="AS30" s="67">
        <v>1</v>
      </c>
      <c r="AT30" s="67">
        <v>1</v>
      </c>
      <c r="AU30" s="67">
        <v>1</v>
      </c>
      <c r="AV30" s="67">
        <v>1</v>
      </c>
      <c r="AW30" s="67">
        <v>1</v>
      </c>
      <c r="AX30" s="67">
        <v>1</v>
      </c>
      <c r="BA30" s="1161" t="s">
        <v>503</v>
      </c>
    </row>
    <row customHeight="1" ht="29.25" hidden="1">
      <c r="E31" s="797">
        <v>30</v>
      </c>
      <c r="F31" s="922" cm="1" t="str">
        <f t="array" ref="F31:F31">OFFSET(G31,-1,-1)</f>
        <v>0</v>
      </c>
      <c r="H31" s="175" t="s">
        <v>504</v>
      </c>
      <c r="U31" s="1059">
        <f>AND(F31&gt;0,method_reg&lt;&gt;"Метод экономически обоснованных расходов")</f>
        <v>0</v>
      </c>
      <c r="AB31" s="837" t="s">
        <v>426</v>
      </c>
      <c r="AC31" s="838" t="s">
        <v>505</v>
      </c>
      <c r="AD31" s="839"/>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7">
        <v>0</v>
      </c>
      <c r="F32" s="922" cm="1" t="str">
        <f t="array" ref="F32:F32">OFFSET(G32,-1,-1)</f>
        <v>0</v>
      </c>
      <c r="U32" s="1059">
        <f>AND(F32&gt;0,method_reg&lt;&gt;"Метод экономически обоснованных расходов")</f>
        <v>0</v>
      </c>
      <c r="AB32" s="840"/>
      <c r="AC32" s="838"/>
      <c r="AD32" s="839"/>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7">
        <v>17.1</v>
      </c>
      <c r="F33" s="922" cm="1" t="str">
        <f t="array" ref="F33:F33">OFFSET(G33,-1,-1)</f>
        <v>0</v>
      </c>
      <c r="U33" s="1059">
        <f>AND(F33&gt;0,AB33&lt;&gt;"2.0",method_reg&lt;&gt;"Метод экономически обоснованных расходов")</f>
        <v>0</v>
      </c>
      <c r="X33" s="175" t="s">
        <v>234</v>
      </c>
      <c r="AA33" s="917" t="s">
        <v>218</v>
      </c>
      <c r="AB33" s="895" t="s">
        <v>506</v>
      </c>
      <c r="AC33" s="69"/>
      <c r="AD33" s="896" t="s">
        <v>498</v>
      </c>
      <c r="AE33" s="70"/>
      <c r="AF33" s="70"/>
      <c r="AG33" s="70"/>
      <c r="AH33" s="70"/>
      <c r="AI33" s="70"/>
      <c r="AJ33" s="70"/>
      <c r="AK33" s="70"/>
      <c r="AL33" s="70"/>
      <c r="AM33" s="70"/>
      <c r="AN33" s="70"/>
      <c r="AO33" s="1701"/>
      <c r="AP33" s="70"/>
      <c r="AQ33" s="70"/>
      <c r="AR33" s="70"/>
      <c r="AS33" s="70"/>
      <c r="AT33" s="70"/>
      <c r="AU33" s="70"/>
      <c r="AV33" s="70"/>
      <c r="AW33" s="70"/>
      <c r="AX33" s="70"/>
      <c r="BA33" s="1161" t="s">
        <v>507</v>
      </c>
      <c r="BB33" s="1161" t="s">
        <v>508</v>
      </c>
      <c r="BC33" s="1161" cm="1" t="str">
        <f t="array" ref="BC33:BC33">AC33</f>
        <v>0</v>
      </c>
      <c r="BE33" s="1165" t="b">
        <v>1</v>
      </c>
    </row>
    <row customHeight="1" ht="16.672500000000003" hidden="1">
      <c r="E34" s="797">
        <v>17.1</v>
      </c>
      <c r="F34" s="922" cm="1" t="str">
        <f t="array" ref="F34:F34">OFFSET(G34,-1,-1)</f>
        <v>0</v>
      </c>
      <c r="U34" s="1059">
        <f>AND(F34&gt;0,method_reg&lt;&gt;"Метод экономически обоснованных расходов")</f>
        <v>0</v>
      </c>
      <c r="X34" s="973" t="s">
        <v>509</v>
      </c>
      <c r="AB34" s="302"/>
      <c r="AC34" s="735" t="s">
        <v>236</v>
      </c>
      <c r="AD34" s="303"/>
      <c r="AE34" s="303"/>
      <c r="AF34" s="303"/>
      <c r="AG34" s="303"/>
      <c r="AH34" s="303"/>
      <c r="AI34" s="303"/>
      <c r="AJ34" s="303"/>
      <c r="AK34" s="303"/>
      <c r="AL34" s="303"/>
      <c r="AM34" s="303"/>
      <c r="AN34" s="303"/>
      <c r="AO34" s="303"/>
      <c r="AP34" s="303"/>
      <c r="AQ34" s="303"/>
      <c r="AR34" s="303"/>
      <c r="AS34" s="303"/>
      <c r="AT34" s="303"/>
      <c r="AU34" s="303"/>
      <c r="AV34" s="303"/>
      <c r="AW34" s="303"/>
      <c r="AX34" s="304"/>
      <c r="BD34" s="1165" t="s">
        <v>508</v>
      </c>
    </row>
    <row customHeight="1" ht="16.672500000000003" hidden="1">
      <c r="E35" s="797">
        <v>17.1</v>
      </c>
      <c r="F35" s="922" cm="1" t="str">
        <f t="array" ref="F35:F35">OFFSET(G35,-1,-1)</f>
        <v>0</v>
      </c>
      <c r="G35" s="922" t="s">
        <v>510</v>
      </c>
      <c r="H35" s="175" t="s">
        <v>511</v>
      </c>
      <c r="U35" s="923">
        <f>F35&gt;0</f>
        <v>0</v>
      </c>
      <c r="AB35" s="897">
        <v>3</v>
      </c>
      <c r="AC35" s="898" t="s">
        <v>512</v>
      </c>
      <c r="AD35" s="899" t="s">
        <v>498</v>
      </c>
      <c r="AE35" s="71"/>
      <c r="AF35" s="71"/>
      <c r="AG35" s="71"/>
      <c r="AH35" s="71"/>
      <c r="AI35" s="71"/>
      <c r="AJ35" s="71"/>
      <c r="AK35" s="71"/>
      <c r="AL35" s="71"/>
      <c r="AM35" s="71"/>
      <c r="AN35" s="71"/>
      <c r="AO35" s="1702"/>
      <c r="AP35" s="71"/>
      <c r="AQ35" s="71"/>
      <c r="AR35" s="71"/>
      <c r="AS35" s="71"/>
      <c r="AT35" s="71"/>
      <c r="AU35" s="71"/>
      <c r="AV35" s="71"/>
      <c r="AW35" s="71"/>
      <c r="AX35" s="71"/>
      <c r="BA35" s="1161" t="s">
        <v>513</v>
      </c>
    </row>
    <row customHeight="1" ht="16.672500000000003" hidden="1">
      <c r="E36" s="797">
        <v>17.1</v>
      </c>
      <c r="F36" s="922" cm="1" t="str">
        <f t="array" ref="F36:F36">OFFSET(G36,-1,-1)</f>
        <v>0</v>
      </c>
      <c r="H36" s="175" t="s">
        <v>514</v>
      </c>
      <c r="U36" s="923">
        <f>F36&gt;0</f>
        <v>0</v>
      </c>
      <c r="AB36" s="835">
        <v>4</v>
      </c>
      <c r="AC36" s="842" t="s">
        <v>515</v>
      </c>
      <c r="AD36" s="843" t="s">
        <v>498</v>
      </c>
      <c r="AE36" s="67"/>
      <c r="AF36" s="67"/>
      <c r="AG36" s="67"/>
      <c r="AH36" s="67"/>
      <c r="AI36" s="67"/>
      <c r="AJ36" s="67"/>
      <c r="AK36" s="67"/>
      <c r="AL36" s="67"/>
      <c r="AM36" s="67"/>
      <c r="AN36" s="67"/>
      <c r="AO36" s="1700"/>
      <c r="AP36" s="67"/>
      <c r="AQ36" s="67"/>
      <c r="AR36" s="67"/>
      <c r="AS36" s="67"/>
      <c r="AT36" s="67"/>
      <c r="AU36" s="67"/>
      <c r="AV36" s="67"/>
      <c r="AW36" s="67"/>
      <c r="AX36" s="67"/>
      <c r="BA36" s="1161" t="s">
        <v>516</v>
      </c>
    </row>
    <row customHeight="1" ht="29.25" hidden="1">
      <c r="E37" s="797">
        <v>30</v>
      </c>
      <c r="F37" s="922" cm="1" t="str">
        <f t="array" ref="F37:F37">OFFSET(G37,-1,-1)</f>
        <v>0</v>
      </c>
      <c r="H37" s="175" t="s">
        <v>517</v>
      </c>
      <c r="U37" s="923">
        <f>F37&gt;0</f>
        <v>0</v>
      </c>
      <c r="AB37" s="835">
        <v>5</v>
      </c>
      <c r="AC37" s="844" t="s">
        <v>518</v>
      </c>
      <c r="AD37" s="843" t="s">
        <v>498</v>
      </c>
      <c r="AE37" s="67"/>
      <c r="AF37" s="67"/>
      <c r="AG37" s="67"/>
      <c r="AH37" s="67"/>
      <c r="AI37" s="67"/>
      <c r="AJ37" s="67"/>
      <c r="AK37" s="67"/>
      <c r="AL37" s="67"/>
      <c r="AM37" s="67"/>
      <c r="AN37" s="67"/>
      <c r="AO37" s="1700"/>
      <c r="AP37" s="67"/>
      <c r="AQ37" s="67"/>
      <c r="AR37" s="67"/>
      <c r="AS37" s="67"/>
      <c r="AT37" s="67"/>
      <c r="AU37" s="67"/>
      <c r="AV37" s="67"/>
      <c r="AW37" s="67"/>
      <c r="AX37" s="67"/>
      <c r="BA37" s="1161" t="s">
        <v>519</v>
      </c>
    </row>
    <row customHeight="1" ht="16.672500000000003" hidden="1">
      <c r="E38" s="797">
        <v>17.1</v>
      </c>
      <c r="F38" s="922" cm="1" t="str">
        <f t="array" ref="F38:F38">OFFSET(G38,-1,-1)</f>
        <v>0</v>
      </c>
      <c r="H38" s="175" t="s">
        <v>520</v>
      </c>
      <c r="U38" s="923">
        <f>F38&gt;0</f>
        <v>0</v>
      </c>
      <c r="AB38" s="835">
        <v>6</v>
      </c>
      <c r="AC38" s="844" t="s">
        <v>521</v>
      </c>
      <c r="AD38" s="843" t="s">
        <v>498</v>
      </c>
      <c r="AE38" s="67"/>
      <c r="AF38" s="67"/>
      <c r="AG38" s="67"/>
      <c r="AH38" s="67"/>
      <c r="AI38" s="67"/>
      <c r="AJ38" s="67"/>
      <c r="AK38" s="67"/>
      <c r="AL38" s="67"/>
      <c r="AM38" s="67"/>
      <c r="AN38" s="67"/>
      <c r="AO38" s="1700"/>
      <c r="AP38" s="67"/>
      <c r="AQ38" s="67"/>
      <c r="AR38" s="67"/>
      <c r="AS38" s="67"/>
      <c r="AT38" s="67"/>
      <c r="AU38" s="67"/>
      <c r="AV38" s="67"/>
      <c r="AW38" s="67"/>
      <c r="AX38" s="67"/>
      <c r="BA38" s="1161" t="s">
        <v>522</v>
      </c>
    </row>
    <row customHeight="1" ht="16.672500000000003" hidden="1">
      <c r="E39" s="797">
        <v>17.1</v>
      </c>
      <c r="F39" s="922" cm="1" t="str">
        <f t="array" ref="F39:F39">OFFSET(G39,-1,-1)</f>
        <v>0</v>
      </c>
      <c r="H39" s="175" t="s">
        <v>523</v>
      </c>
      <c r="U39" s="923">
        <f>F39&gt;0</f>
        <v>0</v>
      </c>
      <c r="AB39" s="835">
        <v>7</v>
      </c>
      <c r="AC39" s="844" t="s">
        <v>524</v>
      </c>
      <c r="AD39" s="843" t="s">
        <v>498</v>
      </c>
      <c r="AE39" s="67"/>
      <c r="AF39" s="67"/>
      <c r="AG39" s="67"/>
      <c r="AH39" s="67"/>
      <c r="AI39" s="67"/>
      <c r="AJ39" s="67"/>
      <c r="AK39" s="67"/>
      <c r="AL39" s="67"/>
      <c r="AM39" s="67"/>
      <c r="AN39" s="67"/>
      <c r="AO39" s="1700"/>
      <c r="AP39" s="67"/>
      <c r="AQ39" s="67"/>
      <c r="AR39" s="67"/>
      <c r="AS39" s="67"/>
      <c r="AT39" s="67"/>
      <c r="AU39" s="67"/>
      <c r="AV39" s="67"/>
      <c r="AW39" s="67"/>
      <c r="AX39" s="67"/>
      <c r="BA39" s="1161" t="s">
        <v>525</v>
      </c>
    </row>
    <row customHeight="1" ht="16.672500000000003" hidden="1">
      <c r="E40" s="797">
        <v>17.1</v>
      </c>
      <c r="F40" s="922" cm="1" t="str">
        <f t="array" ref="F40:F40">OFFSET(G40,-1,-1)</f>
        <v>0</v>
      </c>
      <c r="H40" s="175" t="s">
        <v>526</v>
      </c>
      <c r="U40" s="923">
        <f>F40&gt;0</f>
        <v>0</v>
      </c>
      <c r="AB40" s="835">
        <v>8</v>
      </c>
      <c r="AC40" s="844" t="s">
        <v>527</v>
      </c>
      <c r="AD40" s="843" t="s">
        <v>498</v>
      </c>
      <c r="AE40" s="67"/>
      <c r="AF40" s="67"/>
      <c r="AG40" s="67"/>
      <c r="AH40" s="67"/>
      <c r="AI40" s="67"/>
      <c r="AJ40" s="67"/>
      <c r="AK40" s="67"/>
      <c r="AL40" s="67"/>
      <c r="AM40" s="67"/>
      <c r="AN40" s="67"/>
      <c r="AO40" s="1700"/>
      <c r="AP40" s="67"/>
      <c r="AQ40" s="67"/>
      <c r="AR40" s="67"/>
      <c r="AS40" s="67"/>
      <c r="AT40" s="67"/>
      <c r="AU40" s="67"/>
      <c r="AV40" s="67"/>
      <c r="AW40" s="67"/>
      <c r="AX40" s="67"/>
      <c r="BA40" s="1161" t="s">
        <v>528</v>
      </c>
    </row>
    <row customHeight="1" ht="16.672500000000003" hidden="1">
      <c r="E41" s="797">
        <v>17.1</v>
      </c>
      <c r="F41" s="922" cm="1" t="str">
        <f t="array" ref="F41:F41">OFFSET(G41,-1,-1)</f>
        <v>0</v>
      </c>
      <c r="H41" s="175" t="s">
        <v>529</v>
      </c>
      <c r="U41" s="923">
        <f>F41&gt;0</f>
        <v>0</v>
      </c>
      <c r="AB41" s="835">
        <v>9</v>
      </c>
      <c r="AC41" s="844" t="s">
        <v>530</v>
      </c>
      <c r="AD41" s="172" t="s">
        <v>531</v>
      </c>
      <c r="AE41" s="67">
        <f>7900</f>
        <v>7900</v>
      </c>
      <c r="AF41" s="67">
        <f>7900</f>
        <v>7900</v>
      </c>
      <c r="AG41" s="67">
        <f>7900</f>
        <v>7900</v>
      </c>
      <c r="AH41" s="67">
        <f>7900</f>
        <v>7900</v>
      </c>
      <c r="AI41" s="67">
        <f>7900</f>
        <v>7900</v>
      </c>
      <c r="AJ41" s="67">
        <f>7900</f>
        <v>7900</v>
      </c>
      <c r="AK41" s="67">
        <f>7900</f>
        <v>7900</v>
      </c>
      <c r="AL41" s="67">
        <f>7900</f>
        <v>7900</v>
      </c>
      <c r="AM41" s="67">
        <f>7900</f>
        <v>7900</v>
      </c>
      <c r="AN41" s="67">
        <f>7900</f>
        <v>7900</v>
      </c>
      <c r="AO41" s="1700">
        <f>7900</f>
        <v>7900</v>
      </c>
      <c r="AP41" s="67">
        <f>7900</f>
        <v>7900</v>
      </c>
      <c r="AQ41" s="67">
        <f>7900</f>
        <v>7900</v>
      </c>
      <c r="AR41" s="67">
        <f>7900</f>
        <v>7900</v>
      </c>
      <c r="AS41" s="67">
        <f>7900</f>
        <v>7900</v>
      </c>
      <c r="AT41" s="67">
        <f>7900</f>
        <v>7900</v>
      </c>
      <c r="AU41" s="67">
        <f>7900</f>
        <v>7900</v>
      </c>
      <c r="AV41" s="67">
        <f>7900</f>
        <v>7900</v>
      </c>
      <c r="AW41" s="67">
        <f>7900</f>
        <v>7900</v>
      </c>
      <c r="AX41" s="67">
        <f>7900</f>
        <v>7900</v>
      </c>
      <c r="BA41" s="1161" t="s">
        <v>532</v>
      </c>
    </row>
    <row customHeight="1" ht="16.672500000000003" hidden="1">
      <c r="E42" s="797">
        <v>17.1</v>
      </c>
      <c r="F42" s="922" cm="1" t="str">
        <f t="array" ref="F42:F42">OFFSET(G42,-1,-1)</f>
        <v>0</v>
      </c>
      <c r="H42" s="175" t="s">
        <v>533</v>
      </c>
      <c r="U42" s="923">
        <f>F42&gt;0</f>
        <v>0</v>
      </c>
      <c r="AB42" s="835">
        <v>10</v>
      </c>
      <c r="AC42" s="844" t="s">
        <v>534</v>
      </c>
      <c r="AD42" s="172" t="s">
        <v>535</v>
      </c>
      <c r="AE42" s="67"/>
      <c r="AF42" s="67"/>
      <c r="AG42" s="67"/>
      <c r="AH42" s="67"/>
      <c r="AI42" s="67"/>
      <c r="AJ42" s="67"/>
      <c r="AK42" s="67"/>
      <c r="AL42" s="67"/>
      <c r="AM42" s="67"/>
      <c r="AN42" s="67"/>
      <c r="AO42" s="1700"/>
      <c r="AP42" s="67"/>
      <c r="AQ42" s="67"/>
      <c r="AR42" s="67"/>
      <c r="AS42" s="67"/>
      <c r="AT42" s="67"/>
      <c r="AU42" s="67"/>
      <c r="AV42" s="67"/>
      <c r="AW42" s="67"/>
      <c r="AX42" s="67"/>
      <c r="BA42" s="1161" t="s">
        <v>536</v>
      </c>
    </row>
    <row customHeight="1" ht="16.672500000000003" hidden="1">
      <c r="E43" s="797">
        <v>17.1</v>
      </c>
      <c r="F43" s="922" cm="1" t="str">
        <f t="array" ref="F43:F43">OFFSET(G43,-1,-1)</f>
        <v>0</v>
      </c>
      <c r="H43" s="175" t="s">
        <v>537</v>
      </c>
      <c r="U43" s="923">
        <f>F43&gt;0</f>
        <v>0</v>
      </c>
      <c r="AB43" s="835">
        <v>11</v>
      </c>
      <c r="AC43" s="844" t="s">
        <v>538</v>
      </c>
      <c r="AD43" s="172" t="s">
        <v>539</v>
      </c>
      <c r="AE43" s="67">
        <f>7000</f>
        <v>7000</v>
      </c>
      <c r="AF43" s="67">
        <f>7000</f>
        <v>7000</v>
      </c>
      <c r="AG43" s="67">
        <f>7000</f>
        <v>7000</v>
      </c>
      <c r="AH43" s="67">
        <f>7000</f>
        <v>7000</v>
      </c>
      <c r="AI43" s="67">
        <f>7000</f>
        <v>7000</v>
      </c>
      <c r="AJ43" s="67">
        <f>7000</f>
        <v>7000</v>
      </c>
      <c r="AK43" s="67">
        <f>7000</f>
        <v>7000</v>
      </c>
      <c r="AL43" s="67">
        <f>7000</f>
        <v>7000</v>
      </c>
      <c r="AM43" s="67">
        <f>7000</f>
        <v>7000</v>
      </c>
      <c r="AN43" s="67">
        <f>7000</f>
        <v>7000</v>
      </c>
      <c r="AO43" s="1700">
        <f>7000</f>
        <v>7000</v>
      </c>
      <c r="AP43" s="67">
        <f>7000</f>
        <v>7000</v>
      </c>
      <c r="AQ43" s="67">
        <f>7000</f>
        <v>7000</v>
      </c>
      <c r="AR43" s="67">
        <f>7000</f>
        <v>7000</v>
      </c>
      <c r="AS43" s="67">
        <f>7000</f>
        <v>7000</v>
      </c>
      <c r="AT43" s="67">
        <f>7000</f>
        <v>7000</v>
      </c>
      <c r="AU43" s="67">
        <f>7000</f>
        <v>7000</v>
      </c>
      <c r="AV43" s="67">
        <f>7000</f>
        <v>7000</v>
      </c>
      <c r="AW43" s="67">
        <f>7000</f>
        <v>7000</v>
      </c>
      <c r="AX43" s="67">
        <f>7000</f>
        <v>7000</v>
      </c>
      <c r="BA43" s="1161" t="s">
        <v>540</v>
      </c>
    </row>
    <row customHeight="1" ht="16.672500000000003" hidden="1">
      <c r="E44" s="797">
        <v>17.1</v>
      </c>
      <c r="F44" s="922" cm="1" t="str">
        <f t="array" ref="F44:F44">OFFSET(G44,-1,-1)</f>
        <v>0</v>
      </c>
      <c r="H44" s="175" t="s">
        <v>541</v>
      </c>
      <c r="U44" s="923">
        <f>F44&gt;0</f>
        <v>0</v>
      </c>
      <c r="AB44" s="835">
        <v>12</v>
      </c>
      <c r="AC44" s="844" t="s">
        <v>542</v>
      </c>
      <c r="AD44" s="843" t="s">
        <v>498</v>
      </c>
      <c r="AE44" s="67"/>
      <c r="AF44" s="67"/>
      <c r="AG44" s="67"/>
      <c r="AH44" s="67"/>
      <c r="AI44" s="67"/>
      <c r="AJ44" s="67"/>
      <c r="AK44" s="67"/>
      <c r="AL44" s="67"/>
      <c r="AM44" s="67"/>
      <c r="AN44" s="67"/>
      <c r="AO44" s="1700"/>
      <c r="AP44" s="67"/>
      <c r="AQ44" s="67"/>
      <c r="AR44" s="67"/>
      <c r="AS44" s="67"/>
      <c r="AT44" s="67"/>
      <c r="AU44" s="67"/>
      <c r="AV44" s="67"/>
      <c r="AW44" s="67"/>
      <c r="AX44" s="67"/>
      <c r="BA44" s="1161" t="s">
        <v>543</v>
      </c>
    </row>
    <row customHeight="1" ht="16.672500000000003" hidden="1">
      <c r="E45" s="797">
        <v>17.1</v>
      </c>
      <c r="F45" s="922" cm="1" t="str">
        <f t="array" ref="F45:F45">OFFSET(G45,-1,-1)</f>
        <v>0</v>
      </c>
      <c r="H45" s="175" t="s">
        <v>544</v>
      </c>
      <c r="U45" s="923">
        <f>F45&gt;0</f>
        <v>0</v>
      </c>
      <c r="AB45" s="835">
        <v>13</v>
      </c>
      <c r="AC45" s="844" t="s">
        <v>545</v>
      </c>
      <c r="AD45" s="843" t="s">
        <v>498</v>
      </c>
      <c r="AE45" s="67"/>
      <c r="AF45" s="67"/>
      <c r="AG45" s="67"/>
      <c r="AH45" s="67"/>
      <c r="AI45" s="67"/>
      <c r="AJ45" s="67"/>
      <c r="AK45" s="67"/>
      <c r="AL45" s="67"/>
      <c r="AM45" s="67"/>
      <c r="AN45" s="67"/>
      <c r="AO45" s="1700"/>
      <c r="AP45" s="67"/>
      <c r="AQ45" s="67"/>
      <c r="AR45" s="67"/>
      <c r="AS45" s="67"/>
      <c r="AT45" s="67"/>
      <c r="AU45" s="67"/>
      <c r="AV45" s="67"/>
      <c r="AW45" s="67"/>
      <c r="AX45" s="67"/>
      <c r="BA45" s="1161" t="s">
        <v>546</v>
      </c>
    </row>
    <row customHeight="1" ht="16.672500000000003" hidden="1">
      <c r="E46" s="797">
        <v>17.1</v>
      </c>
      <c r="F46" s="922" cm="1" t="str">
        <f t="array" ref="F46:F46">OFFSET(G46,-1,-1)</f>
        <v>0</v>
      </c>
      <c r="H46" s="175" t="s">
        <v>547</v>
      </c>
      <c r="U46" s="923">
        <f>F46&gt;0</f>
        <v>0</v>
      </c>
      <c r="AB46" s="835">
        <v>14</v>
      </c>
      <c r="AC46" s="844" t="s">
        <v>548</v>
      </c>
      <c r="AD46" s="843" t="s">
        <v>498</v>
      </c>
      <c r="AE46" s="67"/>
      <c r="AF46" s="67"/>
      <c r="AG46" s="67"/>
      <c r="AH46" s="67"/>
      <c r="AI46" s="67"/>
      <c r="AJ46" s="67"/>
      <c r="AK46" s="67"/>
      <c r="AL46" s="67"/>
      <c r="AM46" s="67"/>
      <c r="AN46" s="67"/>
      <c r="AO46" s="1700"/>
      <c r="AP46" s="67"/>
      <c r="AQ46" s="67"/>
      <c r="AR46" s="67"/>
      <c r="AS46" s="67"/>
      <c r="AT46" s="67"/>
      <c r="AU46" s="67"/>
      <c r="AV46" s="67"/>
      <c r="AW46" s="67"/>
      <c r="AX46" s="67"/>
      <c r="BA46" s="1161" t="s">
        <v>549</v>
      </c>
    </row>
    <row customHeight="1" ht="16.672500000000003" hidden="1">
      <c r="E47" s="797">
        <v>17.1</v>
      </c>
      <c r="F47" s="922" cm="1" t="str">
        <f t="array" ref="F47:F47">OFFSET(G47,-1,-1)</f>
        <v>0</v>
      </c>
      <c r="H47" s="175" t="s">
        <v>550</v>
      </c>
      <c r="U47" s="923">
        <f>F47&gt;0</f>
        <v>0</v>
      </c>
      <c r="AB47" s="835">
        <v>15</v>
      </c>
      <c r="AC47" s="844" t="s">
        <v>551</v>
      </c>
      <c r="AD47" s="843" t="s">
        <v>498</v>
      </c>
      <c r="AE47" s="67"/>
      <c r="AF47" s="67"/>
      <c r="AG47" s="67"/>
      <c r="AH47" s="67"/>
      <c r="AI47" s="67"/>
      <c r="AJ47" s="67"/>
      <c r="AK47" s="67"/>
      <c r="AL47" s="67"/>
      <c r="AM47" s="67"/>
      <c r="AN47" s="67"/>
      <c r="AO47" s="1700"/>
      <c r="AP47" s="67"/>
      <c r="AQ47" s="67"/>
      <c r="AR47" s="67"/>
      <c r="AS47" s="67"/>
      <c r="AT47" s="67"/>
      <c r="AU47" s="67"/>
      <c r="AV47" s="67"/>
      <c r="AW47" s="67"/>
      <c r="AX47" s="67"/>
      <c r="BA47" s="1161" t="s">
        <v>552</v>
      </c>
    </row>
    <row customHeight="1" ht="16.672500000000003" hidden="1">
      <c r="E48" s="797">
        <v>17.1</v>
      </c>
      <c r="F48" s="922" cm="1" t="str">
        <f t="array" ref="F48:F48">OFFSET(G48,-1,-1)</f>
        <v>0</v>
      </c>
      <c r="G48" s="922" t="s">
        <v>553</v>
      </c>
      <c r="H48" s="175" t="s">
        <v>554</v>
      </c>
      <c r="U48" s="1059">
        <f>AND(F48&gt;0,method_reg&lt;&gt;"Метод экономически обоснованных расходов")</f>
        <v>0</v>
      </c>
      <c r="AB48" s="835">
        <v>16</v>
      </c>
      <c r="AC48" s="846" t="s">
        <v>555</v>
      </c>
      <c r="AD48" s="209"/>
      <c r="AE48" s="67"/>
      <c r="AF48" s="67"/>
      <c r="AG48" s="67"/>
      <c r="AH48" s="67"/>
      <c r="AI48" s="67"/>
      <c r="AJ48" s="67"/>
      <c r="AK48" s="67"/>
      <c r="AL48" s="67"/>
      <c r="AM48" s="67"/>
      <c r="AN48" s="67"/>
      <c r="AO48" s="1700"/>
      <c r="AP48" s="67"/>
      <c r="AQ48" s="67"/>
      <c r="AR48" s="67"/>
      <c r="AS48" s="67"/>
      <c r="AT48" s="67"/>
      <c r="AU48" s="67"/>
      <c r="AV48" s="67"/>
      <c r="AW48" s="67"/>
      <c r="AX48" s="67"/>
      <c r="BA48" s="1161" t="s">
        <v>556</v>
      </c>
    </row>
    <row customHeight="1" ht="29.25" hidden="1">
      <c r="E49" s="797">
        <v>30</v>
      </c>
      <c r="F49" s="922" cm="1" t="str">
        <f t="array" ref="F49:F49">OFFSET(G49,-1,-1)</f>
        <v>0</v>
      </c>
      <c r="G49" s="922" t="s">
        <v>557</v>
      </c>
      <c r="H49" s="175" t="s">
        <v>558</v>
      </c>
      <c r="U49" s="1059">
        <f>AND(F49&gt;0,method_reg&lt;&gt;"Метод экономически обоснованных расходов")</f>
        <v>0</v>
      </c>
      <c r="AB49" s="835">
        <v>17</v>
      </c>
      <c r="AC49" s="210" t="s">
        <v>559</v>
      </c>
      <c r="AD49" s="836"/>
      <c r="AE49" s="67">
        <f>0.75</f>
        <v>0.75</v>
      </c>
      <c r="AF49" s="67">
        <f>0.75</f>
        <v>0.75</v>
      </c>
      <c r="AG49" s="67">
        <f>0.75</f>
        <v>0.75</v>
      </c>
      <c r="AH49" s="67">
        <f>0.75</f>
        <v>0.75</v>
      </c>
      <c r="AI49" s="67">
        <f>0.75</f>
        <v>0.75</v>
      </c>
      <c r="AJ49" s="67">
        <f>0.75</f>
        <v>0.75</v>
      </c>
      <c r="AK49" s="67">
        <f>0.75</f>
        <v>0.75</v>
      </c>
      <c r="AL49" s="67">
        <f>0.75</f>
        <v>0.75</v>
      </c>
      <c r="AM49" s="67">
        <f>0.75</f>
        <v>0.75</v>
      </c>
      <c r="AN49" s="67">
        <f>0.75</f>
        <v>0.75</v>
      </c>
      <c r="AO49" s="1700">
        <f>0.75</f>
        <v>0.75</v>
      </c>
      <c r="AP49" s="67">
        <f>0.75</f>
        <v>0.75</v>
      </c>
      <c r="AQ49" s="67">
        <f>0.75</f>
        <v>0.75</v>
      </c>
      <c r="AR49" s="67">
        <f>0.75</f>
        <v>0.75</v>
      </c>
      <c r="AS49" s="67">
        <f>0.75</f>
        <v>0.75</v>
      </c>
      <c r="AT49" s="67">
        <f>0.75</f>
        <v>0.75</v>
      </c>
      <c r="AU49" s="67">
        <f>0.75</f>
        <v>0.75</v>
      </c>
      <c r="AV49" s="67">
        <f>0.75</f>
        <v>0.75</v>
      </c>
      <c r="AW49" s="67">
        <f>0.75</f>
        <v>0.75</v>
      </c>
      <c r="AX49" s="67">
        <f>0.75</f>
        <v>0.75</v>
      </c>
      <c r="BA49" s="1161" t="s">
        <v>560</v>
      </c>
    </row>
    <row customHeight="1" ht="16.672500000000003" hidden="1">
      <c r="E50" s="797">
        <v>17.1</v>
      </c>
      <c r="F50" s="922" cm="1" t="str">
        <f t="array" ref="F50:F50">OFFSET(G50,-1,-1)</f>
        <v>0</v>
      </c>
      <c r="U50" s="923">
        <f>F50&gt;0</f>
        <v>0</v>
      </c>
      <c r="AB50" s="1053" t="s">
        <v>561</v>
      </c>
      <c r="AC50" s="348" t="s">
        <v>562</v>
      </c>
      <c r="AD50" s="349"/>
      <c r="AE50" s="351"/>
      <c r="AF50" s="351"/>
      <c r="AG50" s="351"/>
      <c r="AH50" s="351"/>
      <c r="AI50" s="351"/>
      <c r="AJ50" s="351"/>
      <c r="AK50" s="351"/>
      <c r="AL50" s="351"/>
      <c r="AM50" s="351"/>
      <c r="AN50" s="351"/>
      <c r="AO50" s="351"/>
      <c r="AP50" s="351"/>
      <c r="AQ50" s="351"/>
      <c r="AR50" s="351"/>
      <c r="AS50" s="351"/>
      <c r="AT50" s="351"/>
      <c r="AU50" s="351"/>
      <c r="AV50" s="351"/>
      <c r="AW50" s="351"/>
      <c r="AX50" s="351"/>
    </row>
    <row customHeight="1" ht="16.672500000000003" hidden="1">
      <c r="E51" s="797">
        <v>17.1</v>
      </c>
      <c r="F51" s="922" cm="1" t="str">
        <f t="array" ref="F51:F51">OFFSET(G51,-1,-1)</f>
        <v>0</v>
      </c>
      <c r="G51" s="922" t="s">
        <v>563</v>
      </c>
      <c r="H51" s="175" t="s">
        <v>564</v>
      </c>
      <c r="U51" s="923">
        <f>F51&gt;0</f>
        <v>0</v>
      </c>
      <c r="AB51" s="480" t="s">
        <v>565</v>
      </c>
      <c r="AC51" s="208" t="s">
        <v>566</v>
      </c>
      <c r="AD51" s="209" t="s">
        <v>498</v>
      </c>
      <c r="AE51" s="67"/>
      <c r="AF51" s="67"/>
      <c r="AG51" s="67"/>
      <c r="AH51" s="67"/>
      <c r="AI51" s="67"/>
      <c r="AJ51" s="67"/>
      <c r="AK51" s="67"/>
      <c r="AL51" s="67"/>
      <c r="AM51" s="67"/>
      <c r="AN51" s="67"/>
      <c r="AO51" s="1700"/>
      <c r="AP51" s="67"/>
      <c r="AQ51" s="67"/>
      <c r="AR51" s="67"/>
      <c r="AS51" s="67"/>
      <c r="AT51" s="67"/>
      <c r="AU51" s="67"/>
      <c r="AV51" s="67"/>
      <c r="AW51" s="67"/>
      <c r="AX51" s="67"/>
      <c r="BA51" s="1161" t="s">
        <v>567</v>
      </c>
    </row>
    <row customHeight="1" ht="16.672500000000003" hidden="1">
      <c r="E52" s="797">
        <v>17.1</v>
      </c>
      <c r="F52" s="922" cm="1" t="str">
        <f t="array" ref="F52:F52">OFFSET(G52,-1,-1)</f>
        <v>0</v>
      </c>
      <c r="H52" s="175" t="s">
        <v>568</v>
      </c>
      <c r="U52" s="923">
        <f>F52&gt;0</f>
        <v>0</v>
      </c>
      <c r="AB52" s="480" t="s">
        <v>569</v>
      </c>
      <c r="AC52" s="210" t="s">
        <v>570</v>
      </c>
      <c r="AD52" s="209" t="s">
        <v>498</v>
      </c>
      <c r="AE52" s="67"/>
      <c r="AF52" s="67"/>
      <c r="AG52" s="67"/>
      <c r="AH52" s="67"/>
      <c r="AI52" s="67"/>
      <c r="AJ52" s="67"/>
      <c r="AK52" s="67"/>
      <c r="AL52" s="67"/>
      <c r="AM52" s="67"/>
      <c r="AN52" s="67"/>
      <c r="AO52" s="1700"/>
      <c r="AP52" s="67"/>
      <c r="AQ52" s="67"/>
      <c r="AR52" s="67"/>
      <c r="AS52" s="67"/>
      <c r="AT52" s="67"/>
      <c r="AU52" s="67"/>
      <c r="AV52" s="67"/>
      <c r="AW52" s="67"/>
      <c r="AX52" s="67"/>
      <c r="BA52" s="1161" t="s">
        <v>571</v>
      </c>
    </row>
    <row customHeight="1" ht="16.672500000000003" hidden="1">
      <c r="E53" s="797">
        <v>17.1</v>
      </c>
      <c r="F53" s="922" cm="1" t="str">
        <f t="array" ref="F53:F53">OFFSET(G53,-1,-1)</f>
        <v>0</v>
      </c>
      <c r="H53" s="175" t="s">
        <v>572</v>
      </c>
      <c r="U53" s="923">
        <f>F53&gt;0</f>
        <v>0</v>
      </c>
      <c r="AB53" s="480" t="s">
        <v>573</v>
      </c>
      <c r="AC53" s="210" t="s">
        <v>574</v>
      </c>
      <c r="AD53" s="209" t="s">
        <v>498</v>
      </c>
      <c r="AE53" s="67"/>
      <c r="AF53" s="67"/>
      <c r="AG53" s="67"/>
      <c r="AH53" s="67"/>
      <c r="AI53" s="67"/>
      <c r="AJ53" s="67"/>
      <c r="AK53" s="67"/>
      <c r="AL53" s="67"/>
      <c r="AM53" s="67"/>
      <c r="AN53" s="67"/>
      <c r="AO53" s="1700"/>
      <c r="AP53" s="67"/>
      <c r="AQ53" s="67"/>
      <c r="AR53" s="67"/>
      <c r="AS53" s="67"/>
      <c r="AT53" s="67"/>
      <c r="AU53" s="67"/>
      <c r="AV53" s="67"/>
      <c r="AW53" s="67"/>
      <c r="AX53" s="67"/>
      <c r="BA53" s="1161" t="s">
        <v>575</v>
      </c>
    </row>
    <row customHeight="1" ht="16.672500000000003" hidden="1">
      <c r="E54" s="797">
        <v>17.1</v>
      </c>
      <c r="F54" s="922" cm="1" t="str">
        <f t="array" ref="F54:F54">OFFSET(G54,-1,-1)</f>
        <v>0</v>
      </c>
      <c r="H54" s="175" t="s">
        <v>576</v>
      </c>
      <c r="U54" s="923">
        <f>F54&gt;0</f>
        <v>0</v>
      </c>
      <c r="AB54" s="480" t="s">
        <v>577</v>
      </c>
      <c r="AC54" s="210" t="s">
        <v>578</v>
      </c>
      <c r="AD54" s="209" t="s">
        <v>498</v>
      </c>
      <c r="AE54" s="67"/>
      <c r="AF54" s="67"/>
      <c r="AG54" s="67"/>
      <c r="AH54" s="67"/>
      <c r="AI54" s="67"/>
      <c r="AJ54" s="67"/>
      <c r="AK54" s="67"/>
      <c r="AL54" s="67"/>
      <c r="AM54" s="67"/>
      <c r="AN54" s="67"/>
      <c r="AO54" s="1700"/>
      <c r="AP54" s="67"/>
      <c r="AQ54" s="67"/>
      <c r="AR54" s="67"/>
      <c r="AS54" s="67"/>
      <c r="AT54" s="67"/>
      <c r="AU54" s="67"/>
      <c r="AV54" s="67"/>
      <c r="AW54" s="67"/>
      <c r="AX54" s="67"/>
      <c r="BA54" s="1161" t="s">
        <v>579</v>
      </c>
    </row>
    <row s="966" customFormat="1" customHeight="1" ht="10.5">
      <c r="A55" s="215"/>
      <c r="B55" s="215"/>
      <c r="C55" s="215"/>
      <c r="D55" s="215"/>
      <c r="E55" s="803">
        <v>11.4</v>
      </c>
      <c r="F55" s="922" cm="1" t="str">
        <f t="array" ref="F55:F55">Y55</f>
        <v>1</v>
      </c>
      <c r="G55" s="215"/>
      <c r="H55" s="215"/>
      <c r="I55" s="215"/>
      <c r="J55" s="215"/>
      <c r="K55" s="215"/>
      <c r="L55" s="215"/>
      <c r="M55" s="215"/>
      <c r="N55" s="215"/>
      <c r="O55" s="215"/>
      <c r="P55" s="215"/>
      <c r="Q55" s="215"/>
      <c r="R55" s="215"/>
      <c r="S55" s="215"/>
      <c r="T55" s="215"/>
      <c r="U55" s="923">
        <f>F55&gt;0</f>
        <v>1</v>
      </c>
      <c r="V55" s="215"/>
      <c r="W55" s="171" cm="1" t="str">
        <f t="array" ref="W55:W55">'Расчет УЕ'!$AB$47</f>
        <v>Тариф 1 (Теплоснабжение) - Тариф на тепловую энергию (мощность), поставляемую потребителям (Не определено)</v>
      </c>
      <c r="X55" s="215"/>
      <c r="Y55" s="171" t="s">
        <v>336</v>
      </c>
      <c r="Z55" s="215"/>
      <c r="AA55" s="215"/>
      <c r="AB55" s="263"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0"/>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15"/>
      <c r="AZ55" s="215"/>
      <c r="BA55" s="1161"/>
      <c r="BB55" s="1167"/>
      <c r="BC55" s="1167"/>
      <c r="BD55" s="1168"/>
      <c r="BE55" s="1168"/>
    </row>
    <row s="1632" customFormat="1" customHeight="1" ht="10.5">
      <c r="A56" s="1186"/>
      <c r="B56" s="927"/>
      <c r="C56" s="1582"/>
      <c r="D56" s="1582"/>
      <c r="E56" s="797">
        <v>11.4</v>
      </c>
      <c r="F56" s="922" cm="1" t="str">
        <f t="array" ref="F56:F56">OFFSET(G56,-1,-1)</f>
        <v>1</v>
      </c>
      <c r="G56" s="1582"/>
      <c r="H56" s="1582"/>
      <c r="I56" s="1582"/>
      <c r="J56" s="1582"/>
      <c r="K56" s="1582"/>
      <c r="L56" s="1582"/>
      <c r="M56" s="1582"/>
      <c r="N56" s="1582"/>
      <c r="O56" s="1582"/>
      <c r="P56" s="1582"/>
      <c r="Q56" s="922"/>
      <c r="R56" s="922"/>
      <c r="S56" s="1582"/>
      <c r="T56" s="1582"/>
      <c r="U56" s="923">
        <f>F56&gt;0</f>
        <v>1</v>
      </c>
      <c r="V56" s="1582"/>
      <c r="W56" s="1582"/>
      <c r="X56" s="1582"/>
      <c r="Y56" s="1582"/>
      <c r="Z56" s="1582"/>
      <c r="AA56" s="220"/>
      <c r="AB56" s="347"/>
      <c r="AC56" s="348" t="s">
        <v>499</v>
      </c>
      <c r="AD56" s="349"/>
      <c r="AE56" s="379"/>
      <c r="AF56" s="379"/>
      <c r="AG56" s="379"/>
      <c r="AH56" s="379"/>
      <c r="AI56" s="379"/>
      <c r="AJ56" s="379"/>
      <c r="AK56" s="379"/>
      <c r="AL56" s="379"/>
      <c r="AM56" s="379"/>
      <c r="AN56" s="379"/>
      <c r="AO56" s="379"/>
      <c r="AP56" s="379"/>
      <c r="AQ56" s="379"/>
      <c r="AR56" s="379"/>
      <c r="AS56" s="379"/>
      <c r="AT56" s="379"/>
      <c r="AU56" s="379"/>
      <c r="AV56" s="379"/>
      <c r="AW56" s="379"/>
      <c r="AX56" s="379"/>
      <c r="AY56" s="220"/>
      <c r="AZ56" s="220"/>
      <c r="BA56" s="1215"/>
      <c r="BB56" s="1215"/>
      <c r="BC56" s="1215"/>
      <c r="BD56" s="1165"/>
      <c r="BE56" s="1165"/>
    </row>
    <row s="1632" customFormat="1" customHeight="1" ht="16.5">
      <c r="A57" s="1186"/>
      <c r="B57" s="927"/>
      <c r="C57" s="1582"/>
      <c r="D57" s="1582"/>
      <c r="E57" s="797">
        <v>17.1</v>
      </c>
      <c r="F57" s="922" cm="1" t="str">
        <f t="array" ref="F57:F57">OFFSET(G57,-1,-1)</f>
        <v>1</v>
      </c>
      <c r="G57" s="922" t="s">
        <v>500</v>
      </c>
      <c r="H57" s="175" t="s">
        <v>501</v>
      </c>
      <c r="I57" s="1582"/>
      <c r="J57" s="1582"/>
      <c r="K57" s="1582"/>
      <c r="L57" s="1582"/>
      <c r="M57" s="1582"/>
      <c r="N57" s="1582"/>
      <c r="O57" s="1582"/>
      <c r="P57" s="1582"/>
      <c r="Q57" s="922"/>
      <c r="R57" s="922"/>
      <c r="S57" s="1582"/>
      <c r="T57" s="1582"/>
      <c r="U57" s="1059">
        <f>AND(F57&gt;0,method_reg&lt;&gt;"Метод экономически обоснованных расходов")</f>
        <v>1</v>
      </c>
      <c r="V57" s="1582"/>
      <c r="W57" s="1582"/>
      <c r="X57" s="1582"/>
      <c r="Y57" s="1582"/>
      <c r="Z57" s="1582"/>
      <c r="AA57" s="220"/>
      <c r="AB57" s="206">
        <v>1</v>
      </c>
      <c r="AC57" s="207" t="s">
        <v>502</v>
      </c>
      <c r="AD57" s="209" t="s">
        <v>498</v>
      </c>
      <c r="AE57" s="1700">
        <v>1</v>
      </c>
      <c r="AF57" s="1700">
        <v>1</v>
      </c>
      <c r="AG57" s="1700">
        <v>1</v>
      </c>
      <c r="AH57" s="1700">
        <v>1</v>
      </c>
      <c r="AI57" s="1700">
        <v>1</v>
      </c>
      <c r="AJ57" s="1700">
        <v>1</v>
      </c>
      <c r="AK57" s="1700">
        <v>1</v>
      </c>
      <c r="AL57" s="1700">
        <v>1</v>
      </c>
      <c r="AM57" s="1700">
        <v>1</v>
      </c>
      <c r="AN57" s="1700">
        <v>1</v>
      </c>
      <c r="AO57" s="1700">
        <v>1</v>
      </c>
      <c r="AP57" s="1700">
        <v>1</v>
      </c>
      <c r="AQ57" s="1700">
        <v>1</v>
      </c>
      <c r="AR57" s="1700">
        <v>1</v>
      </c>
      <c r="AS57" s="1700">
        <v>1</v>
      </c>
      <c r="AT57" s="1700">
        <v>1</v>
      </c>
      <c r="AU57" s="1700">
        <v>1</v>
      </c>
      <c r="AV57" s="1700">
        <v>1</v>
      </c>
      <c r="AW57" s="1700">
        <v>1</v>
      </c>
      <c r="AX57" s="1700">
        <v>1</v>
      </c>
      <c r="AY57" s="220"/>
      <c r="AZ57" s="220"/>
      <c r="BA57" s="1161" t="s">
        <v>503</v>
      </c>
      <c r="BB57" s="1215"/>
      <c r="BC57" s="1215"/>
      <c r="BD57" s="1165"/>
      <c r="BE57" s="1165"/>
    </row>
    <row s="1632" customFormat="1" customHeight="1" ht="29.25">
      <c r="A58" s="1186"/>
      <c r="B58" s="927"/>
      <c r="C58" s="1582"/>
      <c r="D58" s="1582"/>
      <c r="E58" s="797">
        <v>30</v>
      </c>
      <c r="F58" s="922" cm="1" t="str">
        <f t="array" ref="F58:F58">OFFSET(G58,-1,-1)</f>
        <v>1</v>
      </c>
      <c r="G58" s="1582"/>
      <c r="H58" s="175" t="s">
        <v>504</v>
      </c>
      <c r="I58" s="1582"/>
      <c r="J58" s="1582"/>
      <c r="K58" s="1582"/>
      <c r="L58" s="1582"/>
      <c r="M58" s="1582"/>
      <c r="N58" s="1582"/>
      <c r="O58" s="1582"/>
      <c r="P58" s="1582"/>
      <c r="Q58" s="922"/>
      <c r="R58" s="922"/>
      <c r="S58" s="1582"/>
      <c r="T58" s="1582"/>
      <c r="U58" s="1059">
        <f>AND(F58&gt;0,method_reg&lt;&gt;"Метод экономически обоснованных расходов")</f>
        <v>1</v>
      </c>
      <c r="V58" s="1582"/>
      <c r="W58" s="1582"/>
      <c r="X58" s="1582"/>
      <c r="Y58" s="1582"/>
      <c r="Z58" s="1582"/>
      <c r="AA58" s="220"/>
      <c r="AB58" s="837" t="s">
        <v>426</v>
      </c>
      <c r="AC58" s="838" t="s">
        <v>505</v>
      </c>
      <c r="AD58" s="839"/>
      <c r="AE58" s="68"/>
      <c r="AF58" s="68"/>
      <c r="AG58" s="68"/>
      <c r="AH58" s="68"/>
      <c r="AI58" s="68"/>
      <c r="AJ58" s="68"/>
      <c r="AK58" s="68"/>
      <c r="AL58" s="68"/>
      <c r="AM58" s="68"/>
      <c r="AN58" s="68"/>
      <c r="AO58" s="68"/>
      <c r="AP58" s="68"/>
      <c r="AQ58" s="68"/>
      <c r="AR58" s="68"/>
      <c r="AS58" s="68"/>
      <c r="AT58" s="68"/>
      <c r="AU58" s="68"/>
      <c r="AV58" s="68"/>
      <c r="AW58" s="68"/>
      <c r="AX58" s="68"/>
      <c r="AY58" s="220"/>
      <c r="AZ58" s="220"/>
      <c r="BA58" s="1215"/>
      <c r="BB58" s="1215"/>
      <c r="BC58" s="1215"/>
      <c r="BD58" s="1165"/>
      <c r="BE58" s="1165"/>
    </row>
    <row s="1632" customFormat="1" customHeight="1" ht="17.25" hidden="1">
      <c r="A59" s="1186"/>
      <c r="B59" s="927"/>
      <c r="C59" s="1582"/>
      <c r="D59" s="1582"/>
      <c r="E59" s="797">
        <v>0</v>
      </c>
      <c r="F59" s="922" cm="1" t="str">
        <f t="array" ref="F59:F59">OFFSET(G59,-1,-1)</f>
        <v>1</v>
      </c>
      <c r="G59" s="1582"/>
      <c r="H59" s="1582"/>
      <c r="I59" s="1582"/>
      <c r="J59" s="1582"/>
      <c r="K59" s="1582"/>
      <c r="L59" s="1582"/>
      <c r="M59" s="1582"/>
      <c r="N59" s="1582"/>
      <c r="O59" s="1582"/>
      <c r="P59" s="1582"/>
      <c r="Q59" s="922"/>
      <c r="R59" s="922"/>
      <c r="S59" s="1582"/>
      <c r="T59" s="1582"/>
      <c r="U59" s="1059">
        <f>AND(F59&gt;0,method_reg&lt;&gt;"Метод экономически обоснованных расходов")</f>
        <v>1</v>
      </c>
      <c r="V59" s="1582"/>
      <c r="W59" s="1582"/>
      <c r="X59" s="1582"/>
      <c r="Y59" s="1582"/>
      <c r="Z59" s="1582"/>
      <c r="AA59" s="220"/>
      <c r="AB59" s="840"/>
      <c r="AC59" s="838"/>
      <c r="AD59" s="839"/>
      <c r="AE59" s="68"/>
      <c r="AF59" s="68"/>
      <c r="AG59" s="68"/>
      <c r="AH59" s="68"/>
      <c r="AI59" s="68"/>
      <c r="AJ59" s="68"/>
      <c r="AK59" s="68"/>
      <c r="AL59" s="68"/>
      <c r="AM59" s="68"/>
      <c r="AN59" s="68"/>
      <c r="AO59" s="68"/>
      <c r="AP59" s="68"/>
      <c r="AQ59" s="68"/>
      <c r="AR59" s="68"/>
      <c r="AS59" s="68"/>
      <c r="AT59" s="68"/>
      <c r="AU59" s="68"/>
      <c r="AV59" s="68"/>
      <c r="AW59" s="68"/>
      <c r="AX59" s="68"/>
      <c r="AY59" s="220"/>
      <c r="AZ59" s="220"/>
      <c r="BA59" s="1215"/>
      <c r="BB59" s="1215"/>
      <c r="BC59" s="1215"/>
      <c r="BD59" s="1165"/>
      <c r="BE59" s="1165"/>
    </row>
    <row s="1632" customFormat="1" customHeight="1" ht="16.5" hidden="1">
      <c r="A60" s="1186"/>
      <c r="B60" s="927"/>
      <c r="C60" s="1582"/>
      <c r="D60" s="1582"/>
      <c r="E60" s="797">
        <v>17.1</v>
      </c>
      <c r="F60" s="922" cm="1" t="str">
        <f t="array" ref="F60:F60">OFFSET(G60,-1,-1)</f>
        <v>1</v>
      </c>
      <c r="G60" s="1582"/>
      <c r="H60" s="1582"/>
      <c r="I60" s="1582"/>
      <c r="J60" s="1582"/>
      <c r="K60" s="1582"/>
      <c r="L60" s="1582"/>
      <c r="M60" s="1582"/>
      <c r="N60" s="1582"/>
      <c r="O60" s="1582"/>
      <c r="P60" s="1582"/>
      <c r="Q60" s="922"/>
      <c r="R60" s="922"/>
      <c r="S60" s="1582"/>
      <c r="T60" s="1582"/>
      <c r="U60" s="1059">
        <f>AND(F60&gt;0,AB60&lt;&gt;"2.0",method_reg&lt;&gt;"Метод экономически обоснованных расходов")</f>
        <v>0</v>
      </c>
      <c r="V60" s="1582"/>
      <c r="W60" s="1582"/>
      <c r="X60" s="175" t="s">
        <v>234</v>
      </c>
      <c r="Y60" s="1582"/>
      <c r="Z60" s="1582"/>
      <c r="AA60" s="917" t="s">
        <v>218</v>
      </c>
      <c r="AB60" s="895" t="s">
        <v>506</v>
      </c>
      <c r="AC60" s="69"/>
      <c r="AD60" s="896" t="s">
        <v>498</v>
      </c>
      <c r="AE60" s="70"/>
      <c r="AF60" s="70"/>
      <c r="AG60" s="70"/>
      <c r="AH60" s="70"/>
      <c r="AI60" s="70"/>
      <c r="AJ60" s="70"/>
      <c r="AK60" s="70"/>
      <c r="AL60" s="70"/>
      <c r="AM60" s="70"/>
      <c r="AN60" s="70"/>
      <c r="AO60" s="1701"/>
      <c r="AP60" s="70"/>
      <c r="AQ60" s="70"/>
      <c r="AR60" s="70"/>
      <c r="AS60" s="70"/>
      <c r="AT60" s="70"/>
      <c r="AU60" s="70"/>
      <c r="AV60" s="70"/>
      <c r="AW60" s="70"/>
      <c r="AX60" s="70"/>
      <c r="AY60" s="220"/>
      <c r="AZ60" s="220"/>
      <c r="BA60" s="1161" t="s">
        <v>507</v>
      </c>
      <c r="BB60" s="1161" t="s">
        <v>508</v>
      </c>
      <c r="BC60" s="1161" cm="1" t="str">
        <f t="array" ref="BC60:BC60">AC60</f>
        <v>0</v>
      </c>
      <c r="BD60" s="1165"/>
      <c r="BE60" s="1165" t="b">
        <v>1</v>
      </c>
    </row>
    <row s="1632" customFormat="1" customHeight="1" ht="16.5">
      <c r="A61" s="1186"/>
      <c r="B61" s="927"/>
      <c r="C61" s="1582"/>
      <c r="D61" s="1582"/>
      <c r="E61" s="797">
        <v>17.1</v>
      </c>
      <c r="F61" s="922" cm="1" t="str">
        <f t="array" ref="F61:F61">OFFSET(G61,-1,-1)</f>
        <v>1</v>
      </c>
      <c r="G61" s="1582"/>
      <c r="H61" s="1582"/>
      <c r="I61" s="1582"/>
      <c r="J61" s="1582"/>
      <c r="K61" s="1582"/>
      <c r="L61" s="1582"/>
      <c r="M61" s="1582"/>
      <c r="N61" s="1582"/>
      <c r="O61" s="1582"/>
      <c r="P61" s="1582"/>
      <c r="Q61" s="922"/>
      <c r="R61" s="922"/>
      <c r="S61" s="1582"/>
      <c r="T61" s="1582"/>
      <c r="U61" s="1059">
        <f>AND(F61&gt;0,method_reg&lt;&gt;"Метод экономически обоснованных расходов")</f>
        <v>1</v>
      </c>
      <c r="V61" s="1582"/>
      <c r="W61" s="1582"/>
      <c r="X61" s="973" t="s">
        <v>509</v>
      </c>
      <c r="Y61" s="1582"/>
      <c r="Z61" s="1582"/>
      <c r="AA61" s="220"/>
      <c r="AB61" s="302"/>
      <c r="AC61" s="735" t="s">
        <v>236</v>
      </c>
      <c r="AD61" s="303"/>
      <c r="AE61" s="303"/>
      <c r="AF61" s="303"/>
      <c r="AG61" s="303"/>
      <c r="AH61" s="303"/>
      <c r="AI61" s="303"/>
      <c r="AJ61" s="303"/>
      <c r="AK61" s="303"/>
      <c r="AL61" s="303"/>
      <c r="AM61" s="303"/>
      <c r="AN61" s="303"/>
      <c r="AO61" s="303"/>
      <c r="AP61" s="303"/>
      <c r="AQ61" s="303"/>
      <c r="AR61" s="303"/>
      <c r="AS61" s="303"/>
      <c r="AT61" s="303"/>
      <c r="AU61" s="303"/>
      <c r="AV61" s="303"/>
      <c r="AW61" s="303"/>
      <c r="AX61" s="304"/>
      <c r="AY61" s="220"/>
      <c r="AZ61" s="220"/>
      <c r="BA61" s="1215"/>
      <c r="BB61" s="1215"/>
      <c r="BC61" s="1215"/>
      <c r="BD61" s="1165" t="s">
        <v>508</v>
      </c>
      <c r="BE61" s="1165"/>
    </row>
    <row s="1632" customFormat="1" customHeight="1" ht="16.5">
      <c r="A62" s="1186"/>
      <c r="B62" s="927"/>
      <c r="C62" s="1582"/>
      <c r="D62" s="1582"/>
      <c r="E62" s="797">
        <v>17.1</v>
      </c>
      <c r="F62" s="922" cm="1" t="str">
        <f t="array" ref="F62:F62">OFFSET(G62,-1,-1)</f>
        <v>1</v>
      </c>
      <c r="G62" s="922" t="s">
        <v>510</v>
      </c>
      <c r="H62" s="175" t="s">
        <v>511</v>
      </c>
      <c r="I62" s="1582"/>
      <c r="J62" s="1582"/>
      <c r="K62" s="1582"/>
      <c r="L62" s="1582"/>
      <c r="M62" s="1582"/>
      <c r="N62" s="1582"/>
      <c r="O62" s="1582"/>
      <c r="P62" s="1582"/>
      <c r="Q62" s="922"/>
      <c r="R62" s="922"/>
      <c r="S62" s="1582"/>
      <c r="T62" s="1582"/>
      <c r="U62" s="923">
        <f>F62&gt;0</f>
        <v>1</v>
      </c>
      <c r="V62" s="1582"/>
      <c r="W62" s="1582"/>
      <c r="X62" s="1582"/>
      <c r="Y62" s="1582"/>
      <c r="Z62" s="1582"/>
      <c r="AA62" s="220"/>
      <c r="AB62" s="897">
        <v>3</v>
      </c>
      <c r="AC62" s="898" t="s">
        <v>512</v>
      </c>
      <c r="AD62" s="899" t="s">
        <v>498</v>
      </c>
      <c r="AE62" s="1702"/>
      <c r="AF62" s="1702"/>
      <c r="AG62" s="1702"/>
      <c r="AH62" s="1702"/>
      <c r="AI62" s="1702"/>
      <c r="AJ62" s="1702"/>
      <c r="AK62" s="1702"/>
      <c r="AL62" s="1702"/>
      <c r="AM62" s="1702"/>
      <c r="AN62" s="1702"/>
      <c r="AO62" s="1702"/>
      <c r="AP62" s="1702"/>
      <c r="AQ62" s="1702"/>
      <c r="AR62" s="1702"/>
      <c r="AS62" s="1702"/>
      <c r="AT62" s="1702"/>
      <c r="AU62" s="1702"/>
      <c r="AV62" s="1702"/>
      <c r="AW62" s="1702"/>
      <c r="AX62" s="1702"/>
      <c r="AY62" s="220"/>
      <c r="AZ62" s="220"/>
      <c r="BA62" s="1161" t="s">
        <v>513</v>
      </c>
      <c r="BB62" s="1215"/>
      <c r="BC62" s="1215"/>
      <c r="BD62" s="1165"/>
      <c r="BE62" s="1165"/>
    </row>
    <row s="1632" customFormat="1" customHeight="1" ht="16.5">
      <c r="A63" s="1186"/>
      <c r="B63" s="927"/>
      <c r="C63" s="1582"/>
      <c r="D63" s="1582"/>
      <c r="E63" s="797">
        <v>17.1</v>
      </c>
      <c r="F63" s="922" cm="1" t="str">
        <f t="array" ref="F63:F63">OFFSET(G63,-1,-1)</f>
        <v>1</v>
      </c>
      <c r="G63" s="1582"/>
      <c r="H63" s="175" t="s">
        <v>514</v>
      </c>
      <c r="I63" s="1582"/>
      <c r="J63" s="1582"/>
      <c r="K63" s="1582"/>
      <c r="L63" s="1582"/>
      <c r="M63" s="1582"/>
      <c r="N63" s="1582"/>
      <c r="O63" s="1582"/>
      <c r="P63" s="1582"/>
      <c r="Q63" s="922"/>
      <c r="R63" s="922"/>
      <c r="S63" s="1582"/>
      <c r="T63" s="1582"/>
      <c r="U63" s="923">
        <f>F63&gt;0</f>
        <v>1</v>
      </c>
      <c r="V63" s="1582"/>
      <c r="W63" s="1582"/>
      <c r="X63" s="1582"/>
      <c r="Y63" s="1582"/>
      <c r="Z63" s="1582"/>
      <c r="AA63" s="220"/>
      <c r="AB63" s="835">
        <v>4</v>
      </c>
      <c r="AC63" s="842" t="s">
        <v>515</v>
      </c>
      <c r="AD63" s="843" t="s">
        <v>498</v>
      </c>
      <c r="AE63" s="1700"/>
      <c r="AF63" s="1700"/>
      <c r="AG63" s="1700"/>
      <c r="AH63" s="1700"/>
      <c r="AI63" s="1700"/>
      <c r="AJ63" s="1700"/>
      <c r="AK63" s="1700"/>
      <c r="AL63" s="1700"/>
      <c r="AM63" s="1700"/>
      <c r="AN63" s="1700"/>
      <c r="AO63" s="1700"/>
      <c r="AP63" s="1700"/>
      <c r="AQ63" s="1700"/>
      <c r="AR63" s="1700"/>
      <c r="AS63" s="1700"/>
      <c r="AT63" s="1700"/>
      <c r="AU63" s="1700"/>
      <c r="AV63" s="1700"/>
      <c r="AW63" s="1700"/>
      <c r="AX63" s="1700"/>
      <c r="AY63" s="220"/>
      <c r="AZ63" s="220"/>
      <c r="BA63" s="1161" t="s">
        <v>516</v>
      </c>
      <c r="BB63" s="1215"/>
      <c r="BC63" s="1215"/>
      <c r="BD63" s="1165"/>
      <c r="BE63" s="1165"/>
    </row>
    <row s="1632" customFormat="1" customHeight="1" ht="29.25">
      <c r="A64" s="1186"/>
      <c r="B64" s="927"/>
      <c r="C64" s="1582"/>
      <c r="D64" s="1582"/>
      <c r="E64" s="797">
        <v>30</v>
      </c>
      <c r="F64" s="922" cm="1" t="str">
        <f t="array" ref="F64:F64">OFFSET(G64,-1,-1)</f>
        <v>1</v>
      </c>
      <c r="G64" s="1582"/>
      <c r="H64" s="175" t="s">
        <v>517</v>
      </c>
      <c r="I64" s="1582"/>
      <c r="J64" s="1582"/>
      <c r="K64" s="1582"/>
      <c r="L64" s="1582"/>
      <c r="M64" s="1582"/>
      <c r="N64" s="1582"/>
      <c r="O64" s="1582"/>
      <c r="P64" s="1582"/>
      <c r="Q64" s="922"/>
      <c r="R64" s="922"/>
      <c r="S64" s="1582"/>
      <c r="T64" s="1582"/>
      <c r="U64" s="923">
        <f>F64&gt;0</f>
        <v>1</v>
      </c>
      <c r="V64" s="1582"/>
      <c r="W64" s="1582"/>
      <c r="X64" s="1582"/>
      <c r="Y64" s="1582"/>
      <c r="Z64" s="1582"/>
      <c r="AA64" s="220"/>
      <c r="AB64" s="835">
        <v>5</v>
      </c>
      <c r="AC64" s="844" t="s">
        <v>518</v>
      </c>
      <c r="AD64" s="843" t="s">
        <v>498</v>
      </c>
      <c r="AE64" s="1700"/>
      <c r="AF64" s="1700"/>
      <c r="AG64" s="1700"/>
      <c r="AH64" s="1700"/>
      <c r="AI64" s="1700"/>
      <c r="AJ64" s="1700"/>
      <c r="AK64" s="1700"/>
      <c r="AL64" s="1700"/>
      <c r="AM64" s="1700"/>
      <c r="AN64" s="1700"/>
      <c r="AO64" s="1700"/>
      <c r="AP64" s="1700"/>
      <c r="AQ64" s="1700"/>
      <c r="AR64" s="1700"/>
      <c r="AS64" s="1700"/>
      <c r="AT64" s="1700"/>
      <c r="AU64" s="1700"/>
      <c r="AV64" s="1700"/>
      <c r="AW64" s="1700"/>
      <c r="AX64" s="1700"/>
      <c r="AY64" s="220"/>
      <c r="AZ64" s="220"/>
      <c r="BA64" s="1161" t="s">
        <v>519</v>
      </c>
      <c r="BB64" s="1215"/>
      <c r="BC64" s="1215"/>
      <c r="BD64" s="1165"/>
      <c r="BE64" s="1165"/>
    </row>
    <row s="1632" customFormat="1" customHeight="1" ht="16.5">
      <c r="A65" s="1186"/>
      <c r="B65" s="927"/>
      <c r="C65" s="1582"/>
      <c r="D65" s="1582"/>
      <c r="E65" s="797">
        <v>17.1</v>
      </c>
      <c r="F65" s="922" cm="1" t="str">
        <f t="array" ref="F65:F65">OFFSET(G65,-1,-1)</f>
        <v>1</v>
      </c>
      <c r="G65" s="1582"/>
      <c r="H65" s="175" t="s">
        <v>520</v>
      </c>
      <c r="I65" s="1582"/>
      <c r="J65" s="1582"/>
      <c r="K65" s="1582"/>
      <c r="L65" s="1582"/>
      <c r="M65" s="1582"/>
      <c r="N65" s="1582"/>
      <c r="O65" s="1582"/>
      <c r="P65" s="1582"/>
      <c r="Q65" s="922"/>
      <c r="R65" s="922"/>
      <c r="S65" s="1582"/>
      <c r="T65" s="1582"/>
      <c r="U65" s="923">
        <f>F65&gt;0</f>
        <v>1</v>
      </c>
      <c r="V65" s="1582"/>
      <c r="W65" s="1582"/>
      <c r="X65" s="1582"/>
      <c r="Y65" s="1582"/>
      <c r="Z65" s="1582"/>
      <c r="AA65" s="220"/>
      <c r="AB65" s="835">
        <v>6</v>
      </c>
      <c r="AC65" s="844" t="s">
        <v>521</v>
      </c>
      <c r="AD65" s="843" t="s">
        <v>498</v>
      </c>
      <c r="AE65" s="1700"/>
      <c r="AF65" s="1700"/>
      <c r="AG65" s="1700"/>
      <c r="AH65" s="1700"/>
      <c r="AI65" s="1700"/>
      <c r="AJ65" s="1700"/>
      <c r="AK65" s="1700"/>
      <c r="AL65" s="1700"/>
      <c r="AM65" s="1700"/>
      <c r="AN65" s="1700"/>
      <c r="AO65" s="1700"/>
      <c r="AP65" s="1700"/>
      <c r="AQ65" s="1700"/>
      <c r="AR65" s="1700"/>
      <c r="AS65" s="1700"/>
      <c r="AT65" s="1700"/>
      <c r="AU65" s="1700"/>
      <c r="AV65" s="1700"/>
      <c r="AW65" s="1700"/>
      <c r="AX65" s="1700"/>
      <c r="AY65" s="220"/>
      <c r="AZ65" s="220"/>
      <c r="BA65" s="1161" t="s">
        <v>522</v>
      </c>
      <c r="BB65" s="1215"/>
      <c r="BC65" s="1215"/>
      <c r="BD65" s="1165"/>
      <c r="BE65" s="1165"/>
    </row>
    <row s="1632" customFormat="1" customHeight="1" ht="16.5">
      <c r="A66" s="1186"/>
      <c r="B66" s="927"/>
      <c r="C66" s="1582"/>
      <c r="D66" s="1582"/>
      <c r="E66" s="797">
        <v>17.1</v>
      </c>
      <c r="F66" s="922" cm="1" t="str">
        <f t="array" ref="F66:F66">OFFSET(G66,-1,-1)</f>
        <v>1</v>
      </c>
      <c r="G66" s="1582"/>
      <c r="H66" s="175" t="s">
        <v>523</v>
      </c>
      <c r="I66" s="1582"/>
      <c r="J66" s="1582"/>
      <c r="K66" s="1582"/>
      <c r="L66" s="1582"/>
      <c r="M66" s="1582"/>
      <c r="N66" s="1582"/>
      <c r="O66" s="1582"/>
      <c r="P66" s="1582"/>
      <c r="Q66" s="922"/>
      <c r="R66" s="922"/>
      <c r="S66" s="1582"/>
      <c r="T66" s="1582"/>
      <c r="U66" s="923">
        <f>F66&gt;0</f>
        <v>1</v>
      </c>
      <c r="V66" s="1582"/>
      <c r="W66" s="1582"/>
      <c r="X66" s="1582"/>
      <c r="Y66" s="1582"/>
      <c r="Z66" s="1582"/>
      <c r="AA66" s="220"/>
      <c r="AB66" s="835">
        <v>7</v>
      </c>
      <c r="AC66" s="844" t="s">
        <v>524</v>
      </c>
      <c r="AD66" s="843" t="s">
        <v>498</v>
      </c>
      <c r="AE66" s="1700"/>
      <c r="AF66" s="1700"/>
      <c r="AG66" s="1700"/>
      <c r="AH66" s="1700"/>
      <c r="AI66" s="1700"/>
      <c r="AJ66" s="1700"/>
      <c r="AK66" s="1700"/>
      <c r="AL66" s="1700"/>
      <c r="AM66" s="1700"/>
      <c r="AN66" s="1700"/>
      <c r="AO66" s="1700"/>
      <c r="AP66" s="1700"/>
      <c r="AQ66" s="1700"/>
      <c r="AR66" s="1700"/>
      <c r="AS66" s="1700"/>
      <c r="AT66" s="1700"/>
      <c r="AU66" s="1700"/>
      <c r="AV66" s="1700"/>
      <c r="AW66" s="1700"/>
      <c r="AX66" s="1700"/>
      <c r="AY66" s="220"/>
      <c r="AZ66" s="220"/>
      <c r="BA66" s="1161" t="s">
        <v>525</v>
      </c>
      <c r="BB66" s="1215"/>
      <c r="BC66" s="1215"/>
      <c r="BD66" s="1165"/>
      <c r="BE66" s="1165"/>
    </row>
    <row s="1632" customFormat="1" customHeight="1" ht="16.5">
      <c r="A67" s="1186"/>
      <c r="B67" s="927"/>
      <c r="C67" s="1582"/>
      <c r="D67" s="1582"/>
      <c r="E67" s="797">
        <v>17.1</v>
      </c>
      <c r="F67" s="922" cm="1" t="str">
        <f t="array" ref="F67:F67">OFFSET(G67,-1,-1)</f>
        <v>1</v>
      </c>
      <c r="G67" s="1582"/>
      <c r="H67" s="175" t="s">
        <v>526</v>
      </c>
      <c r="I67" s="1582"/>
      <c r="J67" s="1582"/>
      <c r="K67" s="1582"/>
      <c r="L67" s="1582"/>
      <c r="M67" s="1582"/>
      <c r="N67" s="1582"/>
      <c r="O67" s="1582"/>
      <c r="P67" s="1582"/>
      <c r="Q67" s="922"/>
      <c r="R67" s="922"/>
      <c r="S67" s="1582"/>
      <c r="T67" s="1582"/>
      <c r="U67" s="923">
        <f>F67&gt;0</f>
        <v>1</v>
      </c>
      <c r="V67" s="1582"/>
      <c r="W67" s="1582"/>
      <c r="X67" s="1582"/>
      <c r="Y67" s="1582"/>
      <c r="Z67" s="1582"/>
      <c r="AA67" s="220"/>
      <c r="AB67" s="835">
        <v>8</v>
      </c>
      <c r="AC67" s="844" t="s">
        <v>527</v>
      </c>
      <c r="AD67" s="843" t="s">
        <v>498</v>
      </c>
      <c r="AE67" s="1700"/>
      <c r="AF67" s="1700"/>
      <c r="AG67" s="1700"/>
      <c r="AH67" s="1700"/>
      <c r="AI67" s="1700"/>
      <c r="AJ67" s="1700"/>
      <c r="AK67" s="1700"/>
      <c r="AL67" s="1700"/>
      <c r="AM67" s="1700"/>
      <c r="AN67" s="1700"/>
      <c r="AO67" s="1700"/>
      <c r="AP67" s="1700"/>
      <c r="AQ67" s="1700"/>
      <c r="AR67" s="1700"/>
      <c r="AS67" s="1700"/>
      <c r="AT67" s="1700"/>
      <c r="AU67" s="1700"/>
      <c r="AV67" s="1700"/>
      <c r="AW67" s="1700"/>
      <c r="AX67" s="1700"/>
      <c r="AY67" s="220"/>
      <c r="AZ67" s="220"/>
      <c r="BA67" s="1161" t="s">
        <v>528</v>
      </c>
      <c r="BB67" s="1215"/>
      <c r="BC67" s="1215"/>
      <c r="BD67" s="1165"/>
      <c r="BE67" s="1165"/>
    </row>
    <row s="1632" customFormat="1" customHeight="1" ht="16.5">
      <c r="A68" s="1186"/>
      <c r="B68" s="927"/>
      <c r="C68" s="1582"/>
      <c r="D68" s="1582"/>
      <c r="E68" s="797">
        <v>17.1</v>
      </c>
      <c r="F68" s="922" cm="1" t="str">
        <f t="array" ref="F68:F68">OFFSET(G68,-1,-1)</f>
        <v>1</v>
      </c>
      <c r="G68" s="1582"/>
      <c r="H68" s="175" t="s">
        <v>529</v>
      </c>
      <c r="I68" s="1582"/>
      <c r="J68" s="1582"/>
      <c r="K68" s="1582"/>
      <c r="L68" s="1582"/>
      <c r="M68" s="1582"/>
      <c r="N68" s="1582"/>
      <c r="O68" s="1582"/>
      <c r="P68" s="1582"/>
      <c r="Q68" s="922"/>
      <c r="R68" s="922"/>
      <c r="S68" s="1582"/>
      <c r="T68" s="1582"/>
      <c r="U68" s="923">
        <f>F68&gt;0</f>
        <v>1</v>
      </c>
      <c r="V68" s="1582"/>
      <c r="W68" s="1582"/>
      <c r="X68" s="1582"/>
      <c r="Y68" s="1582"/>
      <c r="Z68" s="1582"/>
      <c r="AA68" s="220"/>
      <c r="AB68" s="835">
        <v>9</v>
      </c>
      <c r="AC68" s="844" t="s">
        <v>530</v>
      </c>
      <c r="AD68" s="172" t="s">
        <v>531</v>
      </c>
      <c r="AE68" s="1700">
        <f>7900</f>
        <v>7900</v>
      </c>
      <c r="AF68" s="1700">
        <f>7900</f>
        <v>7900</v>
      </c>
      <c r="AG68" s="1700">
        <f>7900</f>
        <v>7900</v>
      </c>
      <c r="AH68" s="1700">
        <f>7900</f>
        <v>7900</v>
      </c>
      <c r="AI68" s="1700">
        <f>7900</f>
        <v>7900</v>
      </c>
      <c r="AJ68" s="1700">
        <f>7900</f>
        <v>7900</v>
      </c>
      <c r="AK68" s="1700">
        <f>7900</f>
        <v>7900</v>
      </c>
      <c r="AL68" s="1700">
        <f>7900</f>
        <v>7900</v>
      </c>
      <c r="AM68" s="1700">
        <f>7900</f>
        <v>7900</v>
      </c>
      <c r="AN68" s="1700">
        <f>7900</f>
        <v>7900</v>
      </c>
      <c r="AO68" s="1700">
        <f>7900</f>
        <v>7900</v>
      </c>
      <c r="AP68" s="1700">
        <f>7900</f>
        <v>7900</v>
      </c>
      <c r="AQ68" s="1700">
        <f>7900</f>
        <v>7900</v>
      </c>
      <c r="AR68" s="1700">
        <f>7900</f>
        <v>7900</v>
      </c>
      <c r="AS68" s="1700">
        <f>7900</f>
        <v>7900</v>
      </c>
      <c r="AT68" s="1700">
        <f>7900</f>
        <v>7900</v>
      </c>
      <c r="AU68" s="1700">
        <f>7900</f>
        <v>7900</v>
      </c>
      <c r="AV68" s="1700">
        <f>7900</f>
        <v>7900</v>
      </c>
      <c r="AW68" s="1700">
        <f>7900</f>
        <v>7900</v>
      </c>
      <c r="AX68" s="1700">
        <f>7900</f>
        <v>7900</v>
      </c>
      <c r="AY68" s="220"/>
      <c r="AZ68" s="220"/>
      <c r="BA68" s="1161" t="s">
        <v>532</v>
      </c>
      <c r="BB68" s="1215"/>
      <c r="BC68" s="1215"/>
      <c r="BD68" s="1165"/>
      <c r="BE68" s="1165"/>
    </row>
    <row s="1632" customFormat="1" customHeight="1" ht="16.5">
      <c r="A69" s="1186"/>
      <c r="B69" s="927"/>
      <c r="C69" s="1582"/>
      <c r="D69" s="1582"/>
      <c r="E69" s="797">
        <v>17.1</v>
      </c>
      <c r="F69" s="922" cm="1" t="str">
        <f t="array" ref="F69:F69">OFFSET(G69,-1,-1)</f>
        <v>1</v>
      </c>
      <c r="G69" s="1582"/>
      <c r="H69" s="175" t="s">
        <v>533</v>
      </c>
      <c r="I69" s="1582"/>
      <c r="J69" s="1582"/>
      <c r="K69" s="1582"/>
      <c r="L69" s="1582"/>
      <c r="M69" s="1582"/>
      <c r="N69" s="1582"/>
      <c r="O69" s="1582"/>
      <c r="P69" s="1582"/>
      <c r="Q69" s="922"/>
      <c r="R69" s="922"/>
      <c r="S69" s="1582"/>
      <c r="T69" s="1582"/>
      <c r="U69" s="923">
        <f>F69&gt;0</f>
        <v>1</v>
      </c>
      <c r="V69" s="1582"/>
      <c r="W69" s="1582"/>
      <c r="X69" s="1582"/>
      <c r="Y69" s="1582"/>
      <c r="Z69" s="1582"/>
      <c r="AA69" s="220"/>
      <c r="AB69" s="835">
        <v>10</v>
      </c>
      <c r="AC69" s="844" t="s">
        <v>534</v>
      </c>
      <c r="AD69" s="172" t="s">
        <v>535</v>
      </c>
      <c r="AE69" s="1700"/>
      <c r="AF69" s="1700"/>
      <c r="AG69" s="1700"/>
      <c r="AH69" s="1700"/>
      <c r="AI69" s="1700"/>
      <c r="AJ69" s="1700"/>
      <c r="AK69" s="1700"/>
      <c r="AL69" s="1700"/>
      <c r="AM69" s="1700"/>
      <c r="AN69" s="1700"/>
      <c r="AO69" s="1700"/>
      <c r="AP69" s="1700"/>
      <c r="AQ69" s="1700"/>
      <c r="AR69" s="1700"/>
      <c r="AS69" s="1700"/>
      <c r="AT69" s="1700"/>
      <c r="AU69" s="1700"/>
      <c r="AV69" s="1700"/>
      <c r="AW69" s="1700"/>
      <c r="AX69" s="1700"/>
      <c r="AY69" s="220"/>
      <c r="AZ69" s="220"/>
      <c r="BA69" s="1161" t="s">
        <v>536</v>
      </c>
      <c r="BB69" s="1215"/>
      <c r="BC69" s="1215"/>
      <c r="BD69" s="1165"/>
      <c r="BE69" s="1165"/>
    </row>
    <row s="1632" customFormat="1" customHeight="1" ht="16.5">
      <c r="A70" s="1186"/>
      <c r="B70" s="927"/>
      <c r="C70" s="1582"/>
      <c r="D70" s="1582"/>
      <c r="E70" s="797">
        <v>17.1</v>
      </c>
      <c r="F70" s="922" cm="1" t="str">
        <f t="array" ref="F70:F70">OFFSET(G70,-1,-1)</f>
        <v>1</v>
      </c>
      <c r="G70" s="1582"/>
      <c r="H70" s="175" t="s">
        <v>537</v>
      </c>
      <c r="I70" s="1582"/>
      <c r="J70" s="1582"/>
      <c r="K70" s="1582"/>
      <c r="L70" s="1582"/>
      <c r="M70" s="1582"/>
      <c r="N70" s="1582"/>
      <c r="O70" s="1582"/>
      <c r="P70" s="1582"/>
      <c r="Q70" s="922"/>
      <c r="R70" s="922"/>
      <c r="S70" s="1582"/>
      <c r="T70" s="1582"/>
      <c r="U70" s="923">
        <f>F70&gt;0</f>
        <v>1</v>
      </c>
      <c r="V70" s="1582"/>
      <c r="W70" s="1582"/>
      <c r="X70" s="1582"/>
      <c r="Y70" s="1582"/>
      <c r="Z70" s="1582"/>
      <c r="AA70" s="220"/>
      <c r="AB70" s="835">
        <v>11</v>
      </c>
      <c r="AC70" s="844" t="s">
        <v>538</v>
      </c>
      <c r="AD70" s="172" t="s">
        <v>539</v>
      </c>
      <c r="AE70" s="1700">
        <f>7000</f>
        <v>7000</v>
      </c>
      <c r="AF70" s="1700">
        <f>7000</f>
        <v>7000</v>
      </c>
      <c r="AG70" s="1700">
        <f>7000</f>
        <v>7000</v>
      </c>
      <c r="AH70" s="1700">
        <f>7000</f>
        <v>7000</v>
      </c>
      <c r="AI70" s="1700">
        <f>7000</f>
        <v>7000</v>
      </c>
      <c r="AJ70" s="1700">
        <f>7000</f>
        <v>7000</v>
      </c>
      <c r="AK70" s="1700">
        <f>7000</f>
        <v>7000</v>
      </c>
      <c r="AL70" s="1700">
        <f>7000</f>
        <v>7000</v>
      </c>
      <c r="AM70" s="1700">
        <f>7000</f>
        <v>7000</v>
      </c>
      <c r="AN70" s="1700">
        <f>7000</f>
        <v>7000</v>
      </c>
      <c r="AO70" s="1700">
        <f>7000</f>
        <v>7000</v>
      </c>
      <c r="AP70" s="1700">
        <f>7000</f>
        <v>7000</v>
      </c>
      <c r="AQ70" s="1700">
        <f>7000</f>
        <v>7000</v>
      </c>
      <c r="AR70" s="1700">
        <f>7000</f>
        <v>7000</v>
      </c>
      <c r="AS70" s="1700">
        <f>7000</f>
        <v>7000</v>
      </c>
      <c r="AT70" s="1700">
        <f>7000</f>
        <v>7000</v>
      </c>
      <c r="AU70" s="1700">
        <f>7000</f>
        <v>7000</v>
      </c>
      <c r="AV70" s="1700">
        <f>7000</f>
        <v>7000</v>
      </c>
      <c r="AW70" s="1700">
        <f>7000</f>
        <v>7000</v>
      </c>
      <c r="AX70" s="1700">
        <f>7000</f>
        <v>7000</v>
      </c>
      <c r="AY70" s="220"/>
      <c r="AZ70" s="220"/>
      <c r="BA70" s="1161" t="s">
        <v>540</v>
      </c>
      <c r="BB70" s="1215"/>
      <c r="BC70" s="1215"/>
      <c r="BD70" s="1165"/>
      <c r="BE70" s="1165"/>
    </row>
    <row s="1632" customFormat="1" customHeight="1" ht="16.5">
      <c r="A71" s="1186"/>
      <c r="B71" s="927"/>
      <c r="C71" s="1582"/>
      <c r="D71" s="1582"/>
      <c r="E71" s="797">
        <v>17.1</v>
      </c>
      <c r="F71" s="922" cm="1" t="str">
        <f t="array" ref="F71:F71">OFFSET(G71,-1,-1)</f>
        <v>1</v>
      </c>
      <c r="G71" s="1582"/>
      <c r="H71" s="175" t="s">
        <v>541</v>
      </c>
      <c r="I71" s="1582"/>
      <c r="J71" s="1582"/>
      <c r="K71" s="1582"/>
      <c r="L71" s="1582"/>
      <c r="M71" s="1582"/>
      <c r="N71" s="1582"/>
      <c r="O71" s="1582"/>
      <c r="P71" s="1582"/>
      <c r="Q71" s="922"/>
      <c r="R71" s="922"/>
      <c r="S71" s="1582"/>
      <c r="T71" s="1582"/>
      <c r="U71" s="923">
        <f>F71&gt;0</f>
        <v>1</v>
      </c>
      <c r="V71" s="1582"/>
      <c r="W71" s="1582"/>
      <c r="X71" s="1582"/>
      <c r="Y71" s="1582"/>
      <c r="Z71" s="1582"/>
      <c r="AA71" s="220"/>
      <c r="AB71" s="835">
        <v>12</v>
      </c>
      <c r="AC71" s="844" t="s">
        <v>542</v>
      </c>
      <c r="AD71" s="843" t="s">
        <v>498</v>
      </c>
      <c r="AE71" s="1700"/>
      <c r="AF71" s="1700"/>
      <c r="AG71" s="1700"/>
      <c r="AH71" s="1700"/>
      <c r="AI71" s="1700"/>
      <c r="AJ71" s="1700"/>
      <c r="AK71" s="1700"/>
      <c r="AL71" s="1700"/>
      <c r="AM71" s="1700"/>
      <c r="AN71" s="1700"/>
      <c r="AO71" s="1700"/>
      <c r="AP71" s="1700"/>
      <c r="AQ71" s="1700"/>
      <c r="AR71" s="1700"/>
      <c r="AS71" s="1700"/>
      <c r="AT71" s="1700"/>
      <c r="AU71" s="1700"/>
      <c r="AV71" s="1700"/>
      <c r="AW71" s="1700"/>
      <c r="AX71" s="1700"/>
      <c r="AY71" s="220"/>
      <c r="AZ71" s="220"/>
      <c r="BA71" s="1161" t="s">
        <v>543</v>
      </c>
      <c r="BB71" s="1215"/>
      <c r="BC71" s="1215"/>
      <c r="BD71" s="1165"/>
      <c r="BE71" s="1165"/>
    </row>
    <row s="1632" customFormat="1" customHeight="1" ht="16.5">
      <c r="A72" s="1186"/>
      <c r="B72" s="927"/>
      <c r="C72" s="1582"/>
      <c r="D72" s="1582"/>
      <c r="E72" s="797">
        <v>17.1</v>
      </c>
      <c r="F72" s="922" cm="1" t="str">
        <f t="array" ref="F72:F72">OFFSET(G72,-1,-1)</f>
        <v>1</v>
      </c>
      <c r="G72" s="1582"/>
      <c r="H72" s="175" t="s">
        <v>544</v>
      </c>
      <c r="I72" s="1582"/>
      <c r="J72" s="1582"/>
      <c r="K72" s="1582"/>
      <c r="L72" s="1582"/>
      <c r="M72" s="1582"/>
      <c r="N72" s="1582"/>
      <c r="O72" s="1582"/>
      <c r="P72" s="1582"/>
      <c r="Q72" s="922"/>
      <c r="R72" s="922"/>
      <c r="S72" s="1582"/>
      <c r="T72" s="1582"/>
      <c r="U72" s="923">
        <f>F72&gt;0</f>
        <v>1</v>
      </c>
      <c r="V72" s="1582"/>
      <c r="W72" s="1582"/>
      <c r="X72" s="1582"/>
      <c r="Y72" s="1582"/>
      <c r="Z72" s="1582"/>
      <c r="AA72" s="220"/>
      <c r="AB72" s="835">
        <v>13</v>
      </c>
      <c r="AC72" s="844" t="s">
        <v>545</v>
      </c>
      <c r="AD72" s="843" t="s">
        <v>498</v>
      </c>
      <c r="AE72" s="1700"/>
      <c r="AF72" s="1700"/>
      <c r="AG72" s="1700"/>
      <c r="AH72" s="1700"/>
      <c r="AI72" s="1700"/>
      <c r="AJ72" s="1700"/>
      <c r="AK72" s="1700"/>
      <c r="AL72" s="1700"/>
      <c r="AM72" s="1700"/>
      <c r="AN72" s="1700"/>
      <c r="AO72" s="1700"/>
      <c r="AP72" s="1700"/>
      <c r="AQ72" s="1700"/>
      <c r="AR72" s="1700"/>
      <c r="AS72" s="1700"/>
      <c r="AT72" s="1700"/>
      <c r="AU72" s="1700"/>
      <c r="AV72" s="1700"/>
      <c r="AW72" s="1700"/>
      <c r="AX72" s="1700"/>
      <c r="AY72" s="220"/>
      <c r="AZ72" s="220"/>
      <c r="BA72" s="1161" t="s">
        <v>546</v>
      </c>
      <c r="BB72" s="1215"/>
      <c r="BC72" s="1215"/>
      <c r="BD72" s="1165"/>
      <c r="BE72" s="1165"/>
    </row>
    <row s="1632" customFormat="1" customHeight="1" ht="16.5">
      <c r="A73" s="1186"/>
      <c r="B73" s="927"/>
      <c r="C73" s="1582"/>
      <c r="D73" s="1582"/>
      <c r="E73" s="797">
        <v>17.1</v>
      </c>
      <c r="F73" s="922" cm="1" t="str">
        <f t="array" ref="F73:F73">OFFSET(G73,-1,-1)</f>
        <v>1</v>
      </c>
      <c r="G73" s="1582"/>
      <c r="H73" s="175" t="s">
        <v>547</v>
      </c>
      <c r="I73" s="1582"/>
      <c r="J73" s="1582"/>
      <c r="K73" s="1582"/>
      <c r="L73" s="1582"/>
      <c r="M73" s="1582"/>
      <c r="N73" s="1582"/>
      <c r="O73" s="1582"/>
      <c r="P73" s="1582"/>
      <c r="Q73" s="922"/>
      <c r="R73" s="922"/>
      <c r="S73" s="1582"/>
      <c r="T73" s="1582"/>
      <c r="U73" s="923">
        <f>F73&gt;0</f>
        <v>1</v>
      </c>
      <c r="V73" s="1582"/>
      <c r="W73" s="1582"/>
      <c r="X73" s="1582"/>
      <c r="Y73" s="1582"/>
      <c r="Z73" s="1582"/>
      <c r="AA73" s="220"/>
      <c r="AB73" s="835">
        <v>14</v>
      </c>
      <c r="AC73" s="844" t="s">
        <v>548</v>
      </c>
      <c r="AD73" s="843" t="s">
        <v>498</v>
      </c>
      <c r="AE73" s="1700"/>
      <c r="AF73" s="1700"/>
      <c r="AG73" s="1700"/>
      <c r="AH73" s="1700"/>
      <c r="AI73" s="1700"/>
      <c r="AJ73" s="1700"/>
      <c r="AK73" s="1700"/>
      <c r="AL73" s="1700"/>
      <c r="AM73" s="1700"/>
      <c r="AN73" s="1700"/>
      <c r="AO73" s="1700"/>
      <c r="AP73" s="1700"/>
      <c r="AQ73" s="1700"/>
      <c r="AR73" s="1700"/>
      <c r="AS73" s="1700"/>
      <c r="AT73" s="1700"/>
      <c r="AU73" s="1700"/>
      <c r="AV73" s="1700"/>
      <c r="AW73" s="1700"/>
      <c r="AX73" s="1700"/>
      <c r="AY73" s="220"/>
      <c r="AZ73" s="220"/>
      <c r="BA73" s="1161" t="s">
        <v>549</v>
      </c>
      <c r="BB73" s="1215"/>
      <c r="BC73" s="1215"/>
      <c r="BD73" s="1165"/>
      <c r="BE73" s="1165"/>
    </row>
    <row s="1632" customFormat="1" customHeight="1" ht="16.5">
      <c r="A74" s="1186"/>
      <c r="B74" s="927"/>
      <c r="C74" s="1582"/>
      <c r="D74" s="1582"/>
      <c r="E74" s="797">
        <v>17.1</v>
      </c>
      <c r="F74" s="922" cm="1" t="str">
        <f t="array" ref="F74:F74">OFFSET(G74,-1,-1)</f>
        <v>1</v>
      </c>
      <c r="G74" s="1582"/>
      <c r="H74" s="175" t="s">
        <v>550</v>
      </c>
      <c r="I74" s="1582"/>
      <c r="J74" s="1582"/>
      <c r="K74" s="1582"/>
      <c r="L74" s="1582"/>
      <c r="M74" s="1582"/>
      <c r="N74" s="1582"/>
      <c r="O74" s="1582"/>
      <c r="P74" s="1582"/>
      <c r="Q74" s="922"/>
      <c r="R74" s="922"/>
      <c r="S74" s="1582"/>
      <c r="T74" s="1582"/>
      <c r="U74" s="923">
        <f>F74&gt;0</f>
        <v>1</v>
      </c>
      <c r="V74" s="1582"/>
      <c r="W74" s="1582"/>
      <c r="X74" s="1582"/>
      <c r="Y74" s="1582"/>
      <c r="Z74" s="1582"/>
      <c r="AA74" s="220"/>
      <c r="AB74" s="835">
        <v>15</v>
      </c>
      <c r="AC74" s="844" t="s">
        <v>551</v>
      </c>
      <c r="AD74" s="843" t="s">
        <v>498</v>
      </c>
      <c r="AE74" s="1700"/>
      <c r="AF74" s="1700"/>
      <c r="AG74" s="1700"/>
      <c r="AH74" s="1700"/>
      <c r="AI74" s="1700"/>
      <c r="AJ74" s="1700"/>
      <c r="AK74" s="1700"/>
      <c r="AL74" s="1700"/>
      <c r="AM74" s="1700"/>
      <c r="AN74" s="1700"/>
      <c r="AO74" s="1700"/>
      <c r="AP74" s="1700"/>
      <c r="AQ74" s="1700"/>
      <c r="AR74" s="1700"/>
      <c r="AS74" s="1700"/>
      <c r="AT74" s="1700"/>
      <c r="AU74" s="1700"/>
      <c r="AV74" s="1700"/>
      <c r="AW74" s="1700"/>
      <c r="AX74" s="1700"/>
      <c r="AY74" s="220"/>
      <c r="AZ74" s="220"/>
      <c r="BA74" s="1161" t="s">
        <v>552</v>
      </c>
      <c r="BB74" s="1215"/>
      <c r="BC74" s="1215"/>
      <c r="BD74" s="1165"/>
      <c r="BE74" s="1165"/>
    </row>
    <row s="1632" customFormat="1" customHeight="1" ht="16.5">
      <c r="A75" s="1186"/>
      <c r="B75" s="927"/>
      <c r="C75" s="1582"/>
      <c r="D75" s="1582"/>
      <c r="E75" s="797">
        <v>17.1</v>
      </c>
      <c r="F75" s="922" cm="1" t="str">
        <f t="array" ref="F75:F75">OFFSET(G75,-1,-1)</f>
        <v>1</v>
      </c>
      <c r="G75" s="922" t="s">
        <v>553</v>
      </c>
      <c r="H75" s="175" t="s">
        <v>554</v>
      </c>
      <c r="I75" s="1582"/>
      <c r="J75" s="1582"/>
      <c r="K75" s="1582"/>
      <c r="L75" s="1582"/>
      <c r="M75" s="1582"/>
      <c r="N75" s="1582"/>
      <c r="O75" s="1582"/>
      <c r="P75" s="1582"/>
      <c r="Q75" s="922"/>
      <c r="R75" s="922"/>
      <c r="S75" s="1582"/>
      <c r="T75" s="1582"/>
      <c r="U75" s="1059">
        <f>AND(F75&gt;0,method_reg&lt;&gt;"Метод экономически обоснованных расходов")</f>
        <v>1</v>
      </c>
      <c r="V75" s="1582"/>
      <c r="W75" s="1582"/>
      <c r="X75" s="1582"/>
      <c r="Y75" s="1582"/>
      <c r="Z75" s="1582"/>
      <c r="AA75" s="220"/>
      <c r="AB75" s="835">
        <v>16</v>
      </c>
      <c r="AC75" s="846" t="s">
        <v>555</v>
      </c>
      <c r="AD75" s="209"/>
      <c r="AE75" s="1700"/>
      <c r="AF75" s="1700"/>
      <c r="AG75" s="1700"/>
      <c r="AH75" s="1700"/>
      <c r="AI75" s="1700"/>
      <c r="AJ75" s="1700"/>
      <c r="AK75" s="1700"/>
      <c r="AL75" s="1700"/>
      <c r="AM75" s="1700"/>
      <c r="AN75" s="1700"/>
      <c r="AO75" s="1700"/>
      <c r="AP75" s="1700"/>
      <c r="AQ75" s="1700"/>
      <c r="AR75" s="1700"/>
      <c r="AS75" s="1700"/>
      <c r="AT75" s="1700"/>
      <c r="AU75" s="1700"/>
      <c r="AV75" s="1700"/>
      <c r="AW75" s="1700"/>
      <c r="AX75" s="1700"/>
      <c r="AY75" s="220"/>
      <c r="AZ75" s="220"/>
      <c r="BA75" s="1161" t="s">
        <v>556</v>
      </c>
      <c r="BB75" s="1215"/>
      <c r="BC75" s="1215"/>
      <c r="BD75" s="1165"/>
      <c r="BE75" s="1165"/>
    </row>
    <row s="1632" customFormat="1" customHeight="1" ht="29.25">
      <c r="A76" s="1186"/>
      <c r="B76" s="927"/>
      <c r="C76" s="1582"/>
      <c r="D76" s="1582"/>
      <c r="E76" s="797">
        <v>30</v>
      </c>
      <c r="F76" s="922" cm="1" t="str">
        <f t="array" ref="F76:F76">OFFSET(G76,-1,-1)</f>
        <v>1</v>
      </c>
      <c r="G76" s="922" t="s">
        <v>557</v>
      </c>
      <c r="H76" s="175" t="s">
        <v>558</v>
      </c>
      <c r="I76" s="1582"/>
      <c r="J76" s="1582"/>
      <c r="K76" s="1582"/>
      <c r="L76" s="1582"/>
      <c r="M76" s="1582"/>
      <c r="N76" s="1582"/>
      <c r="O76" s="1582"/>
      <c r="P76" s="1582"/>
      <c r="Q76" s="922"/>
      <c r="R76" s="922"/>
      <c r="S76" s="1582"/>
      <c r="T76" s="1582"/>
      <c r="U76" s="1059">
        <f>AND(F76&gt;0,method_reg&lt;&gt;"Метод экономически обоснованных расходов")</f>
        <v>1</v>
      </c>
      <c r="V76" s="1582"/>
      <c r="W76" s="1582"/>
      <c r="X76" s="1582"/>
      <c r="Y76" s="1582"/>
      <c r="Z76" s="1582"/>
      <c r="AA76" s="220"/>
      <c r="AB76" s="835">
        <v>17</v>
      </c>
      <c r="AC76" s="210" t="s">
        <v>559</v>
      </c>
      <c r="AD76" s="836"/>
      <c r="AE76" s="1700">
        <f>0.75</f>
        <v>0.75</v>
      </c>
      <c r="AF76" s="1700">
        <f>0.75</f>
        <v>0.75</v>
      </c>
      <c r="AG76" s="1700">
        <f>0.75</f>
        <v>0.75</v>
      </c>
      <c r="AH76" s="1700">
        <f>0.75</f>
        <v>0.75</v>
      </c>
      <c r="AI76" s="1700">
        <f>0.75</f>
        <v>0.75</v>
      </c>
      <c r="AJ76" s="1700">
        <f>0.75</f>
        <v>0.75</v>
      </c>
      <c r="AK76" s="1700">
        <f>0.75</f>
        <v>0.75</v>
      </c>
      <c r="AL76" s="1700">
        <f>0.75</f>
        <v>0.75</v>
      </c>
      <c r="AM76" s="1700">
        <f>0.75</f>
        <v>0.75</v>
      </c>
      <c r="AN76" s="1700">
        <f>0.75</f>
        <v>0.75</v>
      </c>
      <c r="AO76" s="1700">
        <f>0.75</f>
        <v>0.75</v>
      </c>
      <c r="AP76" s="1700">
        <f>0.75</f>
        <v>0.75</v>
      </c>
      <c r="AQ76" s="1700">
        <f>0.75</f>
        <v>0.75</v>
      </c>
      <c r="AR76" s="1700">
        <f>0.75</f>
        <v>0.75</v>
      </c>
      <c r="AS76" s="1700">
        <f>0.75</f>
        <v>0.75</v>
      </c>
      <c r="AT76" s="1700">
        <f>0.75</f>
        <v>0.75</v>
      </c>
      <c r="AU76" s="1700">
        <f>0.75</f>
        <v>0.75</v>
      </c>
      <c r="AV76" s="1700">
        <f>0.75</f>
        <v>0.75</v>
      </c>
      <c r="AW76" s="1700">
        <f>0.75</f>
        <v>0.75</v>
      </c>
      <c r="AX76" s="1700">
        <f>0.75</f>
        <v>0.75</v>
      </c>
      <c r="AY76" s="220"/>
      <c r="AZ76" s="220"/>
      <c r="BA76" s="1161" t="s">
        <v>560</v>
      </c>
      <c r="BB76" s="1215"/>
      <c r="BC76" s="1215"/>
      <c r="BD76" s="1165"/>
      <c r="BE76" s="1165"/>
    </row>
    <row s="1632" customFormat="1" customHeight="1" ht="16.5">
      <c r="A77" s="1186"/>
      <c r="B77" s="927"/>
      <c r="C77" s="1582"/>
      <c r="D77" s="1582"/>
      <c r="E77" s="797">
        <v>17.1</v>
      </c>
      <c r="F77" s="922" cm="1" t="str">
        <f t="array" ref="F77:F77">OFFSET(G77,-1,-1)</f>
        <v>1</v>
      </c>
      <c r="G77" s="1582"/>
      <c r="H77" s="1582"/>
      <c r="I77" s="1582"/>
      <c r="J77" s="1582"/>
      <c r="K77" s="1582"/>
      <c r="L77" s="1582"/>
      <c r="M77" s="1582"/>
      <c r="N77" s="1582"/>
      <c r="O77" s="1582"/>
      <c r="P77" s="1582"/>
      <c r="Q77" s="922"/>
      <c r="R77" s="922"/>
      <c r="S77" s="1582"/>
      <c r="T77" s="1582"/>
      <c r="U77" s="923">
        <f>F77&gt;0</f>
        <v>1</v>
      </c>
      <c r="V77" s="1582"/>
      <c r="W77" s="1582"/>
      <c r="X77" s="1582"/>
      <c r="Y77" s="1582"/>
      <c r="Z77" s="1582"/>
      <c r="AA77" s="220"/>
      <c r="AB77" s="1053" t="s">
        <v>561</v>
      </c>
      <c r="AC77" s="348" t="s">
        <v>562</v>
      </c>
      <c r="AD77" s="349"/>
      <c r="AE77" s="351"/>
      <c r="AF77" s="351"/>
      <c r="AG77" s="351"/>
      <c r="AH77" s="351"/>
      <c r="AI77" s="351"/>
      <c r="AJ77" s="351"/>
      <c r="AK77" s="351"/>
      <c r="AL77" s="351"/>
      <c r="AM77" s="351"/>
      <c r="AN77" s="351"/>
      <c r="AO77" s="351"/>
      <c r="AP77" s="351"/>
      <c r="AQ77" s="351"/>
      <c r="AR77" s="351"/>
      <c r="AS77" s="351"/>
      <c r="AT77" s="351"/>
      <c r="AU77" s="351"/>
      <c r="AV77" s="351"/>
      <c r="AW77" s="351"/>
      <c r="AX77" s="351"/>
      <c r="AY77" s="220"/>
      <c r="AZ77" s="220"/>
      <c r="BA77" s="1215"/>
      <c r="BB77" s="1215"/>
      <c r="BC77" s="1215"/>
      <c r="BD77" s="1165"/>
      <c r="BE77" s="1165"/>
    </row>
    <row s="1632" customFormat="1" customHeight="1" ht="16.5">
      <c r="A78" s="1186"/>
      <c r="B78" s="927"/>
      <c r="C78" s="1582"/>
      <c r="D78" s="1582"/>
      <c r="E78" s="797">
        <v>17.1</v>
      </c>
      <c r="F78" s="922" cm="1" t="str">
        <f t="array" ref="F78:F78">OFFSET(G78,-1,-1)</f>
        <v>1</v>
      </c>
      <c r="G78" s="922" t="s">
        <v>563</v>
      </c>
      <c r="H78" s="175" t="s">
        <v>564</v>
      </c>
      <c r="I78" s="1582"/>
      <c r="J78" s="1582"/>
      <c r="K78" s="1582"/>
      <c r="L78" s="1582"/>
      <c r="M78" s="1582"/>
      <c r="N78" s="1582"/>
      <c r="O78" s="1582"/>
      <c r="P78" s="1582"/>
      <c r="Q78" s="922"/>
      <c r="R78" s="922"/>
      <c r="S78" s="1582"/>
      <c r="T78" s="1582"/>
      <c r="U78" s="923">
        <f>F78&gt;0</f>
        <v>1</v>
      </c>
      <c r="V78" s="1582"/>
      <c r="W78" s="1582"/>
      <c r="X78" s="1582"/>
      <c r="Y78" s="1582"/>
      <c r="Z78" s="1582"/>
      <c r="AA78" s="220"/>
      <c r="AB78" s="480" t="s">
        <v>565</v>
      </c>
      <c r="AC78" s="208" t="s">
        <v>566</v>
      </c>
      <c r="AD78" s="209" t="s">
        <v>498</v>
      </c>
      <c r="AE78" s="1700"/>
      <c r="AF78" s="1700"/>
      <c r="AG78" s="1700"/>
      <c r="AH78" s="1700"/>
      <c r="AI78" s="1700"/>
      <c r="AJ78" s="1700"/>
      <c r="AK78" s="1700"/>
      <c r="AL78" s="1700"/>
      <c r="AM78" s="1700"/>
      <c r="AN78" s="1700"/>
      <c r="AO78" s="1700"/>
      <c r="AP78" s="1700"/>
      <c r="AQ78" s="1700"/>
      <c r="AR78" s="1700"/>
      <c r="AS78" s="1700"/>
      <c r="AT78" s="1700"/>
      <c r="AU78" s="1700"/>
      <c r="AV78" s="1700"/>
      <c r="AW78" s="1700"/>
      <c r="AX78" s="1700"/>
      <c r="AY78" s="220"/>
      <c r="AZ78" s="220"/>
      <c r="BA78" s="1161" t="s">
        <v>567</v>
      </c>
      <c r="BB78" s="1215"/>
      <c r="BC78" s="1215"/>
      <c r="BD78" s="1165"/>
      <c r="BE78" s="1165"/>
    </row>
    <row s="1632" customFormat="1" customHeight="1" ht="16.5">
      <c r="A79" s="1186"/>
      <c r="B79" s="927"/>
      <c r="C79" s="1582"/>
      <c r="D79" s="1582"/>
      <c r="E79" s="797">
        <v>17.1</v>
      </c>
      <c r="F79" s="922" cm="1" t="str">
        <f t="array" ref="F79:F79">OFFSET(G79,-1,-1)</f>
        <v>1</v>
      </c>
      <c r="G79" s="1582"/>
      <c r="H79" s="175" t="s">
        <v>568</v>
      </c>
      <c r="I79" s="1582"/>
      <c r="J79" s="1582"/>
      <c r="K79" s="1582"/>
      <c r="L79" s="1582"/>
      <c r="M79" s="1582"/>
      <c r="N79" s="1582"/>
      <c r="O79" s="1582"/>
      <c r="P79" s="1582"/>
      <c r="Q79" s="922"/>
      <c r="R79" s="922"/>
      <c r="S79" s="1582"/>
      <c r="T79" s="1582"/>
      <c r="U79" s="923">
        <f>F79&gt;0</f>
        <v>1</v>
      </c>
      <c r="V79" s="1582"/>
      <c r="W79" s="1582"/>
      <c r="X79" s="1582"/>
      <c r="Y79" s="1582"/>
      <c r="Z79" s="1582"/>
      <c r="AA79" s="220"/>
      <c r="AB79" s="480" t="s">
        <v>569</v>
      </c>
      <c r="AC79" s="210" t="s">
        <v>570</v>
      </c>
      <c r="AD79" s="209" t="s">
        <v>498</v>
      </c>
      <c r="AE79" s="1700"/>
      <c r="AF79" s="1700"/>
      <c r="AG79" s="1700"/>
      <c r="AH79" s="1700"/>
      <c r="AI79" s="1700"/>
      <c r="AJ79" s="1700"/>
      <c r="AK79" s="1700"/>
      <c r="AL79" s="1700"/>
      <c r="AM79" s="1700"/>
      <c r="AN79" s="1700"/>
      <c r="AO79" s="1700"/>
      <c r="AP79" s="1700"/>
      <c r="AQ79" s="1700"/>
      <c r="AR79" s="1700"/>
      <c r="AS79" s="1700"/>
      <c r="AT79" s="1700"/>
      <c r="AU79" s="1700"/>
      <c r="AV79" s="1700"/>
      <c r="AW79" s="1700"/>
      <c r="AX79" s="1700"/>
      <c r="AY79" s="220"/>
      <c r="AZ79" s="220"/>
      <c r="BA79" s="1161" t="s">
        <v>571</v>
      </c>
      <c r="BB79" s="1215"/>
      <c r="BC79" s="1215"/>
      <c r="BD79" s="1165"/>
      <c r="BE79" s="1165"/>
    </row>
    <row s="1632" customFormat="1" customHeight="1" ht="16.5">
      <c r="A80" s="1186"/>
      <c r="B80" s="927"/>
      <c r="C80" s="1582"/>
      <c r="D80" s="1582"/>
      <c r="E80" s="797">
        <v>17.1</v>
      </c>
      <c r="F80" s="922" cm="1" t="str">
        <f t="array" ref="F80:F80">OFFSET(G80,-1,-1)</f>
        <v>1</v>
      </c>
      <c r="G80" s="1582"/>
      <c r="H80" s="175" t="s">
        <v>572</v>
      </c>
      <c r="I80" s="1582"/>
      <c r="J80" s="1582"/>
      <c r="K80" s="1582"/>
      <c r="L80" s="1582"/>
      <c r="M80" s="1582"/>
      <c r="N80" s="1582"/>
      <c r="O80" s="1582"/>
      <c r="P80" s="1582"/>
      <c r="Q80" s="922"/>
      <c r="R80" s="922"/>
      <c r="S80" s="1582"/>
      <c r="T80" s="1582"/>
      <c r="U80" s="923">
        <f>F80&gt;0</f>
        <v>1</v>
      </c>
      <c r="V80" s="1582"/>
      <c r="W80" s="1582"/>
      <c r="X80" s="1582"/>
      <c r="Y80" s="1582"/>
      <c r="Z80" s="1582"/>
      <c r="AA80" s="220"/>
      <c r="AB80" s="480" t="s">
        <v>573</v>
      </c>
      <c r="AC80" s="210" t="s">
        <v>574</v>
      </c>
      <c r="AD80" s="209" t="s">
        <v>498</v>
      </c>
      <c r="AE80" s="1700"/>
      <c r="AF80" s="1700"/>
      <c r="AG80" s="1700"/>
      <c r="AH80" s="1700"/>
      <c r="AI80" s="1700"/>
      <c r="AJ80" s="1700"/>
      <c r="AK80" s="1700"/>
      <c r="AL80" s="1700"/>
      <c r="AM80" s="1700"/>
      <c r="AN80" s="1700"/>
      <c r="AO80" s="1700"/>
      <c r="AP80" s="1700"/>
      <c r="AQ80" s="1700"/>
      <c r="AR80" s="1700"/>
      <c r="AS80" s="1700"/>
      <c r="AT80" s="1700"/>
      <c r="AU80" s="1700"/>
      <c r="AV80" s="1700"/>
      <c r="AW80" s="1700"/>
      <c r="AX80" s="1700"/>
      <c r="AY80" s="220"/>
      <c r="AZ80" s="220"/>
      <c r="BA80" s="1161" t="s">
        <v>575</v>
      </c>
      <c r="BB80" s="1215"/>
      <c r="BC80" s="1215"/>
      <c r="BD80" s="1165"/>
      <c r="BE80" s="1165"/>
    </row>
    <row s="1632" customFormat="1" customHeight="1" ht="16.5">
      <c r="A81" s="1186"/>
      <c r="B81" s="927"/>
      <c r="C81" s="1582"/>
      <c r="D81" s="1582"/>
      <c r="E81" s="797">
        <v>17.1</v>
      </c>
      <c r="F81" s="922" cm="1" t="str">
        <f t="array" ref="F81:F81">OFFSET(G81,-1,-1)</f>
        <v>1</v>
      </c>
      <c r="G81" s="1582"/>
      <c r="H81" s="175" t="s">
        <v>576</v>
      </c>
      <c r="I81" s="1582"/>
      <c r="J81" s="1582"/>
      <c r="K81" s="1582"/>
      <c r="L81" s="1582"/>
      <c r="M81" s="1582"/>
      <c r="N81" s="1582"/>
      <c r="O81" s="1582"/>
      <c r="P81" s="1582"/>
      <c r="Q81" s="922"/>
      <c r="R81" s="922"/>
      <c r="S81" s="1582"/>
      <c r="T81" s="1582"/>
      <c r="U81" s="923">
        <f>F81&gt;0</f>
        <v>1</v>
      </c>
      <c r="V81" s="1582"/>
      <c r="W81" s="1582"/>
      <c r="X81" s="1582"/>
      <c r="Y81" s="1582"/>
      <c r="Z81" s="1582"/>
      <c r="AA81" s="220"/>
      <c r="AB81" s="480" t="s">
        <v>577</v>
      </c>
      <c r="AC81" s="210" t="s">
        <v>578</v>
      </c>
      <c r="AD81" s="209" t="s">
        <v>498</v>
      </c>
      <c r="AE81" s="1700"/>
      <c r="AF81" s="1700"/>
      <c r="AG81" s="1700"/>
      <c r="AH81" s="1700"/>
      <c r="AI81" s="1700"/>
      <c r="AJ81" s="1700"/>
      <c r="AK81" s="1700"/>
      <c r="AL81" s="1700"/>
      <c r="AM81" s="1700"/>
      <c r="AN81" s="1700"/>
      <c r="AO81" s="1700"/>
      <c r="AP81" s="1700"/>
      <c r="AQ81" s="1700"/>
      <c r="AR81" s="1700"/>
      <c r="AS81" s="1700"/>
      <c r="AT81" s="1700"/>
      <c r="AU81" s="1700"/>
      <c r="AV81" s="1700"/>
      <c r="AW81" s="1700"/>
      <c r="AX81" s="1700"/>
      <c r="AY81" s="220"/>
      <c r="AZ81" s="220"/>
      <c r="BA81" s="1161" t="s">
        <v>579</v>
      </c>
      <c r="BB81" s="1215"/>
      <c r="BC81" s="1215"/>
      <c r="BD81" s="1165"/>
      <c r="BE81" s="1165"/>
    </row>
    <row customHeight="1" ht="11.115">
      <c r="E82" s="797">
        <v>11.4</v>
      </c>
      <c r="V82" s="175" t="s">
        <v>236</v>
      </c>
      <c r="W82" s="171" t="s">
        <v>580</v>
      </c>
      <c r="AC82" s="201"/>
      <c r="AF82" s="220"/>
      <c r="AG82" s="220"/>
      <c r="AH82" s="220"/>
      <c r="AI82" s="220"/>
      <c r="AJ82" s="220"/>
      <c r="AK82" s="220"/>
      <c r="AL82" s="220"/>
      <c r="AM82" s="220"/>
      <c r="AN82" s="220"/>
      <c r="AO82" s="220"/>
      <c r="AP82" s="220"/>
      <c r="AQ82" s="220"/>
      <c r="AR82" s="220"/>
      <c r="AS82" s="220"/>
      <c r="AT82" s="220"/>
      <c r="AU82" s="220"/>
      <c r="AV82" s="220"/>
      <c r="AW82" s="220"/>
      <c r="AX82" s="220"/>
      <c r="AY82" s="201"/>
    </row>
    <row customHeight="1" ht="11.115" hidden="1">
      <c r="E83" s="797">
        <v>11.4</v>
      </c>
      <c r="AC83" s="201"/>
      <c r="AF83" s="220"/>
      <c r="AG83" s="220"/>
      <c r="AH83" s="220"/>
      <c r="AI83" s="220"/>
      <c r="AJ83" s="220"/>
      <c r="AK83" s="220"/>
      <c r="AL83" s="220"/>
      <c r="AM83" s="220"/>
      <c r="AN83" s="220"/>
      <c r="AO83" s="220"/>
      <c r="AP83" s="220"/>
      <c r="AQ83" s="220"/>
      <c r="AR83" s="220"/>
      <c r="AS83" s="220"/>
      <c r="AT83" s="220"/>
      <c r="AU83" s="220"/>
      <c r="AV83" s="220"/>
      <c r="AW83" s="220"/>
      <c r="AX83" s="22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8A52E7-5338-9C35-73B3-CAF6EDD3535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2" width="3.57421875" hidden="1" customWidth="1"/>
    <col min="2" max="2" style="927" width="8.57421875" hidden="1" customWidth="1"/>
    <col min="3" max="4" style="1582" width="3.57421875" hidden="1" customWidth="1"/>
    <col min="5" max="5" style="925" width="8.421875" hidden="1" customWidth="1"/>
    <col min="6" max="6" style="1582" width="6.421875" hidden="1" customWidth="1"/>
    <col min="7" max="16" style="1582" width="3.57421875" hidden="1" customWidth="1"/>
    <col min="17" max="18" style="922" width="3.57421875" hidden="1" customWidth="1"/>
    <col min="19" max="19" style="1582" width="5.8515625" hidden="1" customWidth="1"/>
    <col min="20" max="20" style="1582" width="3.57421875" hidden="1" customWidth="1"/>
    <col min="21" max="21" style="1582" width="6.7109375" hidden="1" customWidth="1"/>
    <col min="22" max="22" style="1582" width="6.00390625" hidden="1" customWidth="1"/>
    <col min="23" max="23" style="1582" width="6.28125" hidden="1" customWidth="1"/>
    <col min="24" max="24" style="1582" width="6.421875" hidden="1" customWidth="1"/>
    <col min="25" max="25" style="1582" width="5.8515625" hidden="1" customWidth="1"/>
    <col min="26" max="26" style="1582" width="5.421875" hidden="1" customWidth="1"/>
    <col min="27" max="27" style="220" width="3.00390625" customWidth="1"/>
    <col min="28" max="28" style="937" width="6.1328125" customWidth="1"/>
    <col min="29" max="29" style="211" width="52.00390625" customWidth="1"/>
    <col min="30" max="30" style="211" width="28.00390625" customWidth="1"/>
    <col min="31" max="31" style="220" width="13.6328125" customWidth="1"/>
    <col min="32" max="51" style="220" width="15.1328125" customWidth="1"/>
    <col min="52" max="52" style="220" width="3.00390625" customWidth="1"/>
    <col min="53" max="53" style="220" width="9.140625" hidden="1"/>
    <col min="54" max="54" style="1199" width="9.140625" hidden="1"/>
  </cols>
  <sheetData>
    <row s="1582" customFormat="1" customHeight="1" ht="12" hidden="1">
      <c r="B1" s="788"/>
      <c r="E1" s="788"/>
      <c r="F1" s="819" t="s">
        <v>83</v>
      </c>
      <c r="Q1" s="922"/>
      <c r="R1" s="922"/>
      <c r="U1" s="808" t="s">
        <v>86</v>
      </c>
      <c r="V1" s="808" t="s">
        <v>91</v>
      </c>
      <c r="W1" s="808" t="s">
        <v>87</v>
      </c>
      <c r="X1" s="788"/>
      <c r="Y1" s="808" t="s">
        <v>89</v>
      </c>
      <c r="Z1" s="808" t="s">
        <v>93</v>
      </c>
      <c r="AA1" s="788"/>
      <c r="AB1" s="788"/>
      <c r="AC1" s="792"/>
      <c r="AD1" s="792"/>
      <c r="AG1" s="1582"/>
      <c r="AH1" s="1582"/>
      <c r="AI1" s="1582"/>
      <c r="AJ1" s="1582"/>
      <c r="AK1" s="1582"/>
      <c r="AL1" s="1582"/>
      <c r="AM1" s="1582"/>
      <c r="AN1" s="1582"/>
      <c r="AO1" s="1582"/>
      <c r="AP1" s="1582"/>
      <c r="AQ1" s="1582"/>
      <c r="AR1" s="1582"/>
      <c r="AS1" s="1582"/>
      <c r="AT1" s="1582"/>
      <c r="AU1" s="1582"/>
      <c r="AV1" s="1582"/>
      <c r="AW1" s="1582"/>
      <c r="AX1" s="1582"/>
      <c r="AY1" s="1582"/>
      <c r="BB1" s="1149" t="s">
        <v>373</v>
      </c>
    </row>
    <row s="927" customFormat="1" customHeight="1" ht="12" hidden="1">
      <c r="B2" s="910" t="s">
        <v>15</v>
      </c>
      <c r="AC2" s="792"/>
      <c r="AD2" s="792"/>
      <c r="AG2" s="809">
        <f>AG6&lt;=last_year_vis</f>
        <v>1</v>
      </c>
      <c r="AH2" s="809">
        <f>AH6&lt;=last_year_vis</f>
        <v>1</v>
      </c>
      <c r="AI2" s="809">
        <f>AI6&lt;=last_year_vis</f>
        <v>1</v>
      </c>
      <c r="AJ2" s="809">
        <f>AJ6&lt;=last_year_vis</f>
        <v>1</v>
      </c>
      <c r="AK2" s="809">
        <f>AK6&lt;=last_year_vis</f>
        <v>1</v>
      </c>
      <c r="AL2" s="809">
        <f>AL6&lt;=last_year_vis</f>
        <v>1</v>
      </c>
      <c r="AM2" s="809">
        <f>AM6&lt;=last_year_vis</f>
        <v>1</v>
      </c>
      <c r="AN2" s="809">
        <f>AN6&lt;=last_year_vis</f>
        <v>1</v>
      </c>
      <c r="AO2" s="809">
        <f>AO6&lt;=last_year_vis</f>
        <v>1</v>
      </c>
      <c r="AP2" s="809">
        <f>AP6&lt;=last_year_vis</f>
        <v>1</v>
      </c>
      <c r="AQ2" s="809">
        <f>AQ6&lt;=last_year_vis</f>
        <v>1</v>
      </c>
      <c r="AR2" s="809">
        <f>AR6&lt;=last_year_vis</f>
        <v>1</v>
      </c>
      <c r="AS2" s="809">
        <f>AS6&lt;=last_year_vis</f>
        <v>1</v>
      </c>
      <c r="AT2" s="809">
        <f>AT6&lt;=last_year_vis</f>
        <v>1</v>
      </c>
      <c r="AU2" s="809">
        <f>AU6&lt;=last_year_vis</f>
        <v>1</v>
      </c>
      <c r="AV2" s="809">
        <f>AV6&lt;=last_year_vis</f>
        <v>1</v>
      </c>
      <c r="AW2" s="809">
        <f>AW6&lt;=last_year_vis</f>
        <v>1</v>
      </c>
      <c r="AX2" s="809">
        <f>AX6&lt;=last_year_vis</f>
        <v>1</v>
      </c>
      <c r="AY2" s="809">
        <f>AY6&lt;=last_year_vis</f>
        <v>1</v>
      </c>
      <c r="BB2" s="1196"/>
    </row>
    <row s="1582" customFormat="1" customHeight="1" ht="12" hidden="1">
      <c r="B3" s="788"/>
      <c r="E3" s="788"/>
      <c r="Q3" s="922"/>
      <c r="R3" s="922"/>
      <c r="AB3" s="179"/>
      <c r="AC3" s="171"/>
      <c r="AD3" s="171"/>
      <c r="AG3" s="1582"/>
      <c r="AH3" s="1582"/>
      <c r="AI3" s="1582"/>
      <c r="AJ3" s="1582"/>
      <c r="AK3" s="1582"/>
      <c r="AL3" s="1582"/>
      <c r="AM3" s="1582"/>
      <c r="AN3" s="1582"/>
      <c r="AO3" s="1582"/>
      <c r="AP3" s="1582"/>
      <c r="AQ3" s="1582"/>
      <c r="AR3" s="1582"/>
      <c r="AS3" s="1582"/>
      <c r="AT3" s="1582"/>
      <c r="AU3" s="1582"/>
      <c r="AV3" s="1582"/>
      <c r="AW3" s="1582"/>
      <c r="AX3" s="1582"/>
      <c r="AY3" s="1582"/>
      <c r="BB3" s="1148"/>
    </row>
    <row s="1582" customFormat="1" customHeight="1" ht="12" hidden="1">
      <c r="B4" s="788"/>
      <c r="E4" s="788"/>
      <c r="Q4" s="922"/>
      <c r="R4" s="922"/>
      <c r="AB4" s="179"/>
      <c r="AC4" s="171"/>
      <c r="AD4" s="171"/>
      <c r="AG4" s="1582"/>
      <c r="AH4" s="1582"/>
      <c r="AI4" s="1582"/>
      <c r="AJ4" s="1582"/>
      <c r="AK4" s="1582"/>
      <c r="AL4" s="1582"/>
      <c r="AM4" s="1582"/>
      <c r="AN4" s="1582"/>
      <c r="AO4" s="1582"/>
      <c r="AP4" s="1582"/>
      <c r="AQ4" s="1582"/>
      <c r="AR4" s="1582"/>
      <c r="AS4" s="1582"/>
      <c r="AT4" s="1582"/>
      <c r="AU4" s="1582"/>
      <c r="AV4" s="1582"/>
      <c r="AW4" s="1582"/>
      <c r="AX4" s="1582"/>
      <c r="AY4" s="1582"/>
      <c r="BB4" s="1148"/>
    </row>
    <row s="925" customFormat="1" customHeight="1" ht="12" hidden="1">
      <c r="A5" s="788"/>
      <c r="B5" s="788"/>
      <c r="C5" s="788"/>
      <c r="D5" s="788"/>
      <c r="E5" s="797" t="s">
        <v>16</v>
      </c>
      <c r="AA5" s="803">
        <v>3</v>
      </c>
      <c r="AB5" s="797">
        <v>6.13</v>
      </c>
      <c r="AC5" s="803">
        <v>52</v>
      </c>
      <c r="AD5" s="803">
        <v>28</v>
      </c>
      <c r="AE5" s="797">
        <v>13.63</v>
      </c>
      <c r="AF5" s="797">
        <v>15.13</v>
      </c>
      <c r="AG5" s="797">
        <v>15.13</v>
      </c>
      <c r="AH5" s="797">
        <v>15.13</v>
      </c>
      <c r="AI5" s="797">
        <v>15.13</v>
      </c>
      <c r="AJ5" s="797">
        <v>15.13</v>
      </c>
      <c r="AK5" s="797">
        <v>15.13</v>
      </c>
      <c r="AL5" s="797">
        <v>15.13</v>
      </c>
      <c r="AM5" s="797">
        <v>15.13</v>
      </c>
      <c r="AN5" s="797">
        <v>15.13</v>
      </c>
      <c r="AO5" s="797">
        <v>15.13</v>
      </c>
      <c r="AP5" s="797">
        <v>15.13</v>
      </c>
      <c r="AQ5" s="797">
        <v>15.13</v>
      </c>
      <c r="AR5" s="797">
        <v>15.13</v>
      </c>
      <c r="AS5" s="797">
        <v>15.13</v>
      </c>
      <c r="AT5" s="797">
        <v>15.13</v>
      </c>
      <c r="AU5" s="797">
        <v>15.13</v>
      </c>
      <c r="AV5" s="797">
        <v>15.13</v>
      </c>
      <c r="AW5" s="797">
        <v>15.13</v>
      </c>
      <c r="AX5" s="797">
        <v>15.13</v>
      </c>
      <c r="AY5" s="797">
        <v>15.13</v>
      </c>
      <c r="AZ5" s="797">
        <v>3</v>
      </c>
      <c r="BB5" s="1196"/>
    </row>
    <row s="1582" customFormat="1" customHeight="1" ht="12" hidden="1">
      <c r="B6" s="788"/>
      <c r="E6" s="797"/>
      <c r="Q6" s="922"/>
      <c r="R6" s="922"/>
      <c r="AB6" s="179"/>
      <c r="AC6" s="171"/>
      <c r="AD6" s="171"/>
      <c r="AF6" s="175" cm="1" t="str">
        <f t="array" ref="AF6:AF6">first_year</f>
        <v>2016</v>
      </c>
      <c r="AG6" s="175">
        <f>first_year+1</f>
        <v>2017</v>
      </c>
      <c r="AH6" s="175">
        <f>first_year+2</f>
        <v>2018</v>
      </c>
      <c r="AI6" s="175">
        <f>first_year+3</f>
        <v>2019</v>
      </c>
      <c r="AJ6" s="175">
        <f>first_year+4</f>
        <v>2020</v>
      </c>
      <c r="AK6" s="175">
        <f>first_year+5</f>
        <v>2021</v>
      </c>
      <c r="AL6" s="175">
        <f>first_year+6</f>
        <v>2022</v>
      </c>
      <c r="AM6" s="175">
        <f>first_year+7</f>
        <v>2023</v>
      </c>
      <c r="AN6" s="175">
        <f>first_year+8</f>
        <v>2024</v>
      </c>
      <c r="AO6" s="175">
        <f>first_year+9</f>
        <v>2025</v>
      </c>
      <c r="AP6" s="175" cm="1" t="str">
        <f t="array" ref="AP6:AP6">first_year</f>
        <v>2016</v>
      </c>
      <c r="AQ6" s="175">
        <f>first_year+1</f>
        <v>2017</v>
      </c>
      <c r="AR6" s="175">
        <f>first_year+2</f>
        <v>2018</v>
      </c>
      <c r="AS6" s="175">
        <f>first_year+3</f>
        <v>2019</v>
      </c>
      <c r="AT6" s="175">
        <f>first_year+4</f>
        <v>2020</v>
      </c>
      <c r="AU6" s="175">
        <f>first_year+5</f>
        <v>2021</v>
      </c>
      <c r="AV6" s="175">
        <f>first_year+6</f>
        <v>2022</v>
      </c>
      <c r="AW6" s="175">
        <f>first_year+7</f>
        <v>2023</v>
      </c>
      <c r="AX6" s="175">
        <f>first_year+8</f>
        <v>2024</v>
      </c>
      <c r="AY6" s="175">
        <f>first_year+9</f>
        <v>2025</v>
      </c>
      <c r="BB6" s="1148"/>
    </row>
    <row s="500" customFormat="1" customHeight="1" ht="12" hidden="1">
      <c r="A7" s="175"/>
      <c r="B7" s="788"/>
      <c r="C7" s="175"/>
      <c r="D7" s="175"/>
      <c r="E7" s="797"/>
      <c r="G7" s="175"/>
      <c r="H7" s="175"/>
      <c r="I7" s="175"/>
      <c r="J7" s="175"/>
      <c r="K7" s="175"/>
      <c r="L7" s="175"/>
      <c r="M7" s="175"/>
      <c r="N7" s="175"/>
      <c r="O7" s="175"/>
      <c r="P7" s="175"/>
      <c r="Q7" s="922"/>
      <c r="R7" s="922"/>
      <c r="S7" s="175"/>
      <c r="T7" s="175"/>
      <c r="AB7" s="214"/>
      <c r="AC7" s="215"/>
      <c r="AD7" s="215"/>
      <c r="AF7" s="213" cm="1" t="str">
        <f t="array" ref="AF7:AF7">AF25</f>
        <v>Предложение организации</v>
      </c>
      <c r="AG7" s="213" cm="1" t="str">
        <f t="array" ref="AG7:AG7">AG25</f>
        <v>Предложение организации</v>
      </c>
      <c r="AH7" s="213" cm="1" t="str">
        <f t="array" ref="AH7:AH7">AH25</f>
        <v>Предложение организации</v>
      </c>
      <c r="AI7" s="213" cm="1" t="str">
        <f t="array" ref="AI7:AI7">AI25</f>
        <v>Предложение организации</v>
      </c>
      <c r="AJ7" s="213" cm="1" t="str">
        <f t="array" ref="AJ7:AJ7">AJ25</f>
        <v>Предложение организации</v>
      </c>
      <c r="AK7" s="213" cm="1" t="str">
        <f t="array" ref="AK7:AK7">AK25</f>
        <v>Предложение организации</v>
      </c>
      <c r="AL7" s="213" cm="1" t="str">
        <f t="array" ref="AL7:AL7">AL25</f>
        <v>Предложение организации</v>
      </c>
      <c r="AM7" s="213" cm="1" t="str">
        <f t="array" ref="AM7:AM7">AM25</f>
        <v>Предложение организации</v>
      </c>
      <c r="AN7" s="213" cm="1" t="str">
        <f t="array" ref="AN7:AN7">AN25</f>
        <v>Предложение организации</v>
      </c>
      <c r="AO7" s="213" cm="1" t="str">
        <f t="array" ref="AO7:AO7">AO25</f>
        <v>Предложение организации</v>
      </c>
      <c r="AP7" s="213" cm="1" t="str">
        <f t="array" ref="AP7:AP7">AP25</f>
        <v>Принято органом регулирования</v>
      </c>
      <c r="AQ7" s="213" cm="1" t="str">
        <f t="array" ref="AQ7:AQ7">AQ25</f>
        <v>Принято органом регулирования</v>
      </c>
      <c r="AR7" s="213" cm="1" t="str">
        <f t="array" ref="AR7:AR7">AR25</f>
        <v>Принято органом регулирования</v>
      </c>
      <c r="AS7" s="213" cm="1" t="str">
        <f t="array" ref="AS7:AS7">AS25</f>
        <v>Принято органом регулирования</v>
      </c>
      <c r="AT7" s="213" cm="1" t="str">
        <f t="array" ref="AT7:AT7">AT25</f>
        <v>Принято органом регулирования</v>
      </c>
      <c r="AU7" s="213" cm="1" t="str">
        <f t="array" ref="AU7:AU7">AU25</f>
        <v>Принято органом регулирования</v>
      </c>
      <c r="AV7" s="213" cm="1" t="str">
        <f t="array" ref="AV7:AV7">AV25</f>
        <v>Принято органом регулирования</v>
      </c>
      <c r="AW7" s="213" cm="1" t="str">
        <f t="array" ref="AW7:AW7">AW25</f>
        <v>Принято органом регулирования</v>
      </c>
      <c r="AX7" s="213" cm="1" t="str">
        <f t="array" ref="AX7:AX7">AX25</f>
        <v>Принято органом регулирования</v>
      </c>
      <c r="AY7" s="213" cm="1" t="str">
        <f t="array" ref="AY7:AY7">AY25</f>
        <v>Принято органом регулирования</v>
      </c>
      <c r="BB7" s="1148"/>
    </row>
    <row s="500" customFormat="1" customHeight="1" ht="12" hidden="1">
      <c r="A8" s="175"/>
      <c r="B8" s="788"/>
      <c r="C8" s="175"/>
      <c r="D8" s="175"/>
      <c r="E8" s="797"/>
      <c r="G8" s="175"/>
      <c r="H8" s="175"/>
      <c r="I8" s="175"/>
      <c r="J8" s="175"/>
      <c r="K8" s="175"/>
      <c r="L8" s="175"/>
      <c r="M8" s="175"/>
      <c r="N8" s="175"/>
      <c r="O8" s="175"/>
      <c r="P8" s="175"/>
      <c r="Q8" s="922"/>
      <c r="R8" s="922"/>
      <c r="S8" s="175"/>
      <c r="T8" s="175"/>
      <c r="AB8" s="214"/>
      <c r="AC8" s="215"/>
      <c r="AD8" s="215"/>
      <c r="AF8" s="213" t="str">
        <f>AF6&amp;AF7</f>
        <v>2016Предложение организации</v>
      </c>
      <c r="AG8" s="213" t="str">
        <f>AG6&amp;AG7</f>
        <v>2017Предложение организации</v>
      </c>
      <c r="AH8" s="213" t="str">
        <f>AH6&amp;AH7</f>
        <v>2018Предложение организации</v>
      </c>
      <c r="AI8" s="213" t="str">
        <f>AI6&amp;AI7</f>
        <v>2019Предложение организации</v>
      </c>
      <c r="AJ8" s="213" t="str">
        <f>AJ6&amp;AJ7</f>
        <v>2020Предложение организации</v>
      </c>
      <c r="AK8" s="213" t="str">
        <f>AK6&amp;AK7</f>
        <v>2021Предложение организации</v>
      </c>
      <c r="AL8" s="213" t="str">
        <f>AL6&amp;AL7</f>
        <v>2022Предложение организации</v>
      </c>
      <c r="AM8" s="213" t="str">
        <f>AM6&amp;AM7</f>
        <v>2023Предложение организации</v>
      </c>
      <c r="AN8" s="213" t="str">
        <f>AN6&amp;AN7</f>
        <v>2024Предложение организации</v>
      </c>
      <c r="AO8" s="213" t="str">
        <f>AO6&amp;AO7</f>
        <v>2025Предложение организации</v>
      </c>
      <c r="AP8" s="213" t="str">
        <f>AP6&amp;AP7</f>
        <v>2016Принято органом регулирования</v>
      </c>
      <c r="AQ8" s="213" t="str">
        <f>AQ6&amp;AQ7</f>
        <v>2017Принято органом регулирования</v>
      </c>
      <c r="AR8" s="213" t="str">
        <f>AR6&amp;AR7</f>
        <v>2018Принято органом регулирования</v>
      </c>
      <c r="AS8" s="213" t="str">
        <f>AS6&amp;AS7</f>
        <v>2019Принято органом регулирования</v>
      </c>
      <c r="AT8" s="213" t="str">
        <f>AT6&amp;AT7</f>
        <v>2020Принято органом регулирования</v>
      </c>
      <c r="AU8" s="213" t="str">
        <f>AU6&amp;AU7</f>
        <v>2021Принято органом регулирования</v>
      </c>
      <c r="AV8" s="213" t="str">
        <f>AV6&amp;AV7</f>
        <v>2022Принято органом регулирования</v>
      </c>
      <c r="AW8" s="213" t="str">
        <f>AW6&amp;AW7</f>
        <v>2023Принято органом регулирования</v>
      </c>
      <c r="AX8" s="213" t="str">
        <f>AX6&amp;AX7</f>
        <v>2024Принято органом регулирования</v>
      </c>
      <c r="AY8" s="213" t="str">
        <f>AY6&amp;AY7</f>
        <v>2025Принято органом регулирования</v>
      </c>
      <c r="BB8" s="1148"/>
    </row>
    <row s="1149" customFormat="1" customHeight="1" ht="12" hidden="1">
      <c r="A9" s="1148" t="s">
        <v>437</v>
      </c>
      <c r="B9" s="1151"/>
      <c r="E9" s="1151"/>
      <c r="Q9" s="1169"/>
      <c r="R9" s="1169"/>
      <c r="AB9" s="1150"/>
      <c r="AF9" s="1149" cm="1" t="str">
        <f t="array" ref="AF9:AF9">first_year</f>
        <v>2016</v>
      </c>
      <c r="AG9" s="1149">
        <f>first_year+1</f>
        <v>2017</v>
      </c>
      <c r="AH9" s="1149">
        <f>first_year+2</f>
        <v>2018</v>
      </c>
      <c r="AI9" s="1149">
        <f>first_year+3</f>
        <v>2019</v>
      </c>
      <c r="AJ9" s="1149">
        <f>first_year+4</f>
        <v>2020</v>
      </c>
      <c r="AK9" s="1149">
        <f>first_year+5</f>
        <v>2021</v>
      </c>
      <c r="AL9" s="1149">
        <f>first_year+6</f>
        <v>2022</v>
      </c>
      <c r="AM9" s="1149">
        <f>first_year+7</f>
        <v>2023</v>
      </c>
      <c r="AN9" s="1149">
        <f>first_year+8</f>
        <v>2024</v>
      </c>
      <c r="AO9" s="1149">
        <f>first_year+9</f>
        <v>2025</v>
      </c>
      <c r="AP9" s="1149" cm="1" t="str">
        <f t="array" ref="AP9:AP9">first_year</f>
        <v>2016</v>
      </c>
      <c r="AQ9" s="1149">
        <f>first_year+1</f>
        <v>2017</v>
      </c>
      <c r="AR9" s="1149">
        <f>first_year+2</f>
        <v>2018</v>
      </c>
      <c r="AS9" s="1149">
        <f>first_year+3</f>
        <v>2019</v>
      </c>
      <c r="AT9" s="1149">
        <f>first_year+4</f>
        <v>2020</v>
      </c>
      <c r="AU9" s="1149">
        <f>first_year+5</f>
        <v>2021</v>
      </c>
      <c r="AV9" s="1149">
        <f>first_year+6</f>
        <v>2022</v>
      </c>
      <c r="AW9" s="1149">
        <f>first_year+7</f>
        <v>2023</v>
      </c>
      <c r="AX9" s="1149">
        <f>first_year+8</f>
        <v>2024</v>
      </c>
      <c r="AY9" s="1149">
        <f>first_year+9</f>
        <v>2025</v>
      </c>
      <c r="BB9" s="1148"/>
    </row>
    <row s="1149" customFormat="1" customHeight="1" ht="12" hidden="1">
      <c r="A10" s="1148" t="s">
        <v>438</v>
      </c>
      <c r="B10" s="1151"/>
      <c r="E10" s="1151"/>
      <c r="Q10" s="1169"/>
      <c r="R10" s="1169"/>
      <c r="AB10" s="1150"/>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B10" s="1148"/>
    </row>
    <row s="1582" customFormat="1" customHeight="1" ht="12" hidden="1">
      <c r="B11" s="788"/>
      <c r="E11" s="797"/>
      <c r="Q11" s="922"/>
      <c r="R11" s="922"/>
      <c r="AB11" s="179"/>
      <c r="AC11" s="171"/>
      <c r="AD11" s="171"/>
      <c r="AG11" s="1582"/>
      <c r="AH11" s="1582"/>
      <c r="AI11" s="1582"/>
      <c r="AJ11" s="1582"/>
      <c r="AK11" s="1582"/>
      <c r="AL11" s="1582"/>
      <c r="AM11" s="1582"/>
      <c r="AN11" s="1582"/>
      <c r="AO11" s="1582"/>
      <c r="AP11" s="1582"/>
      <c r="AQ11" s="1582"/>
      <c r="AR11" s="1582"/>
      <c r="AS11" s="1582"/>
      <c r="AT11" s="1582"/>
      <c r="AU11" s="1582"/>
      <c r="AV11" s="1582"/>
      <c r="AW11" s="1582"/>
      <c r="AX11" s="1582"/>
      <c r="AY11" s="1582"/>
      <c r="BB11" s="1148"/>
    </row>
    <row s="1582" customFormat="1" customHeight="1" ht="12" hidden="1">
      <c r="B12" s="788"/>
      <c r="E12" s="797"/>
      <c r="Q12" s="922"/>
      <c r="R12" s="922"/>
      <c r="AB12" s="179"/>
      <c r="AC12" s="171"/>
      <c r="AD12" s="171"/>
      <c r="AG12" s="1582"/>
      <c r="AH12" s="1582"/>
      <c r="AI12" s="1582"/>
      <c r="AJ12" s="1582"/>
      <c r="AK12" s="1582"/>
      <c r="AL12" s="1582"/>
      <c r="AM12" s="1582"/>
      <c r="AN12" s="1582"/>
      <c r="AO12" s="1582"/>
      <c r="AP12" s="1582"/>
      <c r="AQ12" s="1582"/>
      <c r="AR12" s="1582"/>
      <c r="AS12" s="1582"/>
      <c r="AT12" s="1582"/>
      <c r="AU12" s="1582"/>
      <c r="AV12" s="1582"/>
      <c r="AW12" s="1582"/>
      <c r="AX12" s="1582"/>
      <c r="AY12" s="1582"/>
      <c r="BB12" s="1148"/>
    </row>
    <row s="1582" customFormat="1" customHeight="1" ht="12" hidden="1">
      <c r="B13" s="788"/>
      <c r="E13" s="797"/>
      <c r="Q13" s="922"/>
      <c r="R13" s="922"/>
      <c r="AB13" s="179"/>
      <c r="AC13" s="171"/>
      <c r="AD13" s="171"/>
      <c r="AG13" s="1582"/>
      <c r="AH13" s="1582"/>
      <c r="AI13" s="1582"/>
      <c r="AJ13" s="1582"/>
      <c r="AK13" s="1582"/>
      <c r="AL13" s="1582"/>
      <c r="AM13" s="1582"/>
      <c r="AN13" s="1582"/>
      <c r="AO13" s="1582"/>
      <c r="AP13" s="1582"/>
      <c r="AQ13" s="1582"/>
      <c r="AR13" s="1582"/>
      <c r="AS13" s="1582"/>
      <c r="AT13" s="1582"/>
      <c r="AU13" s="1582"/>
      <c r="AV13" s="1582"/>
      <c r="AW13" s="1582"/>
      <c r="AX13" s="1582"/>
      <c r="AY13" s="1582"/>
      <c r="BB13" s="1148"/>
    </row>
    <row s="1582" customFormat="1" customHeight="1" ht="12" hidden="1">
      <c r="B14" s="788"/>
      <c r="E14" s="797"/>
      <c r="Q14" s="922"/>
      <c r="R14" s="922"/>
      <c r="AB14" s="179"/>
      <c r="AC14" s="171"/>
      <c r="AD14" s="171"/>
      <c r="AG14" s="1582"/>
      <c r="AH14" s="1582"/>
      <c r="AI14" s="1582"/>
      <c r="AJ14" s="1582"/>
      <c r="AK14" s="1582"/>
      <c r="AL14" s="1582"/>
      <c r="AM14" s="1582"/>
      <c r="AN14" s="1582"/>
      <c r="AO14" s="1582"/>
      <c r="AP14" s="1582"/>
      <c r="AQ14" s="1582"/>
      <c r="AR14" s="1582"/>
      <c r="AS14" s="1582"/>
      <c r="AT14" s="1582"/>
      <c r="AU14" s="1582"/>
      <c r="AV14" s="1582"/>
      <c r="AW14" s="1582"/>
      <c r="AX14" s="1582"/>
      <c r="AY14" s="1582"/>
      <c r="BB14" s="1148"/>
    </row>
    <row s="1582" customFormat="1" customHeight="1" ht="12" hidden="1">
      <c r="B15" s="788"/>
      <c r="E15" s="797"/>
      <c r="Q15" s="922"/>
      <c r="R15" s="922"/>
      <c r="AB15" s="179"/>
      <c r="AC15" s="171"/>
      <c r="AD15" s="171"/>
      <c r="AG15" s="1582"/>
      <c r="AH15" s="1582"/>
      <c r="AI15" s="1582"/>
      <c r="AJ15" s="1582"/>
      <c r="AK15" s="1582"/>
      <c r="AL15" s="1582"/>
      <c r="AM15" s="1582"/>
      <c r="AN15" s="1582"/>
      <c r="AO15" s="1582"/>
      <c r="AP15" s="1582"/>
      <c r="AQ15" s="1582"/>
      <c r="AR15" s="1582"/>
      <c r="AS15" s="1582"/>
      <c r="AT15" s="1582"/>
      <c r="AU15" s="1582"/>
      <c r="AV15" s="1582"/>
      <c r="AW15" s="1582"/>
      <c r="AX15" s="1582"/>
      <c r="AY15" s="1582"/>
      <c r="BB15" s="1148"/>
    </row>
    <row s="1582" customFormat="1" customHeight="1" ht="12" hidden="1">
      <c r="B16" s="788"/>
      <c r="E16" s="797"/>
      <c r="Q16" s="922"/>
      <c r="R16" s="922"/>
      <c r="AB16" s="179"/>
      <c r="AC16" s="171"/>
      <c r="AD16" s="171"/>
      <c r="AG16" s="1582"/>
      <c r="AH16" s="1582"/>
      <c r="AI16" s="1582"/>
      <c r="AJ16" s="1582"/>
      <c r="AK16" s="1582"/>
      <c r="AL16" s="1582"/>
      <c r="AM16" s="1582"/>
      <c r="AN16" s="1582"/>
      <c r="AO16" s="1582"/>
      <c r="AP16" s="1582"/>
      <c r="AQ16" s="1582"/>
      <c r="AR16" s="1582"/>
      <c r="AS16" s="1582"/>
      <c r="AT16" s="1582"/>
      <c r="AU16" s="1582"/>
      <c r="AV16" s="1582"/>
      <c r="AW16" s="1582"/>
      <c r="AX16" s="1582"/>
      <c r="AY16" s="1582"/>
      <c r="BB16" s="1148"/>
    </row>
    <row s="1582" customFormat="1" customHeight="1" ht="12" hidden="1">
      <c r="B17" s="788"/>
      <c r="E17" s="797"/>
      <c r="Q17" s="922"/>
      <c r="R17" s="922"/>
      <c r="AB17" s="179"/>
      <c r="AC17" s="171"/>
      <c r="AD17" s="171"/>
      <c r="AG17" s="1582"/>
      <c r="AH17" s="1582"/>
      <c r="AI17" s="1582"/>
      <c r="AJ17" s="1582"/>
      <c r="AK17" s="1582"/>
      <c r="AL17" s="1582"/>
      <c r="AM17" s="1582"/>
      <c r="AN17" s="1582"/>
      <c r="AO17" s="1582"/>
      <c r="AP17" s="1582"/>
      <c r="AQ17" s="1582"/>
      <c r="AR17" s="1582"/>
      <c r="AS17" s="1582"/>
      <c r="AT17" s="1582"/>
      <c r="AU17" s="1582"/>
      <c r="AV17" s="1582"/>
      <c r="AW17" s="1582"/>
      <c r="AX17" s="1582"/>
      <c r="AY17" s="1582"/>
      <c r="BB17" s="1148"/>
    </row>
    <row s="1582" customFormat="1" customHeight="1" ht="12" hidden="1">
      <c r="B18" s="788"/>
      <c r="E18" s="797"/>
      <c r="Q18" s="922"/>
      <c r="R18" s="922"/>
      <c r="AB18" s="179"/>
      <c r="AC18" s="171"/>
      <c r="AD18" s="171"/>
      <c r="AG18" s="1582"/>
      <c r="AH18" s="1582"/>
      <c r="AI18" s="1582"/>
      <c r="AJ18" s="1582"/>
      <c r="AK18" s="1582"/>
      <c r="AL18" s="1582"/>
      <c r="AM18" s="1582"/>
      <c r="AN18" s="1582"/>
      <c r="AO18" s="1582"/>
      <c r="AP18" s="1582"/>
      <c r="AQ18" s="1582"/>
      <c r="AR18" s="1582"/>
      <c r="AS18" s="1582"/>
      <c r="AT18" s="1582"/>
      <c r="AU18" s="1582"/>
      <c r="AV18" s="1582"/>
      <c r="AW18" s="1582"/>
      <c r="AX18" s="1582"/>
      <c r="AY18" s="1582"/>
      <c r="BB18" s="1148"/>
    </row>
    <row s="1582" customFormat="1" customHeight="1" ht="12" hidden="1">
      <c r="B19" s="788"/>
      <c r="E19" s="797"/>
      <c r="Q19" s="922"/>
      <c r="R19" s="922"/>
      <c r="AB19" s="179"/>
      <c r="AC19" s="171"/>
      <c r="AD19" s="171"/>
      <c r="AG19" s="1582"/>
      <c r="AH19" s="1582"/>
      <c r="AI19" s="1582"/>
      <c r="AJ19" s="1582"/>
      <c r="AK19" s="1582"/>
      <c r="AL19" s="1582"/>
      <c r="AM19" s="1582"/>
      <c r="AN19" s="1582"/>
      <c r="AO19" s="1582"/>
      <c r="AP19" s="1582"/>
      <c r="AQ19" s="1582"/>
      <c r="AR19" s="1582"/>
      <c r="AS19" s="1582"/>
      <c r="AT19" s="1582"/>
      <c r="AU19" s="1582"/>
      <c r="AV19" s="1582"/>
      <c r="AW19" s="1582"/>
      <c r="AX19" s="1582"/>
      <c r="AY19" s="1582"/>
      <c r="BB19" s="1148"/>
    </row>
    <row s="1582" customFormat="1" customHeight="1" ht="12" hidden="1">
      <c r="B20" s="788"/>
      <c r="E20" s="797"/>
      <c r="Q20" s="922"/>
      <c r="R20" s="922"/>
      <c r="AB20" s="179"/>
      <c r="AC20" s="171"/>
      <c r="AD20" s="171"/>
      <c r="AG20" s="1582"/>
      <c r="AH20" s="1582"/>
      <c r="AI20" s="1582"/>
      <c r="AJ20" s="1582"/>
      <c r="AK20" s="1582"/>
      <c r="AL20" s="1582"/>
      <c r="AM20" s="1582"/>
      <c r="AN20" s="1582"/>
      <c r="AO20" s="1582"/>
      <c r="AP20" s="1582"/>
      <c r="AQ20" s="1582"/>
      <c r="AR20" s="1582"/>
      <c r="AS20" s="1582"/>
      <c r="AT20" s="1582"/>
      <c r="AU20" s="1582"/>
      <c r="AV20" s="1582"/>
      <c r="AW20" s="1582"/>
      <c r="AX20" s="1582"/>
      <c r="AY20" s="1582"/>
      <c r="BB20" s="1148"/>
    </row>
    <row customHeight="1" ht="14.625">
      <c r="E21" s="797">
        <v>15</v>
      </c>
      <c r="AA21" s="820"/>
      <c r="AC21" s="403" cm="1" t="str">
        <f t="array" ref="AC21:AC21">tpl_title</f>
        <v>Кемеровская область / 2026 / ООО "ВЕЛЕС" (ИНН:4212036655, КПП:421201001) / ДПР: 2016-2025</v>
      </c>
      <c r="AD21" s="403"/>
      <c r="AE21" s="943"/>
      <c r="AG21" s="220"/>
      <c r="AH21" s="220"/>
      <c r="AI21" s="220"/>
      <c r="AJ21" s="220"/>
      <c r="AK21" s="220"/>
      <c r="AL21" s="220"/>
      <c r="AM21" s="220"/>
      <c r="AN21" s="220"/>
      <c r="AO21" s="220"/>
      <c r="AP21" s="220"/>
      <c r="AQ21" s="220"/>
      <c r="AR21" s="220"/>
      <c r="AS21" s="220"/>
      <c r="AT21" s="220"/>
      <c r="AU21" s="220"/>
      <c r="AV21" s="220"/>
      <c r="AW21" s="220"/>
      <c r="AX21" s="220"/>
      <c r="AY21" s="220"/>
    </row>
    <row customHeight="1" ht="21.9375">
      <c r="E22" s="797">
        <v>22.5</v>
      </c>
      <c r="AB22" s="390" t="s">
        <v>29</v>
      </c>
      <c r="AC22" s="268"/>
      <c r="AD22" s="268"/>
      <c r="AE22" s="268"/>
      <c r="AF22" s="269"/>
      <c r="AG22" s="269"/>
      <c r="AH22" s="269"/>
      <c r="AI22" s="269"/>
      <c r="AJ22" s="269"/>
      <c r="AK22" s="269"/>
      <c r="AL22" s="269"/>
      <c r="AM22" s="269"/>
      <c r="AN22" s="269"/>
      <c r="AO22" s="269"/>
      <c r="AP22" s="269"/>
      <c r="AQ22" s="269"/>
      <c r="AR22" s="269"/>
      <c r="AS22" s="269"/>
      <c r="AT22" s="269"/>
      <c r="AU22" s="269"/>
      <c r="AV22" s="269"/>
      <c r="AW22" s="269"/>
      <c r="AX22" s="269"/>
      <c r="AY22" s="269"/>
    </row>
    <row s="221" customFormat="1" customHeight="1" ht="11.115">
      <c r="A23" s="175"/>
      <c r="B23" s="788"/>
      <c r="C23" s="175"/>
      <c r="D23" s="175"/>
      <c r="E23" s="797">
        <v>11.4</v>
      </c>
      <c r="F23" s="175"/>
      <c r="G23" s="175"/>
      <c r="H23" s="175"/>
      <c r="I23" s="175"/>
      <c r="J23" s="175"/>
      <c r="K23" s="175"/>
      <c r="L23" s="175"/>
      <c r="M23" s="175"/>
      <c r="N23" s="175"/>
      <c r="O23" s="175"/>
      <c r="P23" s="175"/>
      <c r="Q23" s="922"/>
      <c r="R23" s="922"/>
      <c r="S23" s="175"/>
      <c r="T23" s="175"/>
      <c r="U23" s="175"/>
      <c r="V23" s="175"/>
      <c r="W23" s="175"/>
      <c r="X23" s="175"/>
      <c r="Y23" s="175"/>
      <c r="Z23" s="175"/>
      <c r="AA23" s="919"/>
      <c r="AB23" s="202"/>
      <c r="AC23" s="203"/>
      <c r="AD23" s="203"/>
      <c r="AE23" s="204"/>
      <c r="AG23" s="221"/>
      <c r="AH23" s="221"/>
      <c r="AI23" s="221"/>
      <c r="AJ23" s="221"/>
      <c r="AK23" s="221"/>
      <c r="AL23" s="221"/>
      <c r="AM23" s="221"/>
      <c r="AN23" s="221"/>
      <c r="AO23" s="221"/>
      <c r="AP23" s="221"/>
      <c r="AQ23" s="221"/>
      <c r="AR23" s="221"/>
      <c r="AS23" s="221"/>
      <c r="AT23" s="221"/>
      <c r="AU23" s="221"/>
      <c r="AV23" s="221"/>
      <c r="AW23" s="221"/>
      <c r="AX23" s="221"/>
      <c r="AY23" s="221"/>
      <c r="BB23" s="1199"/>
    </row>
    <row customHeight="1" ht="14.625">
      <c r="E24" s="797">
        <v>15</v>
      </c>
      <c r="AB24" s="1468" t="s">
        <v>386</v>
      </c>
      <c r="AC24" s="1468" t="s">
        <v>496</v>
      </c>
      <c r="AD24" s="1469" t="s">
        <v>581</v>
      </c>
      <c r="AE24" s="1468" t="s">
        <v>441</v>
      </c>
      <c r="AF24" s="1360" t="str">
        <f>first_year&amp;" год"</f>
        <v>2016 год</v>
      </c>
      <c r="AG24" s="1360" t="str">
        <f>first_year+1&amp;" год"</f>
        <v>2017 год</v>
      </c>
      <c r="AH24" s="1360" t="str">
        <f>first_year+2&amp;" год"</f>
        <v>2018 год</v>
      </c>
      <c r="AI24" s="1360" t="str">
        <f>first_year+3&amp;" год"</f>
        <v>2019 год</v>
      </c>
      <c r="AJ24" s="1360" t="str">
        <f>first_year+4&amp;" год"</f>
        <v>2020 год</v>
      </c>
      <c r="AK24" s="1356" t="str">
        <f>first_year+5&amp;" год"</f>
        <v>2021 год</v>
      </c>
      <c r="AL24" s="1356" t="str">
        <f>first_year+6&amp;" год"</f>
        <v>2022 год</v>
      </c>
      <c r="AM24" s="1356" t="str">
        <f>first_year+7&amp;" год"</f>
        <v>2023 год</v>
      </c>
      <c r="AN24" s="1356" t="str">
        <f>first_year+8&amp;" год"</f>
        <v>2024 год</v>
      </c>
      <c r="AO24" s="1356" t="str">
        <f>first_year+9&amp;" год"</f>
        <v>2025 год</v>
      </c>
      <c r="AP24" s="170" t="str">
        <f>first_year&amp;" год"</f>
        <v>2016 год</v>
      </c>
      <c r="AQ24" s="170" t="str">
        <f>first_year+1&amp;" год"</f>
        <v>2017 год</v>
      </c>
      <c r="AR24" s="170" t="str">
        <f>first_year+2&amp;" год"</f>
        <v>2018 год</v>
      </c>
      <c r="AS24" s="170" t="str">
        <f>first_year+3&amp;" год"</f>
        <v>2019 год</v>
      </c>
      <c r="AT24" s="170" t="str">
        <f>first_year+4&amp;" год"</f>
        <v>2020 год</v>
      </c>
      <c r="AU24" s="170" t="str">
        <f>first_year+5&amp;" год"</f>
        <v>2021 год</v>
      </c>
      <c r="AV24" s="170" t="str">
        <f>first_year+6&amp;" год"</f>
        <v>2022 год</v>
      </c>
      <c r="AW24" s="170" t="str">
        <f>first_year+7&amp;" год"</f>
        <v>2023 год</v>
      </c>
      <c r="AX24" s="170" t="str">
        <f>first_year+8&amp;" год"</f>
        <v>2024 год</v>
      </c>
      <c r="AY24" s="174" t="str">
        <f>first_year+9&amp;" год"</f>
        <v>2025 год</v>
      </c>
    </row>
    <row customHeight="1" ht="67.275">
      <c r="E25" s="797">
        <v>69</v>
      </c>
      <c r="AB25" s="1469"/>
      <c r="AC25" s="1468"/>
      <c r="AD25" s="1472"/>
      <c r="AE25" s="1468"/>
      <c r="AF25" s="1357" t="s">
        <v>403</v>
      </c>
      <c r="AG25" s="1357" t="s">
        <v>403</v>
      </c>
      <c r="AH25" s="1357" t="s">
        <v>403</v>
      </c>
      <c r="AI25" s="1357" t="s">
        <v>403</v>
      </c>
      <c r="AJ25" s="1357" t="s">
        <v>403</v>
      </c>
      <c r="AK25" s="1357" t="s">
        <v>403</v>
      </c>
      <c r="AL25" s="1357" t="s">
        <v>403</v>
      </c>
      <c r="AM25" s="1357" t="s">
        <v>403</v>
      </c>
      <c r="AN25" s="1357" t="s">
        <v>403</v>
      </c>
      <c r="AO25" s="1357" t="s">
        <v>403</v>
      </c>
      <c r="AP25" s="413" t="s">
        <v>402</v>
      </c>
      <c r="AQ25" s="413" t="s">
        <v>402</v>
      </c>
      <c r="AR25" s="413" t="s">
        <v>402</v>
      </c>
      <c r="AS25" s="413" t="s">
        <v>402</v>
      </c>
      <c r="AT25" s="413" t="s">
        <v>402</v>
      </c>
      <c r="AU25" s="413" t="s">
        <v>402</v>
      </c>
      <c r="AV25" s="413" t="s">
        <v>402</v>
      </c>
      <c r="AW25" s="413" t="s">
        <v>402</v>
      </c>
      <c r="AX25" s="413" t="s">
        <v>402</v>
      </c>
      <c r="AY25" s="169" t="s">
        <v>402</v>
      </c>
    </row>
    <row customHeight="1" ht="23.400000000000002">
      <c r="E26" s="797">
        <v>24</v>
      </c>
      <c r="AB26" s="157"/>
      <c r="AC26" s="834" t="s">
        <v>497</v>
      </c>
      <c r="AD26" s="834"/>
      <c r="AE26" s="209" t="s">
        <v>498</v>
      </c>
      <c r="AF26" s="845"/>
      <c r="AG26" s="845"/>
      <c r="AH26" s="845"/>
      <c r="AI26" s="845"/>
      <c r="AJ26" s="845"/>
      <c r="AK26" s="845"/>
      <c r="AL26" s="845"/>
      <c r="AM26" s="845"/>
      <c r="AN26" s="845"/>
      <c r="AO26" s="845"/>
      <c r="AP26" s="845"/>
      <c r="AQ26" s="845"/>
      <c r="AR26" s="845"/>
      <c r="AS26" s="845"/>
      <c r="AT26" s="845"/>
      <c r="AU26" s="845"/>
      <c r="AV26" s="845"/>
      <c r="AW26" s="845"/>
      <c r="AX26" s="845"/>
      <c r="AY26" s="1129"/>
    </row>
    <row customHeight="1" ht="23.25" hidden="1">
      <c r="E27" s="797">
        <v>0</v>
      </c>
      <c r="AB27" s="374"/>
      <c r="AC27" s="374"/>
      <c r="AD27" s="374"/>
      <c r="AE27" s="374"/>
      <c r="AF27" s="171"/>
      <c r="AG27" s="171"/>
      <c r="AH27" s="171"/>
      <c r="AI27" s="171"/>
      <c r="AJ27" s="171"/>
      <c r="AK27" s="171"/>
      <c r="AL27" s="171"/>
      <c r="AM27" s="171"/>
      <c r="AN27" s="171"/>
      <c r="AO27" s="171"/>
      <c r="AP27" s="171"/>
      <c r="AQ27" s="171"/>
      <c r="AR27" s="171"/>
      <c r="AS27" s="171"/>
      <c r="AT27" s="171"/>
      <c r="AU27" s="171"/>
      <c r="AV27" s="171"/>
      <c r="AW27" s="171"/>
      <c r="AX27" s="171"/>
      <c r="AY27" s="171"/>
    </row>
    <row s="215" customFormat="1" customHeight="1" ht="11.115" hidden="1">
      <c r="E28" s="803">
        <v>11.4</v>
      </c>
      <c r="F28" s="922" cm="1" t="str">
        <f t="array" ref="F28:F28">Y28</f>
        <v>0</v>
      </c>
      <c r="U28" s="923">
        <f>F28&gt;0</f>
        <v>0</v>
      </c>
      <c r="W28" s="171" t="s">
        <v>310</v>
      </c>
      <c r="Y28" s="171">
        <v>0</v>
      </c>
      <c r="AB28" s="263" cm="1" t="str">
        <f t="array" ref="AB28:AB28">INDEX('Общие сведения'!$AG$169:$AG$202,MATCH($F28,'Общие сведения'!$Z$169:$Z$202,0))</f>
        <v>Тариф 0 (Теплоснабжение) - </v>
      </c>
      <c r="AC28" s="260"/>
      <c r="AD28" s="260"/>
      <c r="AE28" s="254"/>
      <c r="AF28" s="254"/>
      <c r="AG28" s="254"/>
      <c r="AH28" s="254"/>
      <c r="AI28" s="254"/>
      <c r="AJ28" s="254"/>
      <c r="AK28" s="254"/>
      <c r="AL28" s="254"/>
      <c r="AM28" s="254"/>
      <c r="AN28" s="254"/>
      <c r="AO28" s="254"/>
      <c r="AP28" s="254"/>
      <c r="AQ28" s="254"/>
      <c r="AR28" s="254"/>
      <c r="AS28" s="254"/>
      <c r="AT28" s="254"/>
      <c r="AU28" s="254"/>
      <c r="AV28" s="254"/>
      <c r="AW28" s="254"/>
      <c r="AX28" s="254"/>
      <c r="AY28" s="254"/>
      <c r="BB28" s="1148"/>
    </row>
    <row customHeight="1" ht="11.115" hidden="1">
      <c r="E29" s="797">
        <v>11.4</v>
      </c>
      <c r="F29" s="922" cm="1" t="str">
        <f t="array" ref="F29:F29">OFFSET(G29,-1,-1)</f>
        <v>0</v>
      </c>
      <c r="U29" s="923">
        <f>F29&gt;0</f>
        <v>0</v>
      </c>
      <c r="AB29" s="347"/>
      <c r="AC29" s="348" t="s">
        <v>499</v>
      </c>
      <c r="AD29" s="348"/>
      <c r="AE29" s="349"/>
      <c r="AF29" s="379"/>
      <c r="AG29" s="379"/>
      <c r="AH29" s="379"/>
      <c r="AI29" s="379"/>
      <c r="AJ29" s="379"/>
      <c r="AK29" s="379"/>
      <c r="AL29" s="379"/>
      <c r="AM29" s="379"/>
      <c r="AN29" s="379"/>
      <c r="AO29" s="379"/>
      <c r="AP29" s="379"/>
      <c r="AQ29" s="379"/>
      <c r="AR29" s="379"/>
      <c r="AS29" s="379"/>
      <c r="AT29" s="379"/>
      <c r="AU29" s="379"/>
      <c r="AV29" s="379"/>
      <c r="AW29" s="379"/>
      <c r="AX29" s="379"/>
      <c r="AY29" s="379"/>
    </row>
    <row customHeight="1" ht="16.672500000000003" hidden="1">
      <c r="E30" s="797">
        <v>17.1</v>
      </c>
      <c r="F30" s="922" cm="1" t="str">
        <f t="array" ref="F30:F30">OFFSET(G30,-1,-1)</f>
        <v>0</v>
      </c>
      <c r="H30" s="175" t="s">
        <v>501</v>
      </c>
      <c r="U30" s="923">
        <f>F30&gt;0</f>
        <v>0</v>
      </c>
      <c r="AB30" s="154">
        <v>1</v>
      </c>
      <c r="AC30" s="323" t="s">
        <v>582</v>
      </c>
      <c r="AD30" s="173" t="s">
        <v>583</v>
      </c>
      <c r="AE30" s="209" t="s">
        <v>498</v>
      </c>
      <c r="AF30" s="72"/>
      <c r="AG30" s="845"/>
      <c r="AH30" s="845"/>
      <c r="AI30" s="845"/>
      <c r="AJ30" s="845"/>
      <c r="AK30" s="845"/>
      <c r="AL30" s="845"/>
      <c r="AM30" s="845"/>
      <c r="AN30" s="845"/>
      <c r="AO30" s="845"/>
      <c r="AP30" s="845"/>
      <c r="AQ30" s="845"/>
      <c r="AR30" s="845"/>
      <c r="AS30" s="845"/>
      <c r="AT30" s="845"/>
      <c r="AU30" s="845"/>
      <c r="AV30" s="845"/>
      <c r="AW30" s="845"/>
      <c r="AX30" s="845"/>
      <c r="AY30" s="845"/>
      <c r="BB30" s="1199" t="s">
        <v>584</v>
      </c>
    </row>
    <row customHeight="1" ht="16.672500000000003" hidden="1">
      <c r="E31" s="797">
        <v>17.1</v>
      </c>
      <c r="F31" s="922" cm="1" t="str">
        <f t="array" ref="F31:F31">OFFSET(G31,-1,-1)</f>
        <v>0</v>
      </c>
      <c r="H31" s="175" t="s">
        <v>514</v>
      </c>
      <c r="U31" s="923">
        <f>F31&gt;0</f>
        <v>0</v>
      </c>
      <c r="AB31" s="154">
        <v>2</v>
      </c>
      <c r="AC31" s="323"/>
      <c r="AD31" s="173" t="s">
        <v>585</v>
      </c>
      <c r="AE31" s="209" t="s">
        <v>498</v>
      </c>
      <c r="AF31" s="1130"/>
      <c r="AG31" s="845" cm="1" t="str">
        <f t="array" ref="AG31:AG31">AG30</f>
        <v>0</v>
      </c>
      <c r="AH31" s="1131">
        <f>(1+AG31)*(1+AH30)-1</f>
        <v>0</v>
      </c>
      <c r="AI31" s="1131">
        <f>(1+AH31)*(1+AI30)-1</f>
        <v>0</v>
      </c>
      <c r="AJ31" s="1131">
        <f>(1+AI31)*(1+AJ30)-1</f>
        <v>0</v>
      </c>
      <c r="AK31" s="1131">
        <f>(1+AJ31)*(1+AK30)-1</f>
        <v>0</v>
      </c>
      <c r="AL31" s="1131">
        <f>(1+AK31)*(1+AL30)-1</f>
        <v>0</v>
      </c>
      <c r="AM31" s="1131">
        <f>(1+AL31)*(1+AM30)-1</f>
        <v>0</v>
      </c>
      <c r="AN31" s="1131">
        <f>(1+AM31)*(1+AN30)-1</f>
        <v>0</v>
      </c>
      <c r="AO31" s="1131">
        <f>(1+AN31)*(1+AO30)-1</f>
        <v>0</v>
      </c>
      <c r="AP31" s="1130"/>
      <c r="AQ31" s="845" cm="1" t="str">
        <f t="array" ref="AQ31:AQ31">AQ30</f>
        <v>0</v>
      </c>
      <c r="AR31" s="1131">
        <f>(1+AQ31)*(1+AR30)-1</f>
        <v>0</v>
      </c>
      <c r="AS31" s="1131">
        <f>(1+AR31)*(1+AS30)-1</f>
        <v>0</v>
      </c>
      <c r="AT31" s="1131">
        <f>(1+AS31)*(1+AT30)-1</f>
        <v>0</v>
      </c>
      <c r="AU31" s="1131">
        <f>(1+AT31)*(1+AU30)-1</f>
        <v>0</v>
      </c>
      <c r="AV31" s="1131">
        <f>(1+AU31)*(1+AV30)-1</f>
        <v>0</v>
      </c>
      <c r="AW31" s="1131">
        <f>(1+AV31)*(1+AW30)-1</f>
        <v>0</v>
      </c>
      <c r="AX31" s="1131">
        <f>(1+AW31)*(1+AX30)-1</f>
        <v>0</v>
      </c>
      <c r="AY31" s="1131">
        <f>(1+AX31)*(1+AY30)-1</f>
        <v>0</v>
      </c>
      <c r="BB31" s="1199" t="s">
        <v>586</v>
      </c>
    </row>
    <row customHeight="1" ht="16.672500000000003" hidden="1">
      <c r="E32" s="797">
        <v>17.1</v>
      </c>
      <c r="F32" s="922" cm="1" t="str">
        <f t="array" ref="F32:F32">OFFSET(G32,-1,-1)</f>
        <v>0</v>
      </c>
      <c r="H32" s="175" t="s">
        <v>517</v>
      </c>
      <c r="U32" s="923">
        <f>F32&gt;0</f>
        <v>0</v>
      </c>
      <c r="AB32" s="154">
        <v>3</v>
      </c>
      <c r="AC32" s="323" t="s">
        <v>587</v>
      </c>
      <c r="AD32" s="173" t="s">
        <v>583</v>
      </c>
      <c r="AE32" s="209" t="s">
        <v>498</v>
      </c>
      <c r="AF32" s="72"/>
      <c r="AG32" s="845"/>
      <c r="AH32" s="845"/>
      <c r="AI32" s="845"/>
      <c r="AJ32" s="845"/>
      <c r="AK32" s="845"/>
      <c r="AL32" s="845"/>
      <c r="AM32" s="845"/>
      <c r="AN32" s="845"/>
      <c r="AO32" s="845"/>
      <c r="AP32" s="845"/>
      <c r="AQ32" s="845"/>
      <c r="AR32" s="845"/>
      <c r="AS32" s="845"/>
      <c r="AT32" s="845"/>
      <c r="AU32" s="845"/>
      <c r="AV32" s="845"/>
      <c r="AW32" s="845"/>
      <c r="AX32" s="845"/>
      <c r="AY32" s="845"/>
      <c r="BB32" s="1199" t="s">
        <v>588</v>
      </c>
    </row>
    <row customHeight="1" ht="16.672500000000003" hidden="1">
      <c r="E33" s="797">
        <v>17.1</v>
      </c>
      <c r="F33" s="922" cm="1" t="str">
        <f t="array" ref="F33:F33">OFFSET(G33,-1,-1)</f>
        <v>0</v>
      </c>
      <c r="H33" s="175" t="s">
        <v>520</v>
      </c>
      <c r="U33" s="923">
        <f>F33&gt;0</f>
        <v>0</v>
      </c>
      <c r="AB33" s="154">
        <v>4</v>
      </c>
      <c r="AC33" s="323"/>
      <c r="AD33" s="173" t="s">
        <v>585</v>
      </c>
      <c r="AE33" s="209" t="s">
        <v>498</v>
      </c>
      <c r="AF33" s="1130"/>
      <c r="AG33" s="845" cm="1" t="str">
        <f t="array" ref="AG33:AG33">AG32</f>
        <v>0</v>
      </c>
      <c r="AH33" s="1131">
        <f>(1+AG33)*(1+AH32)-1</f>
        <v>0</v>
      </c>
      <c r="AI33" s="1131">
        <f>(1+AH33)*(1+AI32)-1</f>
        <v>0</v>
      </c>
      <c r="AJ33" s="1131">
        <f>(1+AI33)*(1+AJ32)-1</f>
        <v>0</v>
      </c>
      <c r="AK33" s="1131">
        <f>(1+AJ33)*(1+AK32)-1</f>
        <v>0</v>
      </c>
      <c r="AL33" s="1131">
        <f>(1+AK33)*(1+AL32)-1</f>
        <v>0</v>
      </c>
      <c r="AM33" s="1131">
        <f>(1+AL33)*(1+AM32)-1</f>
        <v>0</v>
      </c>
      <c r="AN33" s="1131">
        <f>(1+AM33)*(1+AN32)-1</f>
        <v>0</v>
      </c>
      <c r="AO33" s="1131">
        <f>(1+AN33)*(1+AO32)-1</f>
        <v>0</v>
      </c>
      <c r="AP33" s="1130"/>
      <c r="AQ33" s="845" cm="1" t="str">
        <f t="array" ref="AQ33:AQ33">AQ32</f>
        <v>0</v>
      </c>
      <c r="AR33" s="1131">
        <f>(1+AQ33)*(1+AR32)-1</f>
        <v>0</v>
      </c>
      <c r="AS33" s="1131">
        <f>(1+AR33)*(1+AS32)-1</f>
        <v>0</v>
      </c>
      <c r="AT33" s="1131">
        <f>(1+AS33)*(1+AT32)-1</f>
        <v>0</v>
      </c>
      <c r="AU33" s="1131">
        <f>(1+AT33)*(1+AU32)-1</f>
        <v>0</v>
      </c>
      <c r="AV33" s="1131">
        <f>(1+AU33)*(1+AV32)-1</f>
        <v>0</v>
      </c>
      <c r="AW33" s="1131">
        <f>(1+AV33)*(1+AW32)-1</f>
        <v>0</v>
      </c>
      <c r="AX33" s="1131">
        <f>(1+AW33)*(1+AX32)-1</f>
        <v>0</v>
      </c>
      <c r="AY33" s="1131">
        <f>(1+AX33)*(1+AY32)-1</f>
        <v>0</v>
      </c>
      <c r="BB33" s="1199" t="s">
        <v>589</v>
      </c>
    </row>
    <row customHeight="1" ht="16.672500000000003" hidden="1">
      <c r="E34" s="797">
        <v>17.1</v>
      </c>
      <c r="F34" s="922" cm="1" t="str">
        <f t="array" ref="F34:F34">OFFSET(G34,-1,-1)</f>
        <v>0</v>
      </c>
      <c r="H34" s="175" t="s">
        <v>523</v>
      </c>
      <c r="U34" s="923">
        <f>F34&gt;0</f>
        <v>0</v>
      </c>
      <c r="AB34" s="154">
        <v>5</v>
      </c>
      <c r="AC34" s="323" t="s">
        <v>590</v>
      </c>
      <c r="AD34" s="323"/>
      <c r="AE34" s="209" t="s">
        <v>498</v>
      </c>
      <c r="AF34" s="72"/>
      <c r="AG34" s="845"/>
      <c r="AH34" s="845"/>
      <c r="AI34" s="845"/>
      <c r="AJ34" s="845"/>
      <c r="AK34" s="845"/>
      <c r="AL34" s="845"/>
      <c r="AM34" s="845"/>
      <c r="AN34" s="845"/>
      <c r="AO34" s="845"/>
      <c r="AP34" s="845"/>
      <c r="AQ34" s="845"/>
      <c r="AR34" s="845"/>
      <c r="AS34" s="845"/>
      <c r="AT34" s="845"/>
      <c r="AU34" s="845"/>
      <c r="AV34" s="845"/>
      <c r="AW34" s="845"/>
      <c r="AX34" s="845"/>
      <c r="AY34" s="845"/>
      <c r="BB34" s="1199" t="s">
        <v>591</v>
      </c>
    </row>
    <row s="966" customFormat="1" customHeight="1" ht="10.5">
      <c r="A35" s="215"/>
      <c r="B35" s="215"/>
      <c r="C35" s="215"/>
      <c r="D35" s="215"/>
      <c r="E35" s="803">
        <v>11.4</v>
      </c>
      <c r="F35" s="922" cm="1" t="str">
        <f t="array" ref="F35:F35">Y35</f>
        <v>1</v>
      </c>
      <c r="G35" s="215"/>
      <c r="H35" s="215"/>
      <c r="I35" s="215"/>
      <c r="J35" s="215"/>
      <c r="K35" s="215"/>
      <c r="L35" s="215"/>
      <c r="M35" s="215"/>
      <c r="N35" s="215"/>
      <c r="O35" s="215"/>
      <c r="P35" s="215"/>
      <c r="Q35" s="215"/>
      <c r="R35" s="215"/>
      <c r="S35" s="215"/>
      <c r="T35" s="215"/>
      <c r="U35" s="923">
        <f>F35&gt;0</f>
        <v>1</v>
      </c>
      <c r="V35" s="215"/>
      <c r="W35" s="171" cm="1" t="str">
        <f t="array" ref="W35:W35">Сценарии!$AB$55</f>
        <v>Тариф 1 (Теплоснабжение) - Тариф на тепловую энергию (мощность), поставляемую потребителям (Не определено)</v>
      </c>
      <c r="X35" s="215"/>
      <c r="Y35" s="171" t="s">
        <v>336</v>
      </c>
      <c r="Z35" s="215"/>
      <c r="AA35" s="215"/>
      <c r="AB35" s="263"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0"/>
      <c r="AD35" s="260"/>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15"/>
      <c r="BA35" s="215"/>
      <c r="BB35" s="1148"/>
    </row>
    <row s="1632" customFormat="1" customHeight="1" ht="10.5">
      <c r="A36" s="1582"/>
      <c r="B36" s="927"/>
      <c r="C36" s="1582"/>
      <c r="D36" s="1582"/>
      <c r="E36" s="797">
        <v>11.4</v>
      </c>
      <c r="F36" s="922" cm="1" t="str">
        <f t="array" ref="F36:F36">OFFSET(G36,-1,-1)</f>
        <v>1</v>
      </c>
      <c r="G36" s="1582"/>
      <c r="H36" s="1582"/>
      <c r="I36" s="1582"/>
      <c r="J36" s="1582"/>
      <c r="K36" s="1582"/>
      <c r="L36" s="1582"/>
      <c r="M36" s="1582"/>
      <c r="N36" s="1582"/>
      <c r="O36" s="1582"/>
      <c r="P36" s="1582"/>
      <c r="Q36" s="922"/>
      <c r="R36" s="922"/>
      <c r="S36" s="1582"/>
      <c r="T36" s="1582"/>
      <c r="U36" s="923">
        <f>F36&gt;0</f>
        <v>1</v>
      </c>
      <c r="V36" s="1582"/>
      <c r="W36" s="1582"/>
      <c r="X36" s="1582"/>
      <c r="Y36" s="1582"/>
      <c r="Z36" s="1582"/>
      <c r="AA36" s="220"/>
      <c r="AB36" s="347"/>
      <c r="AC36" s="348" t="s">
        <v>499</v>
      </c>
      <c r="AD36" s="348"/>
      <c r="AE36" s="349"/>
      <c r="AF36" s="379"/>
      <c r="AG36" s="379"/>
      <c r="AH36" s="379"/>
      <c r="AI36" s="379"/>
      <c r="AJ36" s="379"/>
      <c r="AK36" s="379"/>
      <c r="AL36" s="379"/>
      <c r="AM36" s="379"/>
      <c r="AN36" s="379"/>
      <c r="AO36" s="379"/>
      <c r="AP36" s="379"/>
      <c r="AQ36" s="379"/>
      <c r="AR36" s="379"/>
      <c r="AS36" s="379"/>
      <c r="AT36" s="379"/>
      <c r="AU36" s="379"/>
      <c r="AV36" s="379"/>
      <c r="AW36" s="379"/>
      <c r="AX36" s="379"/>
      <c r="AY36" s="379"/>
      <c r="AZ36" s="220"/>
      <c r="BA36" s="220"/>
      <c r="BB36" s="1199"/>
    </row>
    <row s="1632" customFormat="1" customHeight="1" ht="16.5">
      <c r="A37" s="1582"/>
      <c r="B37" s="927"/>
      <c r="C37" s="1582"/>
      <c r="D37" s="1582"/>
      <c r="E37" s="797">
        <v>17.1</v>
      </c>
      <c r="F37" s="922" cm="1" t="str">
        <f t="array" ref="F37:F37">OFFSET(G37,-1,-1)</f>
        <v>1</v>
      </c>
      <c r="G37" s="1582"/>
      <c r="H37" s="175" t="s">
        <v>501</v>
      </c>
      <c r="I37" s="1582"/>
      <c r="J37" s="1582"/>
      <c r="K37" s="1582"/>
      <c r="L37" s="1582"/>
      <c r="M37" s="1582"/>
      <c r="N37" s="1582"/>
      <c r="O37" s="1582"/>
      <c r="P37" s="1582"/>
      <c r="Q37" s="922"/>
      <c r="R37" s="922"/>
      <c r="S37" s="1582"/>
      <c r="T37" s="1582"/>
      <c r="U37" s="923">
        <f>F37&gt;0</f>
        <v>1</v>
      </c>
      <c r="V37" s="1582"/>
      <c r="W37" s="1582"/>
      <c r="X37" s="1582"/>
      <c r="Y37" s="1582"/>
      <c r="Z37" s="1582"/>
      <c r="AA37" s="220"/>
      <c r="AB37" s="154">
        <v>1</v>
      </c>
      <c r="AC37" s="323" t="s">
        <v>592</v>
      </c>
      <c r="AD37" s="173" t="s">
        <v>583</v>
      </c>
      <c r="AE37" s="209" t="s">
        <v>498</v>
      </c>
      <c r="AF37" s="1709"/>
      <c r="AG37" s="845"/>
      <c r="AH37" s="845"/>
      <c r="AI37" s="845"/>
      <c r="AJ37" s="845"/>
      <c r="AK37" s="845"/>
      <c r="AL37" s="845"/>
      <c r="AM37" s="845"/>
      <c r="AN37" s="845"/>
      <c r="AO37" s="845"/>
      <c r="AP37" s="845"/>
      <c r="AQ37" s="845"/>
      <c r="AR37" s="845"/>
      <c r="AS37" s="845"/>
      <c r="AT37" s="845"/>
      <c r="AU37" s="845"/>
      <c r="AV37" s="845"/>
      <c r="AW37" s="845"/>
      <c r="AX37" s="845"/>
      <c r="AY37" s="845"/>
      <c r="AZ37" s="220"/>
      <c r="BA37" s="220"/>
      <c r="BB37" s="1199" t="s">
        <v>584</v>
      </c>
    </row>
    <row s="1632" customFormat="1" customHeight="1" ht="16.5">
      <c r="A38" s="1582"/>
      <c r="B38" s="927"/>
      <c r="C38" s="1582"/>
      <c r="D38" s="1582"/>
      <c r="E38" s="797">
        <v>17.1</v>
      </c>
      <c r="F38" s="922" cm="1" t="str">
        <f t="array" ref="F38:F38">OFFSET(G38,-1,-1)</f>
        <v>1</v>
      </c>
      <c r="G38" s="1582"/>
      <c r="H38" s="175" t="s">
        <v>514</v>
      </c>
      <c r="I38" s="1582"/>
      <c r="J38" s="1582"/>
      <c r="K38" s="1582"/>
      <c r="L38" s="1582"/>
      <c r="M38" s="1582"/>
      <c r="N38" s="1582"/>
      <c r="O38" s="1582"/>
      <c r="P38" s="1582"/>
      <c r="Q38" s="922"/>
      <c r="R38" s="922"/>
      <c r="S38" s="1582"/>
      <c r="T38" s="1582"/>
      <c r="U38" s="923">
        <f>F38&gt;0</f>
        <v>1</v>
      </c>
      <c r="V38" s="1582"/>
      <c r="W38" s="1582"/>
      <c r="X38" s="1582"/>
      <c r="Y38" s="1582"/>
      <c r="Z38" s="1582"/>
      <c r="AA38" s="220"/>
      <c r="AB38" s="154">
        <v>2</v>
      </c>
      <c r="AC38" s="323"/>
      <c r="AD38" s="173" t="s">
        <v>585</v>
      </c>
      <c r="AE38" s="209" t="s">
        <v>498</v>
      </c>
      <c r="AF38" s="1130"/>
      <c r="AG38" s="845" cm="1" t="str">
        <f t="array" ref="AG38:AG38">AG37</f>
        <v>0</v>
      </c>
      <c r="AH38" s="1131">
        <f>(1+AG38)*(1+AH37)-1</f>
        <v>0</v>
      </c>
      <c r="AI38" s="1131">
        <f>(1+AH38)*(1+AI37)-1</f>
        <v>0</v>
      </c>
      <c r="AJ38" s="1131">
        <f>(1+AI38)*(1+AJ37)-1</f>
        <v>0</v>
      </c>
      <c r="AK38" s="1131">
        <f>(1+AJ38)*(1+AK37)-1</f>
        <v>0</v>
      </c>
      <c r="AL38" s="1131">
        <f>(1+AK38)*(1+AL37)-1</f>
        <v>0</v>
      </c>
      <c r="AM38" s="1131">
        <f>(1+AL38)*(1+AM37)-1</f>
        <v>0</v>
      </c>
      <c r="AN38" s="1131">
        <f>(1+AM38)*(1+AN37)-1</f>
        <v>0</v>
      </c>
      <c r="AO38" s="1131">
        <f>(1+AN38)*(1+AO37)-1</f>
        <v>0</v>
      </c>
      <c r="AP38" s="1130"/>
      <c r="AQ38" s="845" cm="1" t="str">
        <f t="array" ref="AQ38:AQ38">AQ37</f>
        <v>0</v>
      </c>
      <c r="AR38" s="1131">
        <f>(1+AQ38)*(1+AR37)-1</f>
        <v>0</v>
      </c>
      <c r="AS38" s="1131">
        <f>(1+AR38)*(1+AS37)-1</f>
        <v>0</v>
      </c>
      <c r="AT38" s="1131">
        <f>(1+AS38)*(1+AT37)-1</f>
        <v>0</v>
      </c>
      <c r="AU38" s="1131">
        <f>(1+AT38)*(1+AU37)-1</f>
        <v>0</v>
      </c>
      <c r="AV38" s="1131">
        <f>(1+AU38)*(1+AV37)-1</f>
        <v>0</v>
      </c>
      <c r="AW38" s="1131">
        <f>(1+AV38)*(1+AW37)-1</f>
        <v>0</v>
      </c>
      <c r="AX38" s="1131">
        <f>(1+AW38)*(1+AX37)-1</f>
        <v>0</v>
      </c>
      <c r="AY38" s="1131">
        <f>(1+AX38)*(1+AY37)-1</f>
        <v>0</v>
      </c>
      <c r="AZ38" s="220"/>
      <c r="BA38" s="220"/>
      <c r="BB38" s="1199" t="s">
        <v>586</v>
      </c>
    </row>
    <row s="1632" customFormat="1" customHeight="1" ht="16.5">
      <c r="A39" s="1582"/>
      <c r="B39" s="927"/>
      <c r="C39" s="1582"/>
      <c r="D39" s="1582"/>
      <c r="E39" s="797">
        <v>17.1</v>
      </c>
      <c r="F39" s="922" cm="1" t="str">
        <f t="array" ref="F39:F39">OFFSET(G39,-1,-1)</f>
        <v>1</v>
      </c>
      <c r="G39" s="1582"/>
      <c r="H39" s="175" t="s">
        <v>517</v>
      </c>
      <c r="I39" s="1582"/>
      <c r="J39" s="1582"/>
      <c r="K39" s="1582"/>
      <c r="L39" s="1582"/>
      <c r="M39" s="1582"/>
      <c r="N39" s="1582"/>
      <c r="O39" s="1582"/>
      <c r="P39" s="1582"/>
      <c r="Q39" s="922"/>
      <c r="R39" s="922"/>
      <c r="S39" s="1582"/>
      <c r="T39" s="1582"/>
      <c r="U39" s="923">
        <f>F39&gt;0</f>
        <v>1</v>
      </c>
      <c r="V39" s="1582"/>
      <c r="W39" s="1582"/>
      <c r="X39" s="1582"/>
      <c r="Y39" s="1582"/>
      <c r="Z39" s="1582"/>
      <c r="AA39" s="220"/>
      <c r="AB39" s="154">
        <v>3</v>
      </c>
      <c r="AC39" s="323" t="s">
        <v>587</v>
      </c>
      <c r="AD39" s="173" t="s">
        <v>583</v>
      </c>
      <c r="AE39" s="209" t="s">
        <v>498</v>
      </c>
      <c r="AF39" s="1709"/>
      <c r="AG39" s="845"/>
      <c r="AH39" s="845"/>
      <c r="AI39" s="845"/>
      <c r="AJ39" s="845"/>
      <c r="AK39" s="845"/>
      <c r="AL39" s="845"/>
      <c r="AM39" s="845"/>
      <c r="AN39" s="845"/>
      <c r="AO39" s="845"/>
      <c r="AP39" s="845"/>
      <c r="AQ39" s="845"/>
      <c r="AR39" s="845"/>
      <c r="AS39" s="845"/>
      <c r="AT39" s="845"/>
      <c r="AU39" s="845"/>
      <c r="AV39" s="845"/>
      <c r="AW39" s="845"/>
      <c r="AX39" s="845"/>
      <c r="AY39" s="845"/>
      <c r="AZ39" s="220"/>
      <c r="BA39" s="220"/>
      <c r="BB39" s="1199" t="s">
        <v>588</v>
      </c>
    </row>
    <row s="1632" customFormat="1" customHeight="1" ht="16.5">
      <c r="A40" s="1582"/>
      <c r="B40" s="927"/>
      <c r="C40" s="1582"/>
      <c r="D40" s="1582"/>
      <c r="E40" s="797">
        <v>17.1</v>
      </c>
      <c r="F40" s="922" cm="1" t="str">
        <f t="array" ref="F40:F40">OFFSET(G40,-1,-1)</f>
        <v>1</v>
      </c>
      <c r="G40" s="1582"/>
      <c r="H40" s="175" t="s">
        <v>520</v>
      </c>
      <c r="I40" s="1582"/>
      <c r="J40" s="1582"/>
      <c r="K40" s="1582"/>
      <c r="L40" s="1582"/>
      <c r="M40" s="1582"/>
      <c r="N40" s="1582"/>
      <c r="O40" s="1582"/>
      <c r="P40" s="1582"/>
      <c r="Q40" s="922"/>
      <c r="R40" s="922"/>
      <c r="S40" s="1582"/>
      <c r="T40" s="1582"/>
      <c r="U40" s="923">
        <f>F40&gt;0</f>
        <v>1</v>
      </c>
      <c r="V40" s="1582"/>
      <c r="W40" s="1582"/>
      <c r="X40" s="1582"/>
      <c r="Y40" s="1582"/>
      <c r="Z40" s="1582"/>
      <c r="AA40" s="220"/>
      <c r="AB40" s="154">
        <v>4</v>
      </c>
      <c r="AC40" s="323"/>
      <c r="AD40" s="173" t="s">
        <v>585</v>
      </c>
      <c r="AE40" s="209" t="s">
        <v>498</v>
      </c>
      <c r="AF40" s="1130"/>
      <c r="AG40" s="845" cm="1" t="str">
        <f t="array" ref="AG40:AG40">AG39</f>
        <v>0</v>
      </c>
      <c r="AH40" s="1131">
        <f>(1+AG40)*(1+AH39)-1</f>
        <v>0</v>
      </c>
      <c r="AI40" s="1131">
        <f>(1+AH40)*(1+AI39)-1</f>
        <v>0</v>
      </c>
      <c r="AJ40" s="1131">
        <f>(1+AI40)*(1+AJ39)-1</f>
        <v>0</v>
      </c>
      <c r="AK40" s="1131">
        <f>(1+AJ40)*(1+AK39)-1</f>
        <v>0</v>
      </c>
      <c r="AL40" s="1131">
        <f>(1+AK40)*(1+AL39)-1</f>
        <v>0</v>
      </c>
      <c r="AM40" s="1131">
        <f>(1+AL40)*(1+AM39)-1</f>
        <v>0</v>
      </c>
      <c r="AN40" s="1131">
        <f>(1+AM40)*(1+AN39)-1</f>
        <v>0</v>
      </c>
      <c r="AO40" s="1131">
        <f>(1+AN40)*(1+AO39)-1</f>
        <v>0</v>
      </c>
      <c r="AP40" s="1130"/>
      <c r="AQ40" s="845" cm="1" t="str">
        <f t="array" ref="AQ40:AQ40">AQ39</f>
        <v>0</v>
      </c>
      <c r="AR40" s="1131">
        <f>(1+AQ40)*(1+AR39)-1</f>
        <v>0</v>
      </c>
      <c r="AS40" s="1131">
        <f>(1+AR40)*(1+AS39)-1</f>
        <v>0</v>
      </c>
      <c r="AT40" s="1131">
        <f>(1+AS40)*(1+AT39)-1</f>
        <v>0</v>
      </c>
      <c r="AU40" s="1131">
        <f>(1+AT40)*(1+AU39)-1</f>
        <v>0</v>
      </c>
      <c r="AV40" s="1131">
        <f>(1+AU40)*(1+AV39)-1</f>
        <v>0</v>
      </c>
      <c r="AW40" s="1131">
        <f>(1+AV40)*(1+AW39)-1</f>
        <v>0</v>
      </c>
      <c r="AX40" s="1131">
        <f>(1+AW40)*(1+AX39)-1</f>
        <v>0</v>
      </c>
      <c r="AY40" s="1131">
        <f>(1+AX40)*(1+AY39)-1</f>
        <v>0</v>
      </c>
      <c r="AZ40" s="220"/>
      <c r="BA40" s="220"/>
      <c r="BB40" s="1199" t="s">
        <v>589</v>
      </c>
    </row>
    <row s="1632" customFormat="1" customHeight="1" ht="16.5">
      <c r="A41" s="1582"/>
      <c r="B41" s="927"/>
      <c r="C41" s="1582"/>
      <c r="D41" s="1582"/>
      <c r="E41" s="797">
        <v>17.1</v>
      </c>
      <c r="F41" s="922" cm="1" t="str">
        <f t="array" ref="F41:F41">OFFSET(G41,-1,-1)</f>
        <v>1</v>
      </c>
      <c r="G41" s="1582"/>
      <c r="H41" s="175" t="s">
        <v>523</v>
      </c>
      <c r="I41" s="1582"/>
      <c r="J41" s="1582"/>
      <c r="K41" s="1582"/>
      <c r="L41" s="1582"/>
      <c r="M41" s="1582"/>
      <c r="N41" s="1582"/>
      <c r="O41" s="1582"/>
      <c r="P41" s="1582"/>
      <c r="Q41" s="922"/>
      <c r="R41" s="922"/>
      <c r="S41" s="1582"/>
      <c r="T41" s="1582"/>
      <c r="U41" s="923">
        <f>F41&gt;0</f>
        <v>1</v>
      </c>
      <c r="V41" s="1582"/>
      <c r="W41" s="1582"/>
      <c r="X41" s="1582"/>
      <c r="Y41" s="1582"/>
      <c r="Z41" s="1582"/>
      <c r="AA41" s="220"/>
      <c r="AB41" s="154">
        <v>5</v>
      </c>
      <c r="AC41" s="323" t="s">
        <v>590</v>
      </c>
      <c r="AD41" s="323"/>
      <c r="AE41" s="209" t="s">
        <v>498</v>
      </c>
      <c r="AF41" s="1709"/>
      <c r="AG41" s="845"/>
      <c r="AH41" s="845"/>
      <c r="AI41" s="845"/>
      <c r="AJ41" s="845"/>
      <c r="AK41" s="845"/>
      <c r="AL41" s="845"/>
      <c r="AM41" s="845"/>
      <c r="AN41" s="845"/>
      <c r="AO41" s="845"/>
      <c r="AP41" s="845"/>
      <c r="AQ41" s="845"/>
      <c r="AR41" s="845"/>
      <c r="AS41" s="845"/>
      <c r="AT41" s="845"/>
      <c r="AU41" s="845"/>
      <c r="AV41" s="845"/>
      <c r="AW41" s="845"/>
      <c r="AX41" s="845"/>
      <c r="AY41" s="845"/>
      <c r="AZ41" s="220"/>
      <c r="BA41" s="220"/>
      <c r="BB41" s="1199" t="s">
        <v>591</v>
      </c>
    </row>
    <row customHeight="1" ht="11.115">
      <c r="E42" s="797">
        <v>11.4</v>
      </c>
      <c r="V42" s="175" t="s">
        <v>236</v>
      </c>
      <c r="W42" s="171" t="s">
        <v>593</v>
      </c>
      <c r="AC42" s="201"/>
      <c r="AD42" s="201"/>
      <c r="AG42" s="220"/>
      <c r="AH42" s="220"/>
      <c r="AI42" s="220"/>
      <c r="AJ42" s="220"/>
      <c r="AK42" s="220"/>
      <c r="AL42" s="220"/>
      <c r="AM42" s="220"/>
      <c r="AN42" s="220"/>
      <c r="AO42" s="220"/>
      <c r="AP42" s="220"/>
      <c r="AQ42" s="220"/>
      <c r="AR42" s="220"/>
      <c r="AS42" s="220"/>
      <c r="AT42" s="220"/>
      <c r="AU42" s="220"/>
      <c r="AV42" s="220"/>
      <c r="AW42" s="220"/>
      <c r="AX42" s="220"/>
      <c r="AY42" s="220"/>
      <c r="AZ42" s="201"/>
    </row>
    <row customHeight="1" ht="11.115" hidden="1">
      <c r="E43" s="797">
        <v>11.4</v>
      </c>
      <c r="AC43" s="201"/>
      <c r="AD43" s="201"/>
      <c r="AG43" s="220"/>
      <c r="AH43" s="220"/>
      <c r="AI43" s="220"/>
      <c r="AJ43" s="220"/>
      <c r="AK43" s="220"/>
      <c r="AL43" s="220"/>
      <c r="AM43" s="220"/>
      <c r="AN43" s="220"/>
      <c r="AO43" s="220"/>
      <c r="AP43" s="220"/>
      <c r="AQ43" s="220"/>
      <c r="AR43" s="220"/>
      <c r="AS43" s="220"/>
      <c r="AT43" s="220"/>
      <c r="AU43" s="220"/>
      <c r="AV43" s="220"/>
      <c r="AW43" s="220"/>
      <c r="AX43" s="220"/>
      <c r="AY43" s="22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